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drawings/drawing4.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charts/style9.xml" ContentType="application/vnd.ms-office.chartstyle+xml"/>
  <Override PartName="/xl/charts/colors10.xml" ContentType="application/vnd.ms-office.chartcolorstyle+xml"/>
  <Override PartName="/xl/charts/style10.xml" ContentType="application/vnd.ms-office.chartstyle+xml"/>
  <Override PartName="/xl/charts/colors11.xml" ContentType="application/vnd.ms-office.chartcolorstyle+xml"/>
  <Override PartName="/xl/charts/style11.xml" ContentType="application/vnd.ms-office.chartstyle+xml"/>
  <Override PartName="/xl/charts/colors12.xml" ContentType="application/vnd.ms-office.chartcolorstyle+xml"/>
  <Override PartName="/xl/charts/style12.xml" ContentType="application/vnd.ms-office.chartstyle+xml"/>
  <Override PartName="/xl/charts/colors13.xml" ContentType="application/vnd.ms-office.chartcolorstyle+xml"/>
  <Override PartName="/xl/charts/style13.xml" ContentType="application/vnd.ms-office.chartstyle+xml"/>
  <Override PartName="/xl/charts/colors14.xml" ContentType="application/vnd.ms-office.chartcolorstyle+xml"/>
  <Override PartName="/xl/charts/style14.xml" ContentType="application/vnd.ms-office.chartstyle+xml"/>
  <Override PartName="/xl/charts/colors15.xml" ContentType="application/vnd.ms-office.chartcolorstyle+xml"/>
  <Override PartName="/xl/charts/style15.xml" ContentType="application/vnd.ms-office.chartstyle+xml"/>
  <Override PartName="/xl/charts/colors16.xml" ContentType="application/vnd.ms-office.chartcolorstyle+xml"/>
  <Override PartName="/xl/charts/style16.xml" ContentType="application/vnd.ms-office.chartstyle+xml"/>
  <Override PartName="/xl/charts/colors17.xml" ContentType="application/vnd.ms-office.chartcolorstyle+xml"/>
  <Override PartName="/xl/charts/style17.xml" ContentType="application/vnd.ms-office.chartstyle+xml"/>
  <Override PartName="/xl/charts/colors18.xml" ContentType="application/vnd.ms-office.chartcolorstyle+xml"/>
  <Override PartName="/xl/charts/style18.xml" ContentType="application/vnd.ms-office.chartstyle+xml"/>
  <Override PartName="/xl/charts/colors19.xml" ContentType="application/vnd.ms-office.chartcolorstyle+xml"/>
  <Override PartName="/xl/charts/style19.xml" ContentType="application/vnd.ms-office.chartstyle+xml"/>
  <Override PartName="/xl/charts/colors20.xml" ContentType="application/vnd.ms-office.chartcolorstyle+xml"/>
  <Override PartName="/xl/charts/style20.xml" ContentType="application/vnd.ms-office.chartstyle+xml"/>
  <Override PartName="/xl/charts/colors21.xml" ContentType="application/vnd.ms-office.chartcolorstyle+xml"/>
  <Override PartName="/xl/charts/style21.xml" ContentType="application/vnd.ms-office.chartstyle+xml"/>
  <Override PartName="/xl/charts/colors22.xml" ContentType="application/vnd.ms-office.chartcolorstyle+xml"/>
  <Override PartName="/xl/charts/style22.xml" ContentType="application/vnd.ms-office.chartstyle+xml"/>
  <Override PartName="/xl/charts/colors23.xml" ContentType="application/vnd.ms-office.chartcolorstyle+xml"/>
  <Override PartName="/xl/charts/style23.xml" ContentType="application/vnd.ms-office.chartstyle+xml"/>
  <Override PartName="/xl/charts/colors24.xml" ContentType="application/vnd.ms-office.chartcolorstyle+xml"/>
  <Override PartName="/xl/charts/style24.xml" ContentType="application/vnd.ms-office.chartstyle+xml"/>
  <Override PartName="/xl/charts/colors25.xml" ContentType="application/vnd.ms-office.chartcolorstyle+xml"/>
  <Override PartName="/xl/charts/style25.xml" ContentType="application/vnd.ms-office.chartstyle+xml"/>
  <Override PartName="/xl/charts/colors26.xml" ContentType="application/vnd.ms-office.chartcolorstyle+xml"/>
  <Override PartName="/xl/charts/style26.xml" ContentType="application/vnd.ms-office.chartstyle+xml"/>
  <Override PartName="/xl/charts/colors27.xml" ContentType="application/vnd.ms-office.chartcolorstyle+xml"/>
  <Override PartName="/xl/charts/style27.xml" ContentType="application/vnd.ms-office.chartstyle+xml"/>
  <Override PartName="/xl/charts/colors28.xml" ContentType="application/vnd.ms-office.chartcolorstyle+xml"/>
  <Override PartName="/xl/charts/style28.xml" ContentType="application/vnd.ms-office.chartstyle+xml"/>
  <Override PartName="/xl/charts/colors29.xml" ContentType="application/vnd.ms-office.chartcolorstyle+xml"/>
  <Override PartName="/xl/charts/style29.xml" ContentType="application/vnd.ms-office.chartstyle+xml"/>
  <Override PartName="/xl/charts/colors30.xml" ContentType="application/vnd.ms-office.chartcolorstyle+xml"/>
  <Override PartName="/xl/charts/style30.xml" ContentType="application/vnd.ms-office.chartstyle+xml"/>
  <Override PartName="/xl/charts/colors31.xml" ContentType="application/vnd.ms-office.chartcolorstyle+xml"/>
  <Override PartName="/xl/charts/style31.xml" ContentType="application/vnd.ms-office.chartstyle+xml"/>
  <Override PartName="/xl/charts/colors32.xml" ContentType="application/vnd.ms-office.chartcolorstyle+xml"/>
  <Override PartName="/xl/charts/style32.xml" ContentType="application/vnd.ms-office.chartstyle+xml"/>
  <Override PartName="/xl/charts/colors33.xml" ContentType="application/vnd.ms-office.chartcolorstyle+xml"/>
  <Override PartName="/xl/charts/style33.xml" ContentType="application/vnd.ms-office.chartstyle+xml"/>
  <Override PartName="/xl/charts/colors34.xml" ContentType="application/vnd.ms-office.chartcolorstyle+xml"/>
  <Override PartName="/xl/charts/style34.xml" ContentType="application/vnd.ms-office.chartstyle+xml"/>
  <Override PartName="/xl/charts/colors35.xml" ContentType="application/vnd.ms-office.chartcolorstyle+xml"/>
  <Override PartName="/xl/charts/style35.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updateLinks="never" hidePivotFieldList="1" defaultThemeVersion="124226"/>
  <bookViews>
    <workbookView xWindow="10065" yWindow="105" windowWidth="5535" windowHeight="2850" tabRatio="813" activeTab="2"/>
  </bookViews>
  <sheets>
    <sheet name="Guide" sheetId="39" r:id="rId1"/>
    <sheet name="Snapshot" sheetId="64" r:id="rId2"/>
    <sheet name="SituationAnalysis" sheetId="40" r:id="rId3"/>
    <sheet name="Funds analysis" sheetId="55" r:id="rId4"/>
    <sheet name="Cluster indicator" sheetId="57" r:id="rId5"/>
    <sheet name="Database" sheetId="58" r:id="rId6"/>
    <sheet name="Agency funds received" sheetId="63" r:id="rId7"/>
    <sheet name="List" sheetId="54" state="hidden" r:id="rId8"/>
  </sheets>
  <externalReferences>
    <externalReference r:id="rId9"/>
  </externalReferences>
  <definedNames>
    <definedName name="_xlnm._FilterDatabase" localSheetId="6" hidden="1">'Agency funds received'!$C$4:$AH$57</definedName>
    <definedName name="_xlnm._FilterDatabase" localSheetId="5" hidden="1">Database!$A$4:$WYL$179</definedName>
    <definedName name="aa" localSheetId="4">#REF!</definedName>
    <definedName name="aa">[1]List!$B$3:$B$6</definedName>
    <definedName name="List" localSheetId="6">'Agency funds received'!$C$65:$C$68</definedName>
    <definedName name="List">#REF!</definedName>
    <definedName name="_xlnm.Print_Area" localSheetId="5">Database!$B$4:$CH$4</definedName>
    <definedName name="_xlnm.Print_Area" localSheetId="1">Snapshot!$A$1:$O$39</definedName>
  </definedNames>
  <calcPr calcId="152511"/>
  <pivotCaches>
    <pivotCache cacheId="0" r:id="rId10"/>
    <pivotCache cacheId="1" r:id="rId11"/>
  </pivotCaches>
</workbook>
</file>

<file path=xl/calcChain.xml><?xml version="1.0" encoding="utf-8"?>
<calcChain xmlns="http://schemas.openxmlformats.org/spreadsheetml/2006/main">
  <c r="P176" i="58" l="1"/>
  <c r="P175" i="58"/>
  <c r="P174" i="58"/>
  <c r="P179" i="58"/>
  <c r="P178" i="58"/>
  <c r="P173" i="58"/>
  <c r="P172" i="58"/>
  <c r="P171" i="58"/>
  <c r="P170" i="58"/>
  <c r="P169" i="58"/>
  <c r="P168" i="58"/>
  <c r="P167" i="58"/>
  <c r="P166" i="58"/>
  <c r="P165" i="58"/>
  <c r="P164" i="58"/>
  <c r="P163" i="58"/>
  <c r="P162" i="58"/>
  <c r="P161" i="58"/>
  <c r="P160" i="58"/>
  <c r="P159" i="58"/>
  <c r="P158" i="58"/>
  <c r="P157" i="58"/>
  <c r="P156" i="58"/>
  <c r="P155" i="58"/>
  <c r="P154" i="58"/>
  <c r="P153" i="58"/>
  <c r="P152" i="58"/>
  <c r="P151" i="58"/>
  <c r="P150" i="58"/>
  <c r="P149" i="58"/>
  <c r="P148" i="58"/>
  <c r="P147" i="58"/>
  <c r="P146" i="58"/>
  <c r="P145" i="58"/>
  <c r="P144" i="58"/>
  <c r="P143" i="58"/>
  <c r="P142" i="58"/>
  <c r="P141" i="58"/>
  <c r="P140" i="58"/>
  <c r="P139" i="58"/>
  <c r="P138" i="58"/>
  <c r="P137" i="58"/>
  <c r="P136" i="58"/>
  <c r="P135" i="58"/>
  <c r="P134" i="58"/>
  <c r="P133" i="58"/>
  <c r="P132" i="58"/>
  <c r="P131" i="58"/>
  <c r="P130" i="58"/>
  <c r="P129" i="58"/>
  <c r="P128" i="58"/>
  <c r="P127" i="58"/>
  <c r="P126" i="58"/>
  <c r="P125" i="58"/>
  <c r="P124" i="58"/>
  <c r="P123" i="58"/>
  <c r="P122" i="58"/>
  <c r="P121" i="58"/>
  <c r="P120" i="58"/>
  <c r="P119" i="58"/>
  <c r="P118" i="58"/>
  <c r="P117" i="58"/>
  <c r="P116" i="58"/>
  <c r="P115" i="58"/>
  <c r="P114" i="58"/>
  <c r="P113" i="58"/>
  <c r="P112" i="58"/>
  <c r="P111" i="58"/>
  <c r="P110" i="58"/>
  <c r="P109" i="58"/>
  <c r="P108" i="58"/>
  <c r="P107" i="58"/>
  <c r="P106" i="58"/>
  <c r="P105" i="58"/>
  <c r="P104" i="58"/>
  <c r="P103" i="58"/>
  <c r="P102" i="58"/>
  <c r="P101" i="58"/>
  <c r="P100" i="58"/>
  <c r="P99" i="58"/>
  <c r="P98" i="58"/>
  <c r="P97" i="58"/>
  <c r="P96" i="58"/>
  <c r="P95" i="58"/>
  <c r="P94" i="58"/>
  <c r="P93" i="58"/>
  <c r="P92" i="58"/>
  <c r="P91" i="58"/>
  <c r="P90" i="58"/>
  <c r="P89" i="58"/>
  <c r="P88" i="58"/>
  <c r="P87" i="58"/>
  <c r="P86" i="58"/>
  <c r="P85" i="58"/>
  <c r="P84" i="58"/>
  <c r="P83" i="58"/>
  <c r="P82" i="58"/>
  <c r="P81" i="58"/>
  <c r="P80" i="58"/>
  <c r="P79" i="58"/>
  <c r="P78" i="58"/>
  <c r="P77" i="58"/>
  <c r="P76" i="58"/>
  <c r="P75" i="58"/>
  <c r="P74" i="58"/>
  <c r="P73" i="58"/>
  <c r="P72" i="58"/>
  <c r="P71" i="58"/>
  <c r="P70" i="58"/>
  <c r="P69" i="58"/>
  <c r="P68" i="58"/>
  <c r="P67" i="58"/>
  <c r="P66" i="58"/>
  <c r="P65" i="58"/>
  <c r="P64" i="58"/>
  <c r="P63" i="58"/>
  <c r="P62" i="58"/>
  <c r="P61" i="58"/>
  <c r="P60" i="58"/>
  <c r="P59" i="58"/>
  <c r="P58" i="58"/>
  <c r="P57" i="58"/>
  <c r="P56" i="58"/>
  <c r="P55" i="58"/>
  <c r="P54" i="58"/>
  <c r="P53" i="58"/>
  <c r="P52" i="58"/>
  <c r="P51" i="58"/>
  <c r="P50" i="58"/>
  <c r="P49" i="58"/>
  <c r="P48" i="58"/>
  <c r="P47" i="58"/>
  <c r="P46" i="58"/>
  <c r="P45" i="58"/>
  <c r="P44" i="58"/>
  <c r="P43" i="58"/>
  <c r="P42" i="58"/>
  <c r="P41" i="58"/>
  <c r="P40" i="58"/>
  <c r="P39" i="58"/>
  <c r="P38" i="58"/>
  <c r="P37" i="58"/>
  <c r="P36" i="58"/>
  <c r="P35" i="58"/>
  <c r="P34" i="58"/>
  <c r="P33" i="58"/>
  <c r="P32" i="58"/>
  <c r="P31" i="58"/>
  <c r="P30" i="58"/>
  <c r="P29" i="58"/>
  <c r="P28" i="58"/>
  <c r="P27" i="58"/>
  <c r="P26" i="58"/>
  <c r="P25" i="58"/>
  <c r="P24" i="58"/>
  <c r="P23" i="58"/>
  <c r="P22" i="58"/>
  <c r="P21" i="58"/>
  <c r="P20" i="58"/>
  <c r="P19" i="58"/>
  <c r="P18" i="58"/>
  <c r="P17" i="58"/>
  <c r="P16" i="58"/>
  <c r="P15" i="58"/>
  <c r="P14" i="58"/>
  <c r="P13" i="58"/>
  <c r="P12" i="58"/>
  <c r="P11" i="58"/>
  <c r="P10" i="58"/>
  <c r="P9" i="58"/>
  <c r="P8" i="58"/>
  <c r="P7" i="58"/>
  <c r="P6" i="58"/>
  <c r="P5" i="58"/>
  <c r="L3" i="58"/>
  <c r="K3" i="58"/>
  <c r="J3" i="58"/>
  <c r="M177" i="58"/>
  <c r="U177" i="58"/>
  <c r="AD177" i="58"/>
  <c r="AE177" i="58" s="1"/>
  <c r="AF177" i="58"/>
  <c r="AG177" i="58" s="1"/>
  <c r="AM177" i="58"/>
  <c r="AN177" i="58"/>
  <c r="AO177" i="58"/>
  <c r="AW177" i="58"/>
  <c r="AX177" i="58" s="1"/>
  <c r="BA177" i="58"/>
  <c r="BB177" i="58" s="1"/>
  <c r="BE177" i="58"/>
  <c r="BF177" i="58"/>
  <c r="BI177" i="58"/>
  <c r="BJ177" i="58" s="1"/>
  <c r="BK177" i="58"/>
  <c r="BO177" i="58"/>
  <c r="BP177" i="58"/>
  <c r="BT177" i="58"/>
  <c r="BW177" i="58" s="1"/>
  <c r="BX177" i="58" s="1"/>
  <c r="BY177" i="58" s="1"/>
  <c r="BZ177" i="58"/>
  <c r="CE177" i="58"/>
  <c r="E3" i="58"/>
  <c r="AY177" i="58" l="1"/>
  <c r="AZ177" i="58" s="1"/>
  <c r="AH177" i="58"/>
  <c r="AI177" i="58" s="1"/>
  <c r="AK177" i="58"/>
  <c r="AL177" i="58" s="1"/>
  <c r="AJ177" i="58"/>
  <c r="BT174" i="58"/>
  <c r="BT175" i="58"/>
  <c r="BT176" i="58"/>
  <c r="CE174" i="58" l="1"/>
  <c r="CE175" i="58"/>
  <c r="CE176" i="58"/>
  <c r="CC174" i="58"/>
  <c r="CC175" i="58"/>
  <c r="CC176" i="58"/>
  <c r="BW174" i="58"/>
  <c r="BX174" i="58"/>
  <c r="BY174" i="58" s="1"/>
  <c r="BZ174" i="58"/>
  <c r="BW175" i="58"/>
  <c r="BX175" i="58" s="1"/>
  <c r="BY175" i="58" s="1"/>
  <c r="BZ175" i="58"/>
  <c r="BW176" i="58"/>
  <c r="BX176" i="58" s="1"/>
  <c r="BY176" i="58" s="1"/>
  <c r="BZ176" i="58"/>
  <c r="BO174" i="58"/>
  <c r="BP174" i="58"/>
  <c r="BO175" i="58"/>
  <c r="BP175" i="58"/>
  <c r="BO176" i="58"/>
  <c r="BP176" i="58"/>
  <c r="BM174" i="58"/>
  <c r="BM175" i="58"/>
  <c r="BM176" i="58"/>
  <c r="BI174" i="58"/>
  <c r="BJ174" i="58" s="1"/>
  <c r="BK174" i="58"/>
  <c r="BI175" i="58"/>
  <c r="BJ175" i="58" s="1"/>
  <c r="BK175" i="58"/>
  <c r="BI176" i="58"/>
  <c r="BJ176" i="58" s="1"/>
  <c r="BK176" i="58"/>
  <c r="BE174" i="58"/>
  <c r="BF174" i="58"/>
  <c r="BE175" i="58"/>
  <c r="BF175" i="58"/>
  <c r="BE176" i="58"/>
  <c r="BF176" i="58"/>
  <c r="AW174" i="58"/>
  <c r="AX174" i="58"/>
  <c r="BA174" i="58"/>
  <c r="BB174" i="58" s="1"/>
  <c r="AW175" i="58"/>
  <c r="AX175" i="58" s="1"/>
  <c r="BA175" i="58"/>
  <c r="BB175" i="58" s="1"/>
  <c r="AW176" i="58"/>
  <c r="AX176" i="58" s="1"/>
  <c r="BA176" i="58"/>
  <c r="BB176" i="58" s="1"/>
  <c r="AQ174" i="58"/>
  <c r="AQ175" i="58"/>
  <c r="AQ176" i="58"/>
  <c r="AD174" i="58"/>
  <c r="AE174" i="58" s="1"/>
  <c r="AF174" i="58"/>
  <c r="AG174" i="58" s="1"/>
  <c r="AM174" i="58"/>
  <c r="AN174" i="58"/>
  <c r="AO174" i="58"/>
  <c r="AD175" i="58"/>
  <c r="AE175" i="58" s="1"/>
  <c r="AF175" i="58"/>
  <c r="AG175" i="58" s="1"/>
  <c r="AM175" i="58"/>
  <c r="AN175" i="58"/>
  <c r="AO175" i="58"/>
  <c r="AD176" i="58"/>
  <c r="AE176" i="58" s="1"/>
  <c r="AF176" i="58"/>
  <c r="AG176" i="58" s="1"/>
  <c r="AM176" i="58"/>
  <c r="AN176" i="58"/>
  <c r="AO176" i="58"/>
  <c r="U174" i="58"/>
  <c r="U175" i="58"/>
  <c r="U176" i="58"/>
  <c r="M174" i="58"/>
  <c r="M175" i="58"/>
  <c r="M176" i="58"/>
  <c r="AY174" i="58" l="1"/>
  <c r="AZ174" i="58" s="1"/>
  <c r="AH175" i="58"/>
  <c r="AI175" i="58" s="1"/>
  <c r="AY176" i="58"/>
  <c r="AZ176" i="58" s="1"/>
  <c r="AH176" i="58"/>
  <c r="AI176" i="58" s="1"/>
  <c r="AH174" i="58"/>
  <c r="AI174" i="58" s="1"/>
  <c r="AY175" i="58"/>
  <c r="AZ175" i="58" s="1"/>
  <c r="AK176" i="58"/>
  <c r="AL176" i="58" s="1"/>
  <c r="AK175" i="58"/>
  <c r="AL175" i="58" s="1"/>
  <c r="AK174" i="58"/>
  <c r="AL174" i="58" s="1"/>
  <c r="AJ176" i="58"/>
  <c r="AJ175" i="58"/>
  <c r="AJ174" i="58"/>
  <c r="AQ5" i="58" l="1"/>
  <c r="AQ6" i="58"/>
  <c r="AQ7" i="58"/>
  <c r="AQ8" i="58"/>
  <c r="AQ9" i="58"/>
  <c r="AQ10" i="58"/>
  <c r="AQ11" i="58"/>
  <c r="AQ12" i="58"/>
  <c r="AQ13" i="58"/>
  <c r="AQ14" i="58"/>
  <c r="AQ15" i="58"/>
  <c r="AQ16" i="58"/>
  <c r="AQ17" i="58"/>
  <c r="AQ18" i="58"/>
  <c r="AQ19" i="58"/>
  <c r="AQ20" i="58"/>
  <c r="AQ21" i="58"/>
  <c r="AQ22" i="58"/>
  <c r="AQ23" i="58"/>
  <c r="AQ24" i="58"/>
  <c r="AQ25" i="58"/>
  <c r="AQ26" i="58"/>
  <c r="AQ27" i="58"/>
  <c r="AQ28" i="58"/>
  <c r="AQ29" i="58"/>
  <c r="AQ30" i="58"/>
  <c r="AQ31" i="58"/>
  <c r="AQ32" i="58"/>
  <c r="AQ33" i="58"/>
  <c r="AQ34" i="58"/>
  <c r="AQ35" i="58"/>
  <c r="AQ36" i="58"/>
  <c r="AQ37" i="58"/>
  <c r="AQ38" i="58"/>
  <c r="AQ39" i="58"/>
  <c r="AQ40" i="58"/>
  <c r="AQ41" i="58"/>
  <c r="AQ42" i="58"/>
  <c r="AQ43" i="58"/>
  <c r="AQ44" i="58"/>
  <c r="AQ45" i="58"/>
  <c r="AQ46" i="58"/>
  <c r="AQ47" i="58"/>
  <c r="AQ48" i="58"/>
  <c r="AQ49" i="58"/>
  <c r="AQ50" i="58"/>
  <c r="AQ51" i="58"/>
  <c r="AQ52" i="58"/>
  <c r="AQ53" i="58"/>
  <c r="AQ54" i="58"/>
  <c r="AQ55" i="58"/>
  <c r="AQ56" i="58"/>
  <c r="AQ57" i="58"/>
  <c r="AQ58" i="58"/>
  <c r="AQ59" i="58"/>
  <c r="AQ60" i="58"/>
  <c r="AQ61" i="58"/>
  <c r="AQ62" i="58"/>
  <c r="AQ63" i="58"/>
  <c r="AQ64" i="58"/>
  <c r="AQ65" i="58"/>
  <c r="AQ66" i="58"/>
  <c r="AQ67" i="58"/>
  <c r="AQ68" i="58"/>
  <c r="AQ69" i="58"/>
  <c r="AQ70" i="58"/>
  <c r="AQ71" i="58"/>
  <c r="AQ72" i="58"/>
  <c r="AQ73" i="58"/>
  <c r="AQ74" i="58"/>
  <c r="AQ75" i="58"/>
  <c r="AQ76" i="58"/>
  <c r="AQ77" i="58"/>
  <c r="AQ78" i="58"/>
  <c r="AQ79" i="58"/>
  <c r="AQ80" i="58"/>
  <c r="AQ81" i="58"/>
  <c r="AQ82" i="58"/>
  <c r="AQ83" i="58"/>
  <c r="AQ84" i="58"/>
  <c r="AQ85" i="58"/>
  <c r="AQ86" i="58"/>
  <c r="AQ87" i="58"/>
  <c r="AQ88" i="58"/>
  <c r="AQ89" i="58"/>
  <c r="AQ90" i="58"/>
  <c r="AQ91" i="58"/>
  <c r="AQ92" i="58"/>
  <c r="AQ93" i="58"/>
  <c r="AQ94" i="58"/>
  <c r="AQ95" i="58"/>
  <c r="AQ96" i="58"/>
  <c r="AQ97" i="58"/>
  <c r="AQ98" i="58"/>
  <c r="AQ99" i="58"/>
  <c r="AQ100" i="58"/>
  <c r="AQ101" i="58"/>
  <c r="AQ102" i="58"/>
  <c r="AQ103" i="58"/>
  <c r="AQ104" i="58"/>
  <c r="AQ105" i="58"/>
  <c r="AQ106" i="58"/>
  <c r="AQ107" i="58"/>
  <c r="AQ108" i="58"/>
  <c r="AQ109" i="58"/>
  <c r="AQ110" i="58"/>
  <c r="AQ111" i="58"/>
  <c r="AQ112" i="58"/>
  <c r="AQ113" i="58"/>
  <c r="AQ114" i="58"/>
  <c r="AQ115" i="58"/>
  <c r="AQ116" i="58"/>
  <c r="AQ117" i="58"/>
  <c r="AQ118" i="58"/>
  <c r="AQ119" i="58"/>
  <c r="AQ120" i="58"/>
  <c r="AQ121" i="58"/>
  <c r="AQ122" i="58"/>
  <c r="AQ123" i="58"/>
  <c r="AQ124" i="58"/>
  <c r="AQ125" i="58"/>
  <c r="AQ126" i="58"/>
  <c r="AQ127" i="58"/>
  <c r="AQ128" i="58"/>
  <c r="AQ129" i="58"/>
  <c r="AQ130" i="58"/>
  <c r="AQ131" i="58"/>
  <c r="AQ132" i="58"/>
  <c r="AQ133" i="58"/>
  <c r="AQ134" i="58"/>
  <c r="AQ135" i="58"/>
  <c r="AQ136" i="58"/>
  <c r="AQ137" i="58"/>
  <c r="AQ138" i="58"/>
  <c r="AQ139" i="58"/>
  <c r="AQ140" i="58"/>
  <c r="AQ141" i="58"/>
  <c r="AQ142" i="58"/>
  <c r="AQ143" i="58"/>
  <c r="AQ144" i="58"/>
  <c r="AQ145" i="58"/>
  <c r="AQ146" i="58"/>
  <c r="AQ147" i="58"/>
  <c r="AQ148" i="58"/>
  <c r="AQ149" i="58"/>
  <c r="AQ150" i="58"/>
  <c r="AQ151" i="58"/>
  <c r="AQ152" i="58"/>
  <c r="AQ153" i="58"/>
  <c r="AQ154" i="58"/>
  <c r="AQ155" i="58"/>
  <c r="AQ156" i="58"/>
  <c r="AQ157" i="58"/>
  <c r="AQ158" i="58"/>
  <c r="AQ159" i="58"/>
  <c r="AQ160" i="58"/>
  <c r="AQ161" i="58"/>
  <c r="AQ162" i="58"/>
  <c r="AQ163" i="58"/>
  <c r="AQ164" i="58"/>
  <c r="AQ165" i="58"/>
  <c r="AQ166" i="58"/>
  <c r="AQ167" i="58"/>
  <c r="AQ168" i="58"/>
  <c r="AQ169" i="58"/>
  <c r="AQ170" i="58"/>
  <c r="AQ171" i="58"/>
  <c r="AQ172" i="58"/>
  <c r="AQ173" i="58"/>
  <c r="AQ178" i="58"/>
  <c r="AQ179" i="58"/>
  <c r="AD5" i="58"/>
  <c r="AJ5" i="58" s="1"/>
  <c r="AF5" i="58"/>
  <c r="AG5" i="58" s="1"/>
  <c r="AM5" i="58"/>
  <c r="AN5" i="58"/>
  <c r="AO5" i="58"/>
  <c r="AD6" i="58"/>
  <c r="AF6" i="58"/>
  <c r="AG6" i="58" s="1"/>
  <c r="AM6" i="58"/>
  <c r="AN6" i="58"/>
  <c r="AO6" i="58"/>
  <c r="AD7" i="58"/>
  <c r="AH7" i="58" s="1"/>
  <c r="AI7" i="58" s="1"/>
  <c r="AF7" i="58"/>
  <c r="AG7" i="58" s="1"/>
  <c r="AM7" i="58"/>
  <c r="AN7" i="58"/>
  <c r="AO7" i="58"/>
  <c r="AD8" i="58"/>
  <c r="AF8" i="58"/>
  <c r="AG8" i="58" s="1"/>
  <c r="AM8" i="58"/>
  <c r="AN8" i="58"/>
  <c r="AO8" i="58"/>
  <c r="AD9" i="58"/>
  <c r="AJ9" i="58" s="1"/>
  <c r="AF9" i="58"/>
  <c r="AG9" i="58" s="1"/>
  <c r="AM9" i="58"/>
  <c r="AN9" i="58"/>
  <c r="AO9" i="58"/>
  <c r="AD10" i="58"/>
  <c r="AF10" i="58"/>
  <c r="AG10" i="58" s="1"/>
  <c r="AM10" i="58"/>
  <c r="AN10" i="58"/>
  <c r="AO10" i="58"/>
  <c r="AD11" i="58"/>
  <c r="AH11" i="58" s="1"/>
  <c r="AI11" i="58" s="1"/>
  <c r="AF11" i="58"/>
  <c r="AG11" i="58" s="1"/>
  <c r="AM11" i="58"/>
  <c r="AN11" i="58"/>
  <c r="AO11" i="58"/>
  <c r="AD12" i="58"/>
  <c r="AF12" i="58"/>
  <c r="AG12" i="58" s="1"/>
  <c r="AM12" i="58"/>
  <c r="AN12" i="58"/>
  <c r="AO12" i="58"/>
  <c r="AD13" i="58"/>
  <c r="AJ13" i="58" s="1"/>
  <c r="AF13" i="58"/>
  <c r="AG13" i="58" s="1"/>
  <c r="AM13" i="58"/>
  <c r="AN13" i="58"/>
  <c r="AO13" i="58"/>
  <c r="AD14" i="58"/>
  <c r="AF14" i="58"/>
  <c r="AG14" i="58" s="1"/>
  <c r="AM14" i="58"/>
  <c r="AN14" i="58"/>
  <c r="AO14" i="58"/>
  <c r="AD15" i="58"/>
  <c r="AH15" i="58" s="1"/>
  <c r="AI15" i="58" s="1"/>
  <c r="AF15" i="58"/>
  <c r="AG15" i="58" s="1"/>
  <c r="AM15" i="58"/>
  <c r="AN15" i="58"/>
  <c r="AO15" i="58"/>
  <c r="AD16" i="58"/>
  <c r="AF16" i="58"/>
  <c r="AM16" i="58"/>
  <c r="AN16" i="58"/>
  <c r="AO16" i="58"/>
  <c r="AD17" i="58"/>
  <c r="AJ17" i="58" s="1"/>
  <c r="AF17" i="58"/>
  <c r="AG17" i="58" s="1"/>
  <c r="AM17" i="58"/>
  <c r="AN17" i="58"/>
  <c r="AO17" i="58"/>
  <c r="AD18" i="58"/>
  <c r="AF18" i="58"/>
  <c r="AG18" i="58" s="1"/>
  <c r="AM18" i="58"/>
  <c r="AN18" i="58"/>
  <c r="AO18" i="58"/>
  <c r="AD19" i="58"/>
  <c r="AF19" i="58"/>
  <c r="AG19" i="58" s="1"/>
  <c r="AM19" i="58"/>
  <c r="AN19" i="58"/>
  <c r="AO19" i="58"/>
  <c r="AD20" i="58"/>
  <c r="AF20" i="58"/>
  <c r="AG20" i="58" s="1"/>
  <c r="AM20" i="58"/>
  <c r="AN20" i="58"/>
  <c r="AO20" i="58"/>
  <c r="AD21" i="58"/>
  <c r="AJ21" i="58" s="1"/>
  <c r="AF21" i="58"/>
  <c r="AG21" i="58" s="1"/>
  <c r="AM21" i="58"/>
  <c r="AN21" i="58"/>
  <c r="AO21" i="58"/>
  <c r="AD22" i="58"/>
  <c r="AF22" i="58"/>
  <c r="AG22" i="58" s="1"/>
  <c r="AM22" i="58"/>
  <c r="AN22" i="58"/>
  <c r="AO22" i="58"/>
  <c r="AD23" i="58"/>
  <c r="AH23" i="58" s="1"/>
  <c r="AI23" i="58" s="1"/>
  <c r="AF23" i="58"/>
  <c r="AG23" i="58" s="1"/>
  <c r="AM23" i="58"/>
  <c r="AN23" i="58"/>
  <c r="AO23" i="58"/>
  <c r="AD24" i="58"/>
  <c r="AF24" i="58"/>
  <c r="AM24" i="58"/>
  <c r="AN24" i="58"/>
  <c r="AO24" i="58"/>
  <c r="AD25" i="58"/>
  <c r="AJ25" i="58" s="1"/>
  <c r="AF25" i="58"/>
  <c r="AG25" i="58" s="1"/>
  <c r="AM25" i="58"/>
  <c r="AN25" i="58"/>
  <c r="AO25" i="58"/>
  <c r="AD26" i="58"/>
  <c r="AF26" i="58"/>
  <c r="AG26" i="58" s="1"/>
  <c r="AM26" i="58"/>
  <c r="AN26" i="58"/>
  <c r="AO26" i="58"/>
  <c r="AD27" i="58"/>
  <c r="AH27" i="58" s="1"/>
  <c r="AI27" i="58" s="1"/>
  <c r="AF27" i="58"/>
  <c r="AG27" i="58" s="1"/>
  <c r="AM27" i="58"/>
  <c r="AN27" i="58"/>
  <c r="AO27" i="58"/>
  <c r="AD28" i="58"/>
  <c r="AF28" i="58"/>
  <c r="AG28" i="58" s="1"/>
  <c r="AM28" i="58"/>
  <c r="AN28" i="58"/>
  <c r="AO28" i="58"/>
  <c r="AD29" i="58"/>
  <c r="AJ29" i="58" s="1"/>
  <c r="AF29" i="58"/>
  <c r="AG29" i="58" s="1"/>
  <c r="AM29" i="58"/>
  <c r="AN29" i="58"/>
  <c r="AO29" i="58"/>
  <c r="AD30" i="58"/>
  <c r="AF30" i="58"/>
  <c r="AG30" i="58" s="1"/>
  <c r="AM30" i="58"/>
  <c r="AN30" i="58"/>
  <c r="AO30" i="58"/>
  <c r="AD31" i="58"/>
  <c r="AH31" i="58" s="1"/>
  <c r="AI31" i="58" s="1"/>
  <c r="AF31" i="58"/>
  <c r="AG31" i="58" s="1"/>
  <c r="AM31" i="58"/>
  <c r="AN31" i="58"/>
  <c r="AO31" i="58"/>
  <c r="AD32" i="58"/>
  <c r="AF32" i="58"/>
  <c r="AM32" i="58"/>
  <c r="AN32" i="58"/>
  <c r="AO32" i="58"/>
  <c r="AD33" i="58"/>
  <c r="AJ33" i="58" s="1"/>
  <c r="AF33" i="58"/>
  <c r="AG33" i="58" s="1"/>
  <c r="AM33" i="58"/>
  <c r="AN33" i="58"/>
  <c r="AO33" i="58"/>
  <c r="AD34" i="58"/>
  <c r="AF34" i="58"/>
  <c r="AG34" i="58" s="1"/>
  <c r="AM34" i="58"/>
  <c r="AN34" i="58"/>
  <c r="AO34" i="58"/>
  <c r="AD35" i="58"/>
  <c r="AH35" i="58" s="1"/>
  <c r="AI35" i="58" s="1"/>
  <c r="AF35" i="58"/>
  <c r="AG35" i="58" s="1"/>
  <c r="AM35" i="58"/>
  <c r="AN35" i="58"/>
  <c r="AO35" i="58"/>
  <c r="AD36" i="58"/>
  <c r="AF36" i="58"/>
  <c r="AG36" i="58" s="1"/>
  <c r="AM36" i="58"/>
  <c r="AN36" i="58"/>
  <c r="AO36" i="58"/>
  <c r="AD37" i="58"/>
  <c r="AJ37" i="58" s="1"/>
  <c r="AF37" i="58"/>
  <c r="AG37" i="58" s="1"/>
  <c r="AM37" i="58"/>
  <c r="AN37" i="58"/>
  <c r="AO37" i="58"/>
  <c r="AD38" i="58"/>
  <c r="AF38" i="58"/>
  <c r="AG38" i="58" s="1"/>
  <c r="AM38" i="58"/>
  <c r="AN38" i="58"/>
  <c r="AO38" i="58"/>
  <c r="AD39" i="58"/>
  <c r="AH39" i="58" s="1"/>
  <c r="AI39" i="58" s="1"/>
  <c r="AF39" i="58"/>
  <c r="AG39" i="58" s="1"/>
  <c r="AM39" i="58"/>
  <c r="AN39" i="58"/>
  <c r="AO39" i="58"/>
  <c r="AD40" i="58"/>
  <c r="AF40" i="58"/>
  <c r="AG40" i="58" s="1"/>
  <c r="AM40" i="58"/>
  <c r="AN40" i="58"/>
  <c r="AO40" i="58"/>
  <c r="AD41" i="58"/>
  <c r="AJ41" i="58" s="1"/>
  <c r="AF41" i="58"/>
  <c r="AG41" i="58" s="1"/>
  <c r="AM41" i="58"/>
  <c r="AN41" i="58"/>
  <c r="AO41" i="58"/>
  <c r="AD42" i="58"/>
  <c r="AF42" i="58"/>
  <c r="AG42" i="58" s="1"/>
  <c r="AM42" i="58"/>
  <c r="AN42" i="58"/>
  <c r="AO42" i="58"/>
  <c r="AD43" i="58"/>
  <c r="AH43" i="58" s="1"/>
  <c r="AI43" i="58" s="1"/>
  <c r="AF43" i="58"/>
  <c r="AG43" i="58" s="1"/>
  <c r="AM43" i="58"/>
  <c r="AN43" i="58"/>
  <c r="AO43" i="58"/>
  <c r="AD44" i="58"/>
  <c r="AF44" i="58"/>
  <c r="AG44" i="58" s="1"/>
  <c r="AM44" i="58"/>
  <c r="AN44" i="58"/>
  <c r="AO44" i="58"/>
  <c r="AD45" i="58"/>
  <c r="AJ45" i="58" s="1"/>
  <c r="AF45" i="58"/>
  <c r="AG45" i="58" s="1"/>
  <c r="AM45" i="58"/>
  <c r="AN45" i="58"/>
  <c r="AO45" i="58"/>
  <c r="AD46" i="58"/>
  <c r="AF46" i="58"/>
  <c r="AG46" i="58" s="1"/>
  <c r="AM46" i="58"/>
  <c r="AN46" i="58"/>
  <c r="AO46" i="58"/>
  <c r="AD47" i="58"/>
  <c r="AH47" i="58" s="1"/>
  <c r="AI47" i="58" s="1"/>
  <c r="AF47" i="58"/>
  <c r="AG47" i="58" s="1"/>
  <c r="AM47" i="58"/>
  <c r="AN47" i="58"/>
  <c r="AO47" i="58"/>
  <c r="AD48" i="58"/>
  <c r="AJ48" i="58" s="1"/>
  <c r="AF48" i="58"/>
  <c r="AG48" i="58" s="1"/>
  <c r="AM48" i="58"/>
  <c r="AN48" i="58"/>
  <c r="AO48" i="58"/>
  <c r="AD49" i="58"/>
  <c r="AF49" i="58"/>
  <c r="AG49" i="58" s="1"/>
  <c r="AM49" i="58"/>
  <c r="AN49" i="58"/>
  <c r="AO49" i="58"/>
  <c r="AD50" i="58"/>
  <c r="AF50" i="58"/>
  <c r="AG50" i="58" s="1"/>
  <c r="AM50" i="58"/>
  <c r="AN50" i="58"/>
  <c r="AO50" i="58"/>
  <c r="AD51" i="58"/>
  <c r="AF51" i="58"/>
  <c r="AG51" i="58" s="1"/>
  <c r="AM51" i="58"/>
  <c r="AN51" i="58"/>
  <c r="AO51" i="58"/>
  <c r="AD52" i="58"/>
  <c r="AJ52" i="58" s="1"/>
  <c r="AF52" i="58"/>
  <c r="AG52" i="58" s="1"/>
  <c r="AM52" i="58"/>
  <c r="AN52" i="58"/>
  <c r="AO52" i="58"/>
  <c r="AD53" i="58"/>
  <c r="AE53" i="58" s="1"/>
  <c r="AF53" i="58"/>
  <c r="AG53" i="58" s="1"/>
  <c r="AM53" i="58"/>
  <c r="AN53" i="58"/>
  <c r="AO53" i="58"/>
  <c r="AD54" i="58"/>
  <c r="AF54" i="58"/>
  <c r="AG54" i="58" s="1"/>
  <c r="AM54" i="58"/>
  <c r="AN54" i="58"/>
  <c r="AO54" i="58"/>
  <c r="AD55" i="58"/>
  <c r="AJ55" i="58" s="1"/>
  <c r="AF55" i="58"/>
  <c r="AG55" i="58" s="1"/>
  <c r="AM55" i="58"/>
  <c r="AN55" i="58"/>
  <c r="AO55" i="58"/>
  <c r="AD56" i="58"/>
  <c r="AE56" i="58" s="1"/>
  <c r="AF56" i="58"/>
  <c r="AG56" i="58" s="1"/>
  <c r="AM56" i="58"/>
  <c r="AN56" i="58"/>
  <c r="AO56" i="58"/>
  <c r="AD57" i="58"/>
  <c r="AH57" i="58" s="1"/>
  <c r="AI57" i="58" s="1"/>
  <c r="AF57" i="58"/>
  <c r="AG57" i="58" s="1"/>
  <c r="AM57" i="58"/>
  <c r="AN57" i="58"/>
  <c r="AO57" i="58"/>
  <c r="AD58" i="58"/>
  <c r="AJ58" i="58" s="1"/>
  <c r="AF58" i="58"/>
  <c r="AG58" i="58" s="1"/>
  <c r="AM58" i="58"/>
  <c r="AN58" i="58"/>
  <c r="AO58" i="58"/>
  <c r="AD59" i="58"/>
  <c r="AF59" i="58"/>
  <c r="AG59" i="58" s="1"/>
  <c r="AM59" i="58"/>
  <c r="AN59" i="58"/>
  <c r="AO59" i="58"/>
  <c r="AD60" i="58"/>
  <c r="AE60" i="58" s="1"/>
  <c r="AF60" i="58"/>
  <c r="AG60" i="58" s="1"/>
  <c r="AM60" i="58"/>
  <c r="AN60" i="58"/>
  <c r="AO60" i="58"/>
  <c r="AD61" i="58"/>
  <c r="AJ61" i="58" s="1"/>
  <c r="AF61" i="58"/>
  <c r="AG61" i="58" s="1"/>
  <c r="AM61" i="58"/>
  <c r="AN61" i="58"/>
  <c r="AO61" i="58"/>
  <c r="AD62" i="58"/>
  <c r="AF62" i="58"/>
  <c r="AG62" i="58" s="1"/>
  <c r="AM62" i="58"/>
  <c r="AN62" i="58"/>
  <c r="AO62" i="58"/>
  <c r="AD63" i="58"/>
  <c r="AH63" i="58" s="1"/>
  <c r="AI63" i="58" s="1"/>
  <c r="AF63" i="58"/>
  <c r="AG63" i="58" s="1"/>
  <c r="AM63" i="58"/>
  <c r="AN63" i="58"/>
  <c r="AO63" i="58"/>
  <c r="AD64" i="58"/>
  <c r="AF64" i="58"/>
  <c r="AG64" i="58" s="1"/>
  <c r="AM64" i="58"/>
  <c r="AN64" i="58"/>
  <c r="AO64" i="58"/>
  <c r="AD65" i="58"/>
  <c r="AE65" i="58" s="1"/>
  <c r="AF65" i="58"/>
  <c r="AG65" i="58" s="1"/>
  <c r="AM65" i="58"/>
  <c r="AN65" i="58"/>
  <c r="AO65" i="58"/>
  <c r="AD66" i="58"/>
  <c r="AJ66" i="58" s="1"/>
  <c r="AF66" i="58"/>
  <c r="AG66" i="58" s="1"/>
  <c r="AM66" i="58"/>
  <c r="AN66" i="58"/>
  <c r="AO66" i="58"/>
  <c r="AD67" i="58"/>
  <c r="AF67" i="58"/>
  <c r="AG67" i="58" s="1"/>
  <c r="AM67" i="58"/>
  <c r="AN67" i="58"/>
  <c r="AO67" i="58"/>
  <c r="AD68" i="58"/>
  <c r="AE68" i="58" s="1"/>
  <c r="AF68" i="58"/>
  <c r="AG68" i="58" s="1"/>
  <c r="AM68" i="58"/>
  <c r="AN68" i="58"/>
  <c r="AO68" i="58"/>
  <c r="AD69" i="58"/>
  <c r="AF69" i="58"/>
  <c r="AG69" i="58" s="1"/>
  <c r="AM69" i="58"/>
  <c r="AN69" i="58"/>
  <c r="AO69" i="58"/>
  <c r="AD70" i="58"/>
  <c r="AJ70" i="58" s="1"/>
  <c r="AF70" i="58"/>
  <c r="AG70" i="58" s="1"/>
  <c r="AM70" i="58"/>
  <c r="AN70" i="58"/>
  <c r="AO70" i="58"/>
  <c r="AD71" i="58"/>
  <c r="AF71" i="58"/>
  <c r="AG71" i="58" s="1"/>
  <c r="AM71" i="58"/>
  <c r="AN71" i="58"/>
  <c r="AO71" i="58"/>
  <c r="AD72" i="58"/>
  <c r="AH72" i="58" s="1"/>
  <c r="AI72" i="58" s="1"/>
  <c r="AF72" i="58"/>
  <c r="AM72" i="58"/>
  <c r="AN72" i="58"/>
  <c r="AO72" i="58"/>
  <c r="AD73" i="58"/>
  <c r="AJ73" i="58" s="1"/>
  <c r="AF73" i="58"/>
  <c r="AG73" i="58" s="1"/>
  <c r="AM73" i="58"/>
  <c r="AN73" i="58"/>
  <c r="AO73" i="58"/>
  <c r="AD74" i="58"/>
  <c r="AF74" i="58"/>
  <c r="AG74" i="58" s="1"/>
  <c r="AM74" i="58"/>
  <c r="AN74" i="58"/>
  <c r="AO74" i="58"/>
  <c r="AD75" i="58"/>
  <c r="AF75" i="58"/>
  <c r="AG75" i="58" s="1"/>
  <c r="AM75" i="58"/>
  <c r="AN75" i="58"/>
  <c r="AO75" i="58"/>
  <c r="AD76" i="58"/>
  <c r="AJ76" i="58" s="1"/>
  <c r="AF76" i="58"/>
  <c r="AG76" i="58" s="1"/>
  <c r="AM76" i="58"/>
  <c r="AN76" i="58"/>
  <c r="AO76" i="58"/>
  <c r="AD77" i="58"/>
  <c r="AF77" i="58"/>
  <c r="AG77" i="58" s="1"/>
  <c r="AM77" i="58"/>
  <c r="AN77" i="58"/>
  <c r="AO77" i="58"/>
  <c r="AD78" i="58"/>
  <c r="AJ78" i="58" s="1"/>
  <c r="AF78" i="58"/>
  <c r="AG78" i="58" s="1"/>
  <c r="AM78" i="58"/>
  <c r="AN78" i="58"/>
  <c r="AO78" i="58"/>
  <c r="AD79" i="58"/>
  <c r="AH79" i="58" s="1"/>
  <c r="AI79" i="58" s="1"/>
  <c r="AF79" i="58"/>
  <c r="AG79" i="58" s="1"/>
  <c r="AM79" i="58"/>
  <c r="AN79" i="58"/>
  <c r="AO79" i="58"/>
  <c r="AD80" i="58"/>
  <c r="AH80" i="58" s="1"/>
  <c r="AI80" i="58" s="1"/>
  <c r="AF80" i="58"/>
  <c r="AG80" i="58" s="1"/>
  <c r="AM80" i="58"/>
  <c r="AN80" i="58"/>
  <c r="AO80" i="58"/>
  <c r="AD81" i="58"/>
  <c r="AJ81" i="58" s="1"/>
  <c r="AF81" i="58"/>
  <c r="AG81" i="58" s="1"/>
  <c r="AM81" i="58"/>
  <c r="AN81" i="58"/>
  <c r="AO81" i="58"/>
  <c r="AD82" i="58"/>
  <c r="AF82" i="58"/>
  <c r="AG82" i="58" s="1"/>
  <c r="AM82" i="58"/>
  <c r="AN82" i="58"/>
  <c r="AO82" i="58"/>
  <c r="AD83" i="58"/>
  <c r="AJ83" i="58" s="1"/>
  <c r="AF83" i="58"/>
  <c r="AG83" i="58" s="1"/>
  <c r="AM83" i="58"/>
  <c r="AN83" i="58"/>
  <c r="AO83" i="58"/>
  <c r="AD84" i="58"/>
  <c r="AE84" i="58" s="1"/>
  <c r="AF84" i="58"/>
  <c r="AG84" i="58" s="1"/>
  <c r="AM84" i="58"/>
  <c r="AN84" i="58"/>
  <c r="AO84" i="58"/>
  <c r="AD85" i="58"/>
  <c r="AF85" i="58"/>
  <c r="AG85" i="58" s="1"/>
  <c r="AM85" i="58"/>
  <c r="AN85" i="58"/>
  <c r="AO85" i="58"/>
  <c r="AD86" i="58"/>
  <c r="AJ86" i="58" s="1"/>
  <c r="AF86" i="58"/>
  <c r="AG86" i="58" s="1"/>
  <c r="AM86" i="58"/>
  <c r="AN86" i="58"/>
  <c r="AO86" i="58"/>
  <c r="AD87" i="58"/>
  <c r="AF87" i="58"/>
  <c r="AG87" i="58" s="1"/>
  <c r="AM87" i="58"/>
  <c r="AN87" i="58"/>
  <c r="AO87" i="58"/>
  <c r="AD88" i="58"/>
  <c r="AF88" i="58"/>
  <c r="AG88" i="58" s="1"/>
  <c r="AM88" i="58"/>
  <c r="AN88" i="58"/>
  <c r="AO88" i="58"/>
  <c r="AD89" i="58"/>
  <c r="AJ89" i="58" s="1"/>
  <c r="AF89" i="58"/>
  <c r="AG89" i="58" s="1"/>
  <c r="AM89" i="58"/>
  <c r="AN89" i="58"/>
  <c r="AO89" i="58"/>
  <c r="AD90" i="58"/>
  <c r="AE90" i="58" s="1"/>
  <c r="AF90" i="58"/>
  <c r="AG90" i="58" s="1"/>
  <c r="AM90" i="58"/>
  <c r="AN90" i="58"/>
  <c r="AO90" i="58"/>
  <c r="AD91" i="58"/>
  <c r="AE91" i="58" s="1"/>
  <c r="AF91" i="58"/>
  <c r="AG91" i="58" s="1"/>
  <c r="AM91" i="58"/>
  <c r="AN91" i="58"/>
  <c r="AO91" i="58"/>
  <c r="AD92" i="58"/>
  <c r="AJ92" i="58" s="1"/>
  <c r="AF92" i="58"/>
  <c r="AG92" i="58" s="1"/>
  <c r="AM92" i="58"/>
  <c r="AN92" i="58"/>
  <c r="AO92" i="58"/>
  <c r="AD93" i="58"/>
  <c r="AF93" i="58"/>
  <c r="AG93" i="58" s="1"/>
  <c r="AM93" i="58"/>
  <c r="AN93" i="58"/>
  <c r="AO93" i="58"/>
  <c r="AD94" i="58"/>
  <c r="AJ94" i="58" s="1"/>
  <c r="AF94" i="58"/>
  <c r="AG94" i="58" s="1"/>
  <c r="AM94" i="58"/>
  <c r="AN94" i="58"/>
  <c r="AO94" i="58"/>
  <c r="AD95" i="58"/>
  <c r="AF95" i="58"/>
  <c r="AG95" i="58" s="1"/>
  <c r="AM95" i="58"/>
  <c r="AN95" i="58"/>
  <c r="AO95" i="58"/>
  <c r="AD96" i="58"/>
  <c r="AF96" i="58"/>
  <c r="AG96" i="58" s="1"/>
  <c r="AM96" i="58"/>
  <c r="AN96" i="58"/>
  <c r="AO96" i="58"/>
  <c r="AD97" i="58"/>
  <c r="AJ97" i="58" s="1"/>
  <c r="AF97" i="58"/>
  <c r="AG97" i="58" s="1"/>
  <c r="AM97" i="58"/>
  <c r="AN97" i="58"/>
  <c r="AO97" i="58"/>
  <c r="AD98" i="58"/>
  <c r="AF98" i="58"/>
  <c r="AG98" i="58" s="1"/>
  <c r="AM98" i="58"/>
  <c r="AN98" i="58"/>
  <c r="AO98" i="58"/>
  <c r="AD99" i="58"/>
  <c r="AJ99" i="58" s="1"/>
  <c r="AF99" i="58"/>
  <c r="AG99" i="58" s="1"/>
  <c r="AM99" i="58"/>
  <c r="AN99" i="58"/>
  <c r="AO99" i="58"/>
  <c r="AD100" i="58"/>
  <c r="AE100" i="58" s="1"/>
  <c r="AF100" i="58"/>
  <c r="AG100" i="58" s="1"/>
  <c r="AM100" i="58"/>
  <c r="AN100" i="58"/>
  <c r="AO100" i="58"/>
  <c r="AD101" i="58"/>
  <c r="AF101" i="58"/>
  <c r="AG101" i="58" s="1"/>
  <c r="AM101" i="58"/>
  <c r="AN101" i="58"/>
  <c r="AO101" i="58"/>
  <c r="AD102" i="58"/>
  <c r="AJ102" i="58" s="1"/>
  <c r="AF102" i="58"/>
  <c r="AG102" i="58" s="1"/>
  <c r="AM102" i="58"/>
  <c r="AN102" i="58"/>
  <c r="AO102" i="58"/>
  <c r="AD103" i="58"/>
  <c r="AH103" i="58" s="1"/>
  <c r="AI103" i="58" s="1"/>
  <c r="AF103" i="58"/>
  <c r="AG103" i="58" s="1"/>
  <c r="AM103" i="58"/>
  <c r="AN103" i="58"/>
  <c r="AO103" i="58"/>
  <c r="AD104" i="58"/>
  <c r="AH104" i="58" s="1"/>
  <c r="AI104" i="58" s="1"/>
  <c r="AF104" i="58"/>
  <c r="AG104" i="58" s="1"/>
  <c r="AM104" i="58"/>
  <c r="AN104" i="58"/>
  <c r="AO104" i="58"/>
  <c r="AD105" i="58"/>
  <c r="AJ105" i="58" s="1"/>
  <c r="AF105" i="58"/>
  <c r="AG105" i="58" s="1"/>
  <c r="AM105" i="58"/>
  <c r="AN105" i="58"/>
  <c r="AO105" i="58"/>
  <c r="AD106" i="58"/>
  <c r="AH106" i="58" s="1"/>
  <c r="AI106" i="58" s="1"/>
  <c r="AF106" i="58"/>
  <c r="AG106" i="58" s="1"/>
  <c r="AM106" i="58"/>
  <c r="AN106" i="58"/>
  <c r="AO106" i="58"/>
  <c r="AD107" i="58"/>
  <c r="AH107" i="58" s="1"/>
  <c r="AI107" i="58" s="1"/>
  <c r="AF107" i="58"/>
  <c r="AG107" i="58" s="1"/>
  <c r="AM107" i="58"/>
  <c r="AN107" i="58"/>
  <c r="AO107" i="58"/>
  <c r="AD108" i="58"/>
  <c r="AF108" i="58"/>
  <c r="AG108" i="58" s="1"/>
  <c r="AM108" i="58"/>
  <c r="AN108" i="58"/>
  <c r="AO108" i="58"/>
  <c r="AD109" i="58"/>
  <c r="AJ109" i="58" s="1"/>
  <c r="AF109" i="58"/>
  <c r="AG109" i="58" s="1"/>
  <c r="AM109" i="58"/>
  <c r="AN109" i="58"/>
  <c r="AO109" i="58"/>
  <c r="AD110" i="58"/>
  <c r="AJ110" i="58" s="1"/>
  <c r="AF110" i="58"/>
  <c r="AG110" i="58" s="1"/>
  <c r="AM110" i="58"/>
  <c r="AN110" i="58"/>
  <c r="AO110" i="58"/>
  <c r="AD111" i="58"/>
  <c r="AF111" i="58"/>
  <c r="AG111" i="58" s="1"/>
  <c r="AM111" i="58"/>
  <c r="AN111" i="58"/>
  <c r="AO111" i="58"/>
  <c r="AD112" i="58"/>
  <c r="AF112" i="58"/>
  <c r="AG112" i="58" s="1"/>
  <c r="AM112" i="58"/>
  <c r="AN112" i="58"/>
  <c r="AO112" i="58"/>
  <c r="AD113" i="58"/>
  <c r="AJ113" i="58" s="1"/>
  <c r="AF113" i="58"/>
  <c r="AG113" i="58" s="1"/>
  <c r="AM113" i="58"/>
  <c r="AN113" i="58"/>
  <c r="AO113" i="58"/>
  <c r="AD114" i="58"/>
  <c r="AH114" i="58" s="1"/>
  <c r="AI114" i="58" s="1"/>
  <c r="AF114" i="58"/>
  <c r="AG114" i="58" s="1"/>
  <c r="AM114" i="58"/>
  <c r="AN114" i="58"/>
  <c r="AO114" i="58"/>
  <c r="AD115" i="58"/>
  <c r="AH115" i="58" s="1"/>
  <c r="AI115" i="58" s="1"/>
  <c r="AF115" i="58"/>
  <c r="AG115" i="58" s="1"/>
  <c r="AM115" i="58"/>
  <c r="AN115" i="58"/>
  <c r="AO115" i="58"/>
  <c r="AD116" i="58"/>
  <c r="AE116" i="58" s="1"/>
  <c r="AF116" i="58"/>
  <c r="AG116" i="58" s="1"/>
  <c r="AM116" i="58"/>
  <c r="AN116" i="58"/>
  <c r="AO116" i="58"/>
  <c r="AD117" i="58"/>
  <c r="AJ117" i="58" s="1"/>
  <c r="AF117" i="58"/>
  <c r="AG117" i="58" s="1"/>
  <c r="AM117" i="58"/>
  <c r="AN117" i="58"/>
  <c r="AO117" i="58"/>
  <c r="AD118" i="58"/>
  <c r="AF118" i="58"/>
  <c r="AG118" i="58" s="1"/>
  <c r="AM118" i="58"/>
  <c r="AN118" i="58"/>
  <c r="AO118" i="58"/>
  <c r="AD119" i="58"/>
  <c r="AE119" i="58" s="1"/>
  <c r="AF119" i="58"/>
  <c r="AG119" i="58" s="1"/>
  <c r="AM119" i="58"/>
  <c r="AN119" i="58"/>
  <c r="AO119" i="58"/>
  <c r="AD120" i="58"/>
  <c r="AJ120" i="58" s="1"/>
  <c r="AF120" i="58"/>
  <c r="AG120" i="58" s="1"/>
  <c r="AM120" i="58"/>
  <c r="AN120" i="58"/>
  <c r="AO120" i="58"/>
  <c r="AD121" i="58"/>
  <c r="AJ121" i="58" s="1"/>
  <c r="AF121" i="58"/>
  <c r="AG121" i="58" s="1"/>
  <c r="AM121" i="58"/>
  <c r="AN121" i="58"/>
  <c r="AO121" i="58"/>
  <c r="AD122" i="58"/>
  <c r="AH122" i="58" s="1"/>
  <c r="AI122" i="58" s="1"/>
  <c r="AF122" i="58"/>
  <c r="AG122" i="58" s="1"/>
  <c r="AM122" i="58"/>
  <c r="AN122" i="58"/>
  <c r="AO122" i="58"/>
  <c r="AD123" i="58"/>
  <c r="AF123" i="58"/>
  <c r="AM123" i="58"/>
  <c r="AN123" i="58"/>
  <c r="AO123" i="58"/>
  <c r="AD124" i="58"/>
  <c r="AJ124" i="58" s="1"/>
  <c r="AF124" i="58"/>
  <c r="AG124" i="58" s="1"/>
  <c r="AM124" i="58"/>
  <c r="AN124" i="58"/>
  <c r="AO124" i="58"/>
  <c r="AD125" i="58"/>
  <c r="AJ125" i="58" s="1"/>
  <c r="AF125" i="58"/>
  <c r="AG125" i="58" s="1"/>
  <c r="AM125" i="58"/>
  <c r="AN125" i="58"/>
  <c r="AO125" i="58"/>
  <c r="AD126" i="58"/>
  <c r="AF126" i="58"/>
  <c r="AG126" i="58" s="1"/>
  <c r="AM126" i="58"/>
  <c r="AN126" i="58"/>
  <c r="AO126" i="58"/>
  <c r="AD127" i="58"/>
  <c r="AJ127" i="58" s="1"/>
  <c r="AF127" i="58"/>
  <c r="AG127" i="58" s="1"/>
  <c r="AM127" i="58"/>
  <c r="AN127" i="58"/>
  <c r="AO127" i="58"/>
  <c r="AD128" i="58"/>
  <c r="AE128" i="58" s="1"/>
  <c r="AF128" i="58"/>
  <c r="AG128" i="58" s="1"/>
  <c r="AM128" i="58"/>
  <c r="AN128" i="58"/>
  <c r="AO128" i="58"/>
  <c r="AD129" i="58"/>
  <c r="AF129" i="58"/>
  <c r="AG129" i="58" s="1"/>
  <c r="AM129" i="58"/>
  <c r="AN129" i="58"/>
  <c r="AO129" i="58"/>
  <c r="AD130" i="58"/>
  <c r="AF130" i="58"/>
  <c r="AG130" i="58" s="1"/>
  <c r="AM130" i="58"/>
  <c r="AN130" i="58"/>
  <c r="AO130" i="58"/>
  <c r="AD131" i="58"/>
  <c r="AJ131" i="58" s="1"/>
  <c r="AF131" i="58"/>
  <c r="AG131" i="58" s="1"/>
  <c r="AM131" i="58"/>
  <c r="AN131" i="58"/>
  <c r="AO131" i="58"/>
  <c r="AD132" i="58"/>
  <c r="AH132" i="58" s="1"/>
  <c r="AI132" i="58" s="1"/>
  <c r="AF132" i="58"/>
  <c r="AG132" i="58" s="1"/>
  <c r="AM132" i="58"/>
  <c r="AN132" i="58"/>
  <c r="AO132" i="58"/>
  <c r="AD133" i="58"/>
  <c r="AJ133" i="58" s="1"/>
  <c r="AF133" i="58"/>
  <c r="AG133" i="58" s="1"/>
  <c r="AM133" i="58"/>
  <c r="AN133" i="58"/>
  <c r="AO133" i="58"/>
  <c r="AD134" i="58"/>
  <c r="AJ134" i="58" s="1"/>
  <c r="AF134" i="58"/>
  <c r="AG134" i="58" s="1"/>
  <c r="AM134" i="58"/>
  <c r="AN134" i="58"/>
  <c r="AO134" i="58"/>
  <c r="AD135" i="58"/>
  <c r="AH135" i="58" s="1"/>
  <c r="AI135" i="58" s="1"/>
  <c r="AF135" i="58"/>
  <c r="AG135" i="58" s="1"/>
  <c r="AM135" i="58"/>
  <c r="AN135" i="58"/>
  <c r="AO135" i="58"/>
  <c r="AD136" i="58"/>
  <c r="AJ136" i="58" s="1"/>
  <c r="AF136" i="58"/>
  <c r="AG136" i="58" s="1"/>
  <c r="AM136" i="58"/>
  <c r="AN136" i="58"/>
  <c r="AO136" i="58"/>
  <c r="AD137" i="58"/>
  <c r="AJ137" i="58" s="1"/>
  <c r="AF137" i="58"/>
  <c r="AG137" i="58" s="1"/>
  <c r="AM137" i="58"/>
  <c r="AN137" i="58"/>
  <c r="AO137" i="58"/>
  <c r="AD138" i="58"/>
  <c r="AH138" i="58" s="1"/>
  <c r="AI138" i="58" s="1"/>
  <c r="AF138" i="58"/>
  <c r="AG138" i="58" s="1"/>
  <c r="AM138" i="58"/>
  <c r="AN138" i="58"/>
  <c r="AO138" i="58"/>
  <c r="AD139" i="58"/>
  <c r="AF139" i="58"/>
  <c r="AG139" i="58" s="1"/>
  <c r="AM139" i="58"/>
  <c r="AN139" i="58"/>
  <c r="AO139" i="58"/>
  <c r="AD140" i="58"/>
  <c r="AJ140" i="58" s="1"/>
  <c r="AF140" i="58"/>
  <c r="AG140" i="58" s="1"/>
  <c r="AM140" i="58"/>
  <c r="AN140" i="58"/>
  <c r="AO140" i="58"/>
  <c r="AD141" i="58"/>
  <c r="AJ141" i="58" s="1"/>
  <c r="AF141" i="58"/>
  <c r="AG141" i="58" s="1"/>
  <c r="AM141" i="58"/>
  <c r="AN141" i="58"/>
  <c r="AO141" i="58"/>
  <c r="AD142" i="58"/>
  <c r="AF142" i="58"/>
  <c r="AG142" i="58" s="1"/>
  <c r="AM142" i="58"/>
  <c r="AN142" i="58"/>
  <c r="AO142" i="58"/>
  <c r="AD143" i="58"/>
  <c r="AH143" i="58" s="1"/>
  <c r="AI143" i="58" s="1"/>
  <c r="AF143" i="58"/>
  <c r="AG143" i="58" s="1"/>
  <c r="AM143" i="58"/>
  <c r="AN143" i="58"/>
  <c r="AO143" i="58"/>
  <c r="AD144" i="58"/>
  <c r="AJ144" i="58" s="1"/>
  <c r="AF144" i="58"/>
  <c r="AG144" i="58" s="1"/>
  <c r="AM144" i="58"/>
  <c r="AN144" i="58"/>
  <c r="AO144" i="58"/>
  <c r="AD145" i="58"/>
  <c r="AJ145" i="58" s="1"/>
  <c r="AF145" i="58"/>
  <c r="AG145" i="58" s="1"/>
  <c r="AM145" i="58"/>
  <c r="AN145" i="58"/>
  <c r="AO145" i="58"/>
  <c r="AD146" i="58"/>
  <c r="AH146" i="58" s="1"/>
  <c r="AI146" i="58" s="1"/>
  <c r="AF146" i="58"/>
  <c r="AG146" i="58" s="1"/>
  <c r="AM146" i="58"/>
  <c r="AN146" i="58"/>
  <c r="AO146" i="58"/>
  <c r="AD147" i="58"/>
  <c r="AJ147" i="58" s="1"/>
  <c r="AF147" i="58"/>
  <c r="AG147" i="58" s="1"/>
  <c r="AM147" i="58"/>
  <c r="AN147" i="58"/>
  <c r="AO147" i="58"/>
  <c r="AD148" i="58"/>
  <c r="AF148" i="58"/>
  <c r="AG148" i="58" s="1"/>
  <c r="AM148" i="58"/>
  <c r="AN148" i="58"/>
  <c r="AO148" i="58"/>
  <c r="AD149" i="58"/>
  <c r="AJ149" i="58" s="1"/>
  <c r="AF149" i="58"/>
  <c r="AG149" i="58" s="1"/>
  <c r="AM149" i="58"/>
  <c r="AN149" i="58"/>
  <c r="AO149" i="58"/>
  <c r="AD150" i="58"/>
  <c r="AF150" i="58"/>
  <c r="AG150" i="58" s="1"/>
  <c r="AM150" i="58"/>
  <c r="AN150" i="58"/>
  <c r="AO150" i="58"/>
  <c r="AD151" i="58"/>
  <c r="AJ151" i="58" s="1"/>
  <c r="AF151" i="58"/>
  <c r="AG151" i="58" s="1"/>
  <c r="AM151" i="58"/>
  <c r="AN151" i="58"/>
  <c r="AO151" i="58"/>
  <c r="AD152" i="58"/>
  <c r="AJ152" i="58" s="1"/>
  <c r="AF152" i="58"/>
  <c r="AG152" i="58" s="1"/>
  <c r="AM152" i="58"/>
  <c r="AN152" i="58"/>
  <c r="AO152" i="58"/>
  <c r="AD153" i="58"/>
  <c r="AJ153" i="58" s="1"/>
  <c r="AF153" i="58"/>
  <c r="AG153" i="58" s="1"/>
  <c r="AM153" i="58"/>
  <c r="AN153" i="58"/>
  <c r="AO153" i="58"/>
  <c r="AD154" i="58"/>
  <c r="AF154" i="58"/>
  <c r="AG154" i="58" s="1"/>
  <c r="AM154" i="58"/>
  <c r="AN154" i="58"/>
  <c r="AO154" i="58"/>
  <c r="AD155" i="58"/>
  <c r="AJ155" i="58" s="1"/>
  <c r="AF155" i="58"/>
  <c r="AG155" i="58" s="1"/>
  <c r="AM155" i="58"/>
  <c r="AN155" i="58"/>
  <c r="AO155" i="58"/>
  <c r="AD156" i="58"/>
  <c r="AF156" i="58"/>
  <c r="AG156" i="58" s="1"/>
  <c r="AM156" i="58"/>
  <c r="AN156" i="58"/>
  <c r="AO156" i="58"/>
  <c r="AD157" i="58"/>
  <c r="AJ157" i="58" s="1"/>
  <c r="AF157" i="58"/>
  <c r="AG157" i="58" s="1"/>
  <c r="AM157" i="58"/>
  <c r="AN157" i="58"/>
  <c r="AO157" i="58"/>
  <c r="AD158" i="58"/>
  <c r="AF158" i="58"/>
  <c r="AG158" i="58" s="1"/>
  <c r="AM158" i="58"/>
  <c r="AN158" i="58"/>
  <c r="AO158" i="58"/>
  <c r="AD159" i="58"/>
  <c r="AF159" i="58"/>
  <c r="AG159" i="58" s="1"/>
  <c r="AM159" i="58"/>
  <c r="AN159" i="58"/>
  <c r="AO159" i="58"/>
  <c r="AD160" i="58"/>
  <c r="AJ160" i="58" s="1"/>
  <c r="AF160" i="58"/>
  <c r="AG160" i="58" s="1"/>
  <c r="AM160" i="58"/>
  <c r="AN160" i="58"/>
  <c r="AO160" i="58"/>
  <c r="AD161" i="58"/>
  <c r="AJ161" i="58" s="1"/>
  <c r="AF161" i="58"/>
  <c r="AG161" i="58" s="1"/>
  <c r="AM161" i="58"/>
  <c r="AN161" i="58"/>
  <c r="AO161" i="58"/>
  <c r="AD162" i="58"/>
  <c r="AH162" i="58" s="1"/>
  <c r="AI162" i="58" s="1"/>
  <c r="AF162" i="58"/>
  <c r="AG162" i="58" s="1"/>
  <c r="AM162" i="58"/>
  <c r="AN162" i="58"/>
  <c r="AO162" i="58"/>
  <c r="AD163" i="58"/>
  <c r="AJ163" i="58" s="1"/>
  <c r="AF163" i="58"/>
  <c r="AG163" i="58" s="1"/>
  <c r="AM163" i="58"/>
  <c r="AN163" i="58"/>
  <c r="AO163" i="58"/>
  <c r="AD164" i="58"/>
  <c r="AF164" i="58"/>
  <c r="AG164" i="58" s="1"/>
  <c r="AM164" i="58"/>
  <c r="AN164" i="58"/>
  <c r="AO164" i="58"/>
  <c r="AD165" i="58"/>
  <c r="AJ165" i="58" s="1"/>
  <c r="AF165" i="58"/>
  <c r="AG165" i="58" s="1"/>
  <c r="AM165" i="58"/>
  <c r="AN165" i="58"/>
  <c r="AO165" i="58"/>
  <c r="AD166" i="58"/>
  <c r="AF166" i="58"/>
  <c r="AG166" i="58" s="1"/>
  <c r="AM166" i="58"/>
  <c r="AN166" i="58"/>
  <c r="AO166" i="58"/>
  <c r="AD167" i="58"/>
  <c r="AJ167" i="58" s="1"/>
  <c r="AF167" i="58"/>
  <c r="AG167" i="58" s="1"/>
  <c r="AM167" i="58"/>
  <c r="AN167" i="58"/>
  <c r="AO167" i="58"/>
  <c r="AD168" i="58"/>
  <c r="AJ168" i="58" s="1"/>
  <c r="AF168" i="58"/>
  <c r="AG168" i="58" s="1"/>
  <c r="AM168" i="58"/>
  <c r="AN168" i="58"/>
  <c r="AO168" i="58"/>
  <c r="AD169" i="58"/>
  <c r="AJ169" i="58" s="1"/>
  <c r="AF169" i="58"/>
  <c r="AG169" i="58" s="1"/>
  <c r="AM169" i="58"/>
  <c r="AN169" i="58"/>
  <c r="AO169" i="58"/>
  <c r="AD170" i="58"/>
  <c r="AH170" i="58" s="1"/>
  <c r="AI170" i="58" s="1"/>
  <c r="AF170" i="58"/>
  <c r="AG170" i="58" s="1"/>
  <c r="AM170" i="58"/>
  <c r="AN170" i="58"/>
  <c r="AO170" i="58"/>
  <c r="AD171" i="58"/>
  <c r="AJ171" i="58" s="1"/>
  <c r="AF171" i="58"/>
  <c r="AG171" i="58" s="1"/>
  <c r="AM171" i="58"/>
  <c r="AN171" i="58"/>
  <c r="AO171" i="58"/>
  <c r="AE110" i="58" l="1"/>
  <c r="AE151" i="58"/>
  <c r="AH127" i="58"/>
  <c r="AI127" i="58" s="1"/>
  <c r="AH120" i="58"/>
  <c r="AI120" i="58" s="1"/>
  <c r="AH151" i="58"/>
  <c r="AI151" i="58" s="1"/>
  <c r="AH91" i="58"/>
  <c r="AI91" i="58" s="1"/>
  <c r="AH147" i="58"/>
  <c r="AI147" i="58" s="1"/>
  <c r="AH144" i="58"/>
  <c r="AI144" i="58" s="1"/>
  <c r="AE61" i="58"/>
  <c r="AJ35" i="58"/>
  <c r="AH128" i="58"/>
  <c r="AI128" i="58" s="1"/>
  <c r="AJ7" i="58"/>
  <c r="AE171" i="58"/>
  <c r="AH168" i="58"/>
  <c r="AI168" i="58" s="1"/>
  <c r="AH48" i="58"/>
  <c r="AI48" i="58" s="1"/>
  <c r="AE70" i="58"/>
  <c r="AK24" i="58"/>
  <c r="AL24" i="58" s="1"/>
  <c r="AH152" i="58"/>
  <c r="AI152" i="58" s="1"/>
  <c r="AE155" i="58"/>
  <c r="AE152" i="58"/>
  <c r="AH94" i="58"/>
  <c r="AI94" i="58" s="1"/>
  <c r="AK155" i="58"/>
  <c r="AL155" i="58" s="1"/>
  <c r="AE144" i="58"/>
  <c r="AE99" i="58"/>
  <c r="AH167" i="58"/>
  <c r="AI167" i="58" s="1"/>
  <c r="AH160" i="58"/>
  <c r="AI160" i="58" s="1"/>
  <c r="AH136" i="58"/>
  <c r="AI136" i="58" s="1"/>
  <c r="AK99" i="58"/>
  <c r="AL99" i="58" s="1"/>
  <c r="AK22" i="58"/>
  <c r="AL22" i="58" s="1"/>
  <c r="AH171" i="58"/>
  <c r="AI171" i="58" s="1"/>
  <c r="AH165" i="58"/>
  <c r="AI165" i="58" s="1"/>
  <c r="AH149" i="58"/>
  <c r="AI149" i="58" s="1"/>
  <c r="AH141" i="58"/>
  <c r="AI141" i="58" s="1"/>
  <c r="AH100" i="58"/>
  <c r="AI100" i="58" s="1"/>
  <c r="AH73" i="58"/>
  <c r="AI73" i="58" s="1"/>
  <c r="AH53" i="58"/>
  <c r="AI53" i="58" s="1"/>
  <c r="AK167" i="58"/>
  <c r="AL167" i="58" s="1"/>
  <c r="AE167" i="58"/>
  <c r="AK151" i="58"/>
  <c r="AL151" i="58" s="1"/>
  <c r="AE127" i="58"/>
  <c r="AE124" i="58"/>
  <c r="AH110" i="58"/>
  <c r="AI110" i="58" s="1"/>
  <c r="AH99" i="58"/>
  <c r="AI99" i="58" s="1"/>
  <c r="AE94" i="58"/>
  <c r="AE76" i="58"/>
  <c r="AH70" i="58"/>
  <c r="AI70" i="58" s="1"/>
  <c r="AH66" i="58"/>
  <c r="AI66" i="58" s="1"/>
  <c r="AH61" i="58"/>
  <c r="AI61" i="58" s="1"/>
  <c r="AK49" i="58"/>
  <c r="AL49" i="58" s="1"/>
  <c r="AE48" i="58"/>
  <c r="AK34" i="58"/>
  <c r="AL34" i="58" s="1"/>
  <c r="AK6" i="58"/>
  <c r="AL6" i="58" s="1"/>
  <c r="AK111" i="58"/>
  <c r="AL111" i="58" s="1"/>
  <c r="AK38" i="58"/>
  <c r="AL38" i="58" s="1"/>
  <c r="AK160" i="58"/>
  <c r="AL160" i="58" s="1"/>
  <c r="AH155" i="58"/>
  <c r="AI155" i="58" s="1"/>
  <c r="AK136" i="58"/>
  <c r="AL136" i="58" s="1"/>
  <c r="AH125" i="58"/>
  <c r="AI125" i="58" s="1"/>
  <c r="AH92" i="58"/>
  <c r="AI92" i="58" s="1"/>
  <c r="AK87" i="58"/>
  <c r="AL87" i="58" s="1"/>
  <c r="AH86" i="58"/>
  <c r="AI86" i="58" s="1"/>
  <c r="AK83" i="58"/>
  <c r="AL83" i="58" s="1"/>
  <c r="AH78" i="58"/>
  <c r="AI78" i="58" s="1"/>
  <c r="AK76" i="58"/>
  <c r="AL76" i="58" s="1"/>
  <c r="AH60" i="58"/>
  <c r="AI60" i="58" s="1"/>
  <c r="AH55" i="58"/>
  <c r="AI55" i="58" s="1"/>
  <c r="AJ39" i="58"/>
  <c r="AK14" i="58"/>
  <c r="AL14" i="58" s="1"/>
  <c r="AJ11" i="58"/>
  <c r="AK171" i="58"/>
  <c r="AL171" i="58" s="1"/>
  <c r="AE168" i="58"/>
  <c r="AH163" i="58"/>
  <c r="AI163" i="58" s="1"/>
  <c r="AE160" i="58"/>
  <c r="AK144" i="58"/>
  <c r="AL144" i="58" s="1"/>
  <c r="AE136" i="58"/>
  <c r="AK127" i="58"/>
  <c r="AL127" i="58" s="1"/>
  <c r="AE120" i="58"/>
  <c r="AH102" i="58"/>
  <c r="AI102" i="58" s="1"/>
  <c r="AH97" i="58"/>
  <c r="AI97" i="58" s="1"/>
  <c r="AH83" i="58"/>
  <c r="AI83" i="58" s="1"/>
  <c r="AH81" i="58"/>
  <c r="AI81" i="58" s="1"/>
  <c r="AK79" i="58"/>
  <c r="AL79" i="58" s="1"/>
  <c r="AH76" i="58"/>
  <c r="AI76" i="58" s="1"/>
  <c r="AH68" i="58"/>
  <c r="AI68" i="58" s="1"/>
  <c r="AH52" i="58"/>
  <c r="AI52" i="58" s="1"/>
  <c r="AK46" i="58"/>
  <c r="AL46" i="58" s="1"/>
  <c r="AJ43" i="58"/>
  <c r="AJ31" i="58"/>
  <c r="AJ159" i="58"/>
  <c r="AE159" i="58"/>
  <c r="AJ130" i="58"/>
  <c r="AE130" i="58"/>
  <c r="AJ118" i="58"/>
  <c r="AE118" i="58"/>
  <c r="AJ108" i="58"/>
  <c r="AE108" i="58"/>
  <c r="AK108" i="58"/>
  <c r="AL108" i="58" s="1"/>
  <c r="AJ77" i="58"/>
  <c r="AH77" i="58"/>
  <c r="AI77" i="58" s="1"/>
  <c r="AJ51" i="58"/>
  <c r="AH51" i="58"/>
  <c r="AI51" i="58" s="1"/>
  <c r="AH19" i="58"/>
  <c r="AI19" i="58" s="1"/>
  <c r="AJ19" i="58"/>
  <c r="AJ154" i="58"/>
  <c r="AE154" i="58"/>
  <c r="AJ166" i="58"/>
  <c r="AH166" i="58"/>
  <c r="AI166" i="58" s="1"/>
  <c r="AJ164" i="58"/>
  <c r="AH164" i="58"/>
  <c r="AI164" i="58" s="1"/>
  <c r="AE164" i="58"/>
  <c r="AK164" i="58"/>
  <c r="AL164" i="58" s="1"/>
  <c r="AJ162" i="58"/>
  <c r="AE162" i="58"/>
  <c r="AJ156" i="58"/>
  <c r="AH156" i="58"/>
  <c r="AI156" i="58" s="1"/>
  <c r="AH154" i="58"/>
  <c r="AI154" i="58" s="1"/>
  <c r="AJ143" i="58"/>
  <c r="AE143" i="58"/>
  <c r="AJ122" i="58"/>
  <c r="AE122" i="58"/>
  <c r="AH119" i="58"/>
  <c r="AI119" i="58" s="1"/>
  <c r="AH116" i="58"/>
  <c r="AI116" i="58" s="1"/>
  <c r="AJ115" i="58"/>
  <c r="AE115" i="58"/>
  <c r="AK115" i="58"/>
  <c r="AL115" i="58" s="1"/>
  <c r="AK72" i="58"/>
  <c r="AL72" i="58" s="1"/>
  <c r="AG72" i="58"/>
  <c r="AJ63" i="58"/>
  <c r="AE63" i="58"/>
  <c r="AK52" i="58"/>
  <c r="AL52" i="58" s="1"/>
  <c r="AJ170" i="58"/>
  <c r="AE170" i="58"/>
  <c r="AH159" i="58"/>
  <c r="AI159" i="58" s="1"/>
  <c r="AJ158" i="58"/>
  <c r="AE158" i="58"/>
  <c r="AH158" i="58"/>
  <c r="AI158" i="58" s="1"/>
  <c r="AJ150" i="58"/>
  <c r="AH150" i="58"/>
  <c r="AI150" i="58" s="1"/>
  <c r="AJ148" i="58"/>
  <c r="AH148" i="58"/>
  <c r="AI148" i="58" s="1"/>
  <c r="AE148" i="58"/>
  <c r="AK148" i="58"/>
  <c r="AL148" i="58" s="1"/>
  <c r="AJ146" i="58"/>
  <c r="AE146" i="58"/>
  <c r="AK139" i="58"/>
  <c r="AL139" i="58" s="1"/>
  <c r="AJ138" i="58"/>
  <c r="AE138" i="58"/>
  <c r="AH130" i="58"/>
  <c r="AI130" i="58" s="1"/>
  <c r="AK123" i="58"/>
  <c r="AL123" i="58" s="1"/>
  <c r="AG123" i="58"/>
  <c r="AH108" i="58"/>
  <c r="AI108" i="58" s="1"/>
  <c r="AK96" i="58"/>
  <c r="AL96" i="58" s="1"/>
  <c r="AK92" i="58"/>
  <c r="AL92" i="58" s="1"/>
  <c r="AH84" i="58"/>
  <c r="AI84" i="58" s="1"/>
  <c r="AK16" i="58"/>
  <c r="AL16" i="58" s="1"/>
  <c r="AG16" i="58"/>
  <c r="AK104" i="58"/>
  <c r="AL104" i="58" s="1"/>
  <c r="AE102" i="58"/>
  <c r="AE96" i="58"/>
  <c r="AE92" i="58"/>
  <c r="AE86" i="58"/>
  <c r="AE83" i="58"/>
  <c r="AE55" i="58"/>
  <c r="AE52" i="58"/>
  <c r="AG24" i="58"/>
  <c r="AH133" i="58"/>
  <c r="AI133" i="58" s="1"/>
  <c r="AK132" i="58"/>
  <c r="AL132" i="58" s="1"/>
  <c r="AK120" i="58"/>
  <c r="AL120" i="58" s="1"/>
  <c r="AH113" i="58"/>
  <c r="AI113" i="58" s="1"/>
  <c r="AK61" i="58"/>
  <c r="AL61" i="58" s="1"/>
  <c r="AH58" i="58"/>
  <c r="AI58" i="58" s="1"/>
  <c r="AK32" i="58"/>
  <c r="AL32" i="58" s="1"/>
  <c r="AJ27" i="58"/>
  <c r="AJ142" i="58"/>
  <c r="AE142" i="58"/>
  <c r="AJ139" i="58"/>
  <c r="AE139" i="58"/>
  <c r="AJ135" i="58"/>
  <c r="AK135" i="58"/>
  <c r="AL135" i="58" s="1"/>
  <c r="AJ95" i="58"/>
  <c r="AE95" i="58"/>
  <c r="AH95" i="58"/>
  <c r="AI95" i="58" s="1"/>
  <c r="AJ88" i="58"/>
  <c r="AE88" i="58"/>
  <c r="AJ87" i="58"/>
  <c r="AH87" i="58"/>
  <c r="AI87" i="58" s="1"/>
  <c r="AJ74" i="58"/>
  <c r="AE74" i="58"/>
  <c r="AJ59" i="58"/>
  <c r="AH59" i="58"/>
  <c r="AI59" i="58" s="1"/>
  <c r="AJ54" i="58"/>
  <c r="AH54" i="58"/>
  <c r="AI54" i="58" s="1"/>
  <c r="AH161" i="58"/>
  <c r="AI161" i="58" s="1"/>
  <c r="AH145" i="58"/>
  <c r="AI145" i="58" s="1"/>
  <c r="AH142" i="58"/>
  <c r="AI142" i="58" s="1"/>
  <c r="AH140" i="58"/>
  <c r="AI140" i="58" s="1"/>
  <c r="AH139" i="58"/>
  <c r="AI139" i="58" s="1"/>
  <c r="AH137" i="58"/>
  <c r="AI137" i="58" s="1"/>
  <c r="AH134" i="58"/>
  <c r="AI134" i="58" s="1"/>
  <c r="AH131" i="58"/>
  <c r="AI131" i="58" s="1"/>
  <c r="AJ128" i="58"/>
  <c r="AK128" i="58"/>
  <c r="AL128" i="58" s="1"/>
  <c r="AK124" i="58"/>
  <c r="AL124" i="58" s="1"/>
  <c r="AJ112" i="58"/>
  <c r="AE112" i="58"/>
  <c r="AK112" i="58"/>
  <c r="AL112" i="58" s="1"/>
  <c r="AJ111" i="58"/>
  <c r="AE111" i="58"/>
  <c r="AJ96" i="58"/>
  <c r="AH96" i="58"/>
  <c r="AI96" i="58" s="1"/>
  <c r="AK95" i="58"/>
  <c r="AL95" i="58" s="1"/>
  <c r="AK88" i="58"/>
  <c r="AL88" i="58" s="1"/>
  <c r="AJ82" i="58"/>
  <c r="AE82" i="58"/>
  <c r="AJ75" i="58"/>
  <c r="AK75" i="58"/>
  <c r="AL75" i="58" s="1"/>
  <c r="AE75" i="58"/>
  <c r="AJ71" i="58"/>
  <c r="AE71" i="58"/>
  <c r="AK71" i="58"/>
  <c r="AL71" i="58" s="1"/>
  <c r="AJ68" i="58"/>
  <c r="AK68" i="58"/>
  <c r="AL68" i="58" s="1"/>
  <c r="AJ67" i="58"/>
  <c r="AE67" i="58"/>
  <c r="AH67" i="58"/>
  <c r="AI67" i="58" s="1"/>
  <c r="AJ62" i="58"/>
  <c r="AH62" i="58"/>
  <c r="AI62" i="58" s="1"/>
  <c r="AJ60" i="58"/>
  <c r="AK60" i="58"/>
  <c r="AL60" i="58" s="1"/>
  <c r="AJ50" i="58"/>
  <c r="AE50" i="58"/>
  <c r="AK50" i="58"/>
  <c r="AL50" i="58" s="1"/>
  <c r="AJ49" i="58"/>
  <c r="AE49" i="58"/>
  <c r="AK26" i="58"/>
  <c r="AL26" i="58" s="1"/>
  <c r="AK163" i="58"/>
  <c r="AL163" i="58" s="1"/>
  <c r="AH157" i="58"/>
  <c r="AI157" i="58" s="1"/>
  <c r="AK156" i="58"/>
  <c r="AL156" i="58" s="1"/>
  <c r="AK147" i="58"/>
  <c r="AL147" i="58" s="1"/>
  <c r="AJ126" i="58"/>
  <c r="AE126" i="58"/>
  <c r="AJ123" i="58"/>
  <c r="AE123" i="58"/>
  <c r="AJ119" i="58"/>
  <c r="AK119" i="58"/>
  <c r="AL119" i="58" s="1"/>
  <c r="AH117" i="58"/>
  <c r="AI117" i="58" s="1"/>
  <c r="AH111" i="58"/>
  <c r="AI111" i="58" s="1"/>
  <c r="AH109" i="58"/>
  <c r="AI109" i="58" s="1"/>
  <c r="AJ106" i="58"/>
  <c r="AE106" i="58"/>
  <c r="AH105" i="58"/>
  <c r="AI105" i="58" s="1"/>
  <c r="AJ90" i="58"/>
  <c r="AH90" i="58"/>
  <c r="AI90" i="58" s="1"/>
  <c r="AH89" i="58"/>
  <c r="AI89" i="58" s="1"/>
  <c r="AH88" i="58"/>
  <c r="AI88" i="58" s="1"/>
  <c r="AJ85" i="58"/>
  <c r="AH85" i="58"/>
  <c r="AI85" i="58" s="1"/>
  <c r="AH82" i="58"/>
  <c r="AI82" i="58" s="1"/>
  <c r="AH75" i="58"/>
  <c r="AI75" i="58" s="1"/>
  <c r="AH74" i="58"/>
  <c r="AI74" i="58" s="1"/>
  <c r="AJ64" i="58"/>
  <c r="AE64" i="58"/>
  <c r="AH64" i="58"/>
  <c r="AI64" i="58" s="1"/>
  <c r="AJ57" i="58"/>
  <c r="AE57" i="58"/>
  <c r="AK56" i="58"/>
  <c r="AL56" i="58" s="1"/>
  <c r="AJ56" i="58"/>
  <c r="AH56" i="58"/>
  <c r="AI56" i="58" s="1"/>
  <c r="AH49" i="58"/>
  <c r="AI49" i="58" s="1"/>
  <c r="AJ23" i="58"/>
  <c r="AK18" i="58"/>
  <c r="AL18" i="58" s="1"/>
  <c r="AH169" i="58"/>
  <c r="AI169" i="58" s="1"/>
  <c r="AK168" i="58"/>
  <c r="AL168" i="58" s="1"/>
  <c r="AE166" i="58"/>
  <c r="AE163" i="58"/>
  <c r="AK159" i="58"/>
  <c r="AL159" i="58" s="1"/>
  <c r="AE156" i="58"/>
  <c r="AH153" i="58"/>
  <c r="AI153" i="58" s="1"/>
  <c r="AK152" i="58"/>
  <c r="AL152" i="58" s="1"/>
  <c r="AE150" i="58"/>
  <c r="AE147" i="58"/>
  <c r="AK143" i="58"/>
  <c r="AL143" i="58" s="1"/>
  <c r="AK140" i="58"/>
  <c r="AL140" i="58" s="1"/>
  <c r="AE140" i="58"/>
  <c r="AE135" i="58"/>
  <c r="AE134" i="58"/>
  <c r="AJ132" i="58"/>
  <c r="AE132" i="58"/>
  <c r="AK131" i="58"/>
  <c r="AL131" i="58" s="1"/>
  <c r="AE131" i="58"/>
  <c r="AJ129" i="58"/>
  <c r="AH129" i="58"/>
  <c r="AI129" i="58" s="1"/>
  <c r="AH126" i="58"/>
  <c r="AI126" i="58" s="1"/>
  <c r="AH124" i="58"/>
  <c r="AI124" i="58" s="1"/>
  <c r="AH123" i="58"/>
  <c r="AI123" i="58" s="1"/>
  <c r="AH121" i="58"/>
  <c r="AI121" i="58" s="1"/>
  <c r="AH118" i="58"/>
  <c r="AI118" i="58" s="1"/>
  <c r="AJ114" i="58"/>
  <c r="AE114" i="58"/>
  <c r="AH112" i="58"/>
  <c r="AI112" i="58" s="1"/>
  <c r="AJ107" i="58"/>
  <c r="AK107" i="58"/>
  <c r="AL107" i="58" s="1"/>
  <c r="AE107" i="58"/>
  <c r="AJ103" i="58"/>
  <c r="AE103" i="58"/>
  <c r="AK103" i="58"/>
  <c r="AL103" i="58" s="1"/>
  <c r="AJ100" i="58"/>
  <c r="AK100" i="58"/>
  <c r="AL100" i="58" s="1"/>
  <c r="AJ98" i="58"/>
  <c r="AE98" i="58"/>
  <c r="AH98" i="58"/>
  <c r="AI98" i="58" s="1"/>
  <c r="AJ93" i="58"/>
  <c r="AH93" i="58"/>
  <c r="AI93" i="58" s="1"/>
  <c r="AJ91" i="58"/>
  <c r="AK91" i="58"/>
  <c r="AL91" i="58" s="1"/>
  <c r="AE87" i="58"/>
  <c r="AJ80" i="58"/>
  <c r="AE80" i="58"/>
  <c r="AK80" i="58"/>
  <c r="AL80" i="58" s="1"/>
  <c r="AJ79" i="58"/>
  <c r="AE79" i="58"/>
  <c r="AE78" i="58"/>
  <c r="AH71" i="58"/>
  <c r="AI71" i="58" s="1"/>
  <c r="AK65" i="58"/>
  <c r="AL65" i="58" s="1"/>
  <c r="AJ65" i="58"/>
  <c r="AH65" i="58"/>
  <c r="AI65" i="58" s="1"/>
  <c r="AK64" i="58"/>
  <c r="AL64" i="58" s="1"/>
  <c r="AE59" i="58"/>
  <c r="AK57" i="58"/>
  <c r="AL57" i="58" s="1"/>
  <c r="AH50" i="58"/>
  <c r="AI50" i="58" s="1"/>
  <c r="AK47" i="58"/>
  <c r="AL47" i="58" s="1"/>
  <c r="AK42" i="58"/>
  <c r="AL42" i="58" s="1"/>
  <c r="AK40" i="58"/>
  <c r="AL40" i="58" s="1"/>
  <c r="AG32" i="58"/>
  <c r="AK30" i="58"/>
  <c r="AL30" i="58" s="1"/>
  <c r="AJ15" i="58"/>
  <c r="AK10" i="58"/>
  <c r="AL10" i="58" s="1"/>
  <c r="AK8" i="58"/>
  <c r="AL8" i="58" s="1"/>
  <c r="AJ116" i="58"/>
  <c r="AK116" i="58"/>
  <c r="AL116" i="58" s="1"/>
  <c r="AJ104" i="58"/>
  <c r="AE104" i="58"/>
  <c r="AJ101" i="58"/>
  <c r="AH101" i="58"/>
  <c r="AI101" i="58" s="1"/>
  <c r="AJ84" i="58"/>
  <c r="AK84" i="58"/>
  <c r="AL84" i="58" s="1"/>
  <c r="AJ72" i="58"/>
  <c r="AE72" i="58"/>
  <c r="AJ69" i="58"/>
  <c r="AH69" i="58"/>
  <c r="AI69" i="58" s="1"/>
  <c r="AJ53" i="58"/>
  <c r="AK53" i="58"/>
  <c r="AL53" i="58" s="1"/>
  <c r="AK44" i="58"/>
  <c r="AL44" i="58" s="1"/>
  <c r="AK36" i="58"/>
  <c r="AL36" i="58" s="1"/>
  <c r="AK28" i="58"/>
  <c r="AL28" i="58" s="1"/>
  <c r="AK20" i="58"/>
  <c r="AL20" i="58" s="1"/>
  <c r="AK12" i="58"/>
  <c r="AL12" i="58" s="1"/>
  <c r="AE46" i="58"/>
  <c r="AH46" i="58"/>
  <c r="AI46" i="58" s="1"/>
  <c r="AE42" i="58"/>
  <c r="AH42" i="58"/>
  <c r="AI42" i="58" s="1"/>
  <c r="AE38" i="58"/>
  <c r="AH38" i="58"/>
  <c r="AI38" i="58" s="1"/>
  <c r="AE34" i="58"/>
  <c r="AH34" i="58"/>
  <c r="AI34" i="58" s="1"/>
  <c r="AE30" i="58"/>
  <c r="AH30" i="58"/>
  <c r="AI30" i="58" s="1"/>
  <c r="AE26" i="58"/>
  <c r="AH26" i="58"/>
  <c r="AI26" i="58" s="1"/>
  <c r="AE22" i="58"/>
  <c r="AH22" i="58"/>
  <c r="AI22" i="58" s="1"/>
  <c r="AE18" i="58"/>
  <c r="AH18" i="58"/>
  <c r="AI18" i="58" s="1"/>
  <c r="AE14" i="58"/>
  <c r="AH14" i="58"/>
  <c r="AI14" i="58" s="1"/>
  <c r="AE10" i="58"/>
  <c r="AH10" i="58"/>
  <c r="AI10" i="58" s="1"/>
  <c r="AE6" i="58"/>
  <c r="AH6" i="58"/>
  <c r="AI6" i="58" s="1"/>
  <c r="AE5" i="58"/>
  <c r="AK5" i="58"/>
  <c r="AL5" i="58" s="1"/>
  <c r="AJ46" i="58"/>
  <c r="AE45" i="58"/>
  <c r="AK45" i="58"/>
  <c r="AL45" i="58" s="1"/>
  <c r="AJ42" i="58"/>
  <c r="AE41" i="58"/>
  <c r="AK41" i="58"/>
  <c r="AL41" i="58" s="1"/>
  <c r="AJ38" i="58"/>
  <c r="AE37" i="58"/>
  <c r="AK37" i="58"/>
  <c r="AL37" i="58" s="1"/>
  <c r="AJ34" i="58"/>
  <c r="AE33" i="58"/>
  <c r="AK33" i="58"/>
  <c r="AL33" i="58" s="1"/>
  <c r="AJ30" i="58"/>
  <c r="AE29" i="58"/>
  <c r="AK29" i="58"/>
  <c r="AL29" i="58" s="1"/>
  <c r="AJ26" i="58"/>
  <c r="AE25" i="58"/>
  <c r="AK25" i="58"/>
  <c r="AL25" i="58" s="1"/>
  <c r="AJ22" i="58"/>
  <c r="AE21" i="58"/>
  <c r="AK21" i="58"/>
  <c r="AL21" i="58" s="1"/>
  <c r="AJ18" i="58"/>
  <c r="AE17" i="58"/>
  <c r="AK17" i="58"/>
  <c r="AL17" i="58" s="1"/>
  <c r="AJ14" i="58"/>
  <c r="AE13" i="58"/>
  <c r="AK13" i="58"/>
  <c r="AL13" i="58" s="1"/>
  <c r="AJ10" i="58"/>
  <c r="AE9" i="58"/>
  <c r="AK9" i="58"/>
  <c r="AL9" i="58" s="1"/>
  <c r="AJ6" i="58"/>
  <c r="AH5" i="58"/>
  <c r="AI5" i="58" s="1"/>
  <c r="AK169" i="58"/>
  <c r="AL169" i="58" s="1"/>
  <c r="AK165" i="58"/>
  <c r="AL165" i="58" s="1"/>
  <c r="AK161" i="58"/>
  <c r="AL161" i="58" s="1"/>
  <c r="AK157" i="58"/>
  <c r="AL157" i="58" s="1"/>
  <c r="AK153" i="58"/>
  <c r="AL153" i="58" s="1"/>
  <c r="AK149" i="58"/>
  <c r="AL149" i="58" s="1"/>
  <c r="AK145" i="58"/>
  <c r="AL145" i="58" s="1"/>
  <c r="AK141" i="58"/>
  <c r="AL141" i="58" s="1"/>
  <c r="AK137" i="58"/>
  <c r="AL137" i="58" s="1"/>
  <c r="AK133" i="58"/>
  <c r="AL133" i="58" s="1"/>
  <c r="AK129" i="58"/>
  <c r="AL129" i="58" s="1"/>
  <c r="AK125" i="58"/>
  <c r="AL125" i="58" s="1"/>
  <c r="AK121" i="58"/>
  <c r="AL121" i="58" s="1"/>
  <c r="AK117" i="58"/>
  <c r="AL117" i="58" s="1"/>
  <c r="AK113" i="58"/>
  <c r="AL113" i="58" s="1"/>
  <c r="AK109" i="58"/>
  <c r="AL109" i="58" s="1"/>
  <c r="AK105" i="58"/>
  <c r="AL105" i="58" s="1"/>
  <c r="AK101" i="58"/>
  <c r="AL101" i="58" s="1"/>
  <c r="AK97" i="58"/>
  <c r="AL97" i="58" s="1"/>
  <c r="AK93" i="58"/>
  <c r="AL93" i="58" s="1"/>
  <c r="AK89" i="58"/>
  <c r="AL89" i="58" s="1"/>
  <c r="AK85" i="58"/>
  <c r="AL85" i="58" s="1"/>
  <c r="AK81" i="58"/>
  <c r="AL81" i="58" s="1"/>
  <c r="AK77" i="58"/>
  <c r="AL77" i="58" s="1"/>
  <c r="AK73" i="58"/>
  <c r="AL73" i="58" s="1"/>
  <c r="AK69" i="58"/>
  <c r="AL69" i="58" s="1"/>
  <c r="AK66" i="58"/>
  <c r="AL66" i="58" s="1"/>
  <c r="AK62" i="58"/>
  <c r="AL62" i="58" s="1"/>
  <c r="AK58" i="58"/>
  <c r="AL58" i="58" s="1"/>
  <c r="AK54" i="58"/>
  <c r="AL54" i="58" s="1"/>
  <c r="AK51" i="58"/>
  <c r="AL51" i="58" s="1"/>
  <c r="AH45" i="58"/>
  <c r="AI45" i="58" s="1"/>
  <c r="AE44" i="58"/>
  <c r="AH44" i="58"/>
  <c r="AI44" i="58" s="1"/>
  <c r="AH41" i="58"/>
  <c r="AI41" i="58" s="1"/>
  <c r="AE40" i="58"/>
  <c r="AH40" i="58"/>
  <c r="AI40" i="58" s="1"/>
  <c r="AH37" i="58"/>
  <c r="AI37" i="58" s="1"/>
  <c r="AE36" i="58"/>
  <c r="AH36" i="58"/>
  <c r="AI36" i="58" s="1"/>
  <c r="AH33" i="58"/>
  <c r="AI33" i="58" s="1"/>
  <c r="AE32" i="58"/>
  <c r="AH32" i="58"/>
  <c r="AI32" i="58" s="1"/>
  <c r="AH29" i="58"/>
  <c r="AI29" i="58" s="1"/>
  <c r="AE28" i="58"/>
  <c r="AH28" i="58"/>
  <c r="AI28" i="58" s="1"/>
  <c r="AH25" i="58"/>
  <c r="AI25" i="58" s="1"/>
  <c r="AE24" i="58"/>
  <c r="AH24" i="58"/>
  <c r="AI24" i="58" s="1"/>
  <c r="AH21" i="58"/>
  <c r="AI21" i="58" s="1"/>
  <c r="AE20" i="58"/>
  <c r="AH20" i="58"/>
  <c r="AI20" i="58" s="1"/>
  <c r="AH17" i="58"/>
  <c r="AI17" i="58" s="1"/>
  <c r="AE16" i="58"/>
  <c r="AH16" i="58"/>
  <c r="AI16" i="58" s="1"/>
  <c r="AH13" i="58"/>
  <c r="AI13" i="58" s="1"/>
  <c r="AE12" i="58"/>
  <c r="AH12" i="58"/>
  <c r="AI12" i="58" s="1"/>
  <c r="AH9" i="58"/>
  <c r="AI9" i="58" s="1"/>
  <c r="AE8" i="58"/>
  <c r="AH8" i="58"/>
  <c r="AI8" i="58" s="1"/>
  <c r="AK170" i="58"/>
  <c r="AL170" i="58" s="1"/>
  <c r="AE169" i="58"/>
  <c r="AK166" i="58"/>
  <c r="AL166" i="58" s="1"/>
  <c r="AE165" i="58"/>
  <c r="AK162" i="58"/>
  <c r="AL162" i="58" s="1"/>
  <c r="AE161" i="58"/>
  <c r="AK158" i="58"/>
  <c r="AL158" i="58" s="1"/>
  <c r="AE157" i="58"/>
  <c r="AK154" i="58"/>
  <c r="AL154" i="58" s="1"/>
  <c r="AE153" i="58"/>
  <c r="AK150" i="58"/>
  <c r="AL150" i="58" s="1"/>
  <c r="AE149" i="58"/>
  <c r="AK146" i="58"/>
  <c r="AL146" i="58" s="1"/>
  <c r="AE145" i="58"/>
  <c r="AK142" i="58"/>
  <c r="AL142" i="58" s="1"/>
  <c r="AE141" i="58"/>
  <c r="AK138" i="58"/>
  <c r="AL138" i="58" s="1"/>
  <c r="AE137" i="58"/>
  <c r="AK134" i="58"/>
  <c r="AL134" i="58" s="1"/>
  <c r="AE133" i="58"/>
  <c r="AK130" i="58"/>
  <c r="AL130" i="58" s="1"/>
  <c r="AE129" i="58"/>
  <c r="AK126" i="58"/>
  <c r="AL126" i="58" s="1"/>
  <c r="AE125" i="58"/>
  <c r="AK122" i="58"/>
  <c r="AL122" i="58" s="1"/>
  <c r="AE121" i="58"/>
  <c r="AK118" i="58"/>
  <c r="AL118" i="58" s="1"/>
  <c r="AE117" i="58"/>
  <c r="AK114" i="58"/>
  <c r="AL114" i="58" s="1"/>
  <c r="AE113" i="58"/>
  <c r="AK110" i="58"/>
  <c r="AL110" i="58" s="1"/>
  <c r="AE109" i="58"/>
  <c r="AK106" i="58"/>
  <c r="AL106" i="58" s="1"/>
  <c r="AE105" i="58"/>
  <c r="AK102" i="58"/>
  <c r="AL102" i="58" s="1"/>
  <c r="AE101" i="58"/>
  <c r="AK98" i="58"/>
  <c r="AL98" i="58" s="1"/>
  <c r="AE97" i="58"/>
  <c r="AK94" i="58"/>
  <c r="AL94" i="58" s="1"/>
  <c r="AE93" i="58"/>
  <c r="AK90" i="58"/>
  <c r="AL90" i="58" s="1"/>
  <c r="AE89" i="58"/>
  <c r="AK86" i="58"/>
  <c r="AL86" i="58" s="1"/>
  <c r="AE85" i="58"/>
  <c r="AK82" i="58"/>
  <c r="AL82" i="58" s="1"/>
  <c r="AE81" i="58"/>
  <c r="AK78" i="58"/>
  <c r="AL78" i="58" s="1"/>
  <c r="AE77" i="58"/>
  <c r="AK74" i="58"/>
  <c r="AL74" i="58" s="1"/>
  <c r="AE73" i="58"/>
  <c r="AK70" i="58"/>
  <c r="AL70" i="58" s="1"/>
  <c r="AE69" i="58"/>
  <c r="AK67" i="58"/>
  <c r="AL67" i="58" s="1"/>
  <c r="AE66" i="58"/>
  <c r="AK63" i="58"/>
  <c r="AL63" i="58" s="1"/>
  <c r="AE62" i="58"/>
  <c r="AK59" i="58"/>
  <c r="AL59" i="58" s="1"/>
  <c r="AE58" i="58"/>
  <c r="AK55" i="58"/>
  <c r="AL55" i="58" s="1"/>
  <c r="AE54" i="58"/>
  <c r="AE51" i="58"/>
  <c r="AK48" i="58"/>
  <c r="AL48" i="58" s="1"/>
  <c r="AE47" i="58"/>
  <c r="AJ47" i="58"/>
  <c r="AJ44" i="58"/>
  <c r="AE43" i="58"/>
  <c r="AK43" i="58"/>
  <c r="AL43" i="58" s="1"/>
  <c r="AJ40" i="58"/>
  <c r="AE39" i="58"/>
  <c r="AK39" i="58"/>
  <c r="AL39" i="58" s="1"/>
  <c r="AJ36" i="58"/>
  <c r="AE35" i="58"/>
  <c r="AK35" i="58"/>
  <c r="AL35" i="58" s="1"/>
  <c r="AJ32" i="58"/>
  <c r="AE31" i="58"/>
  <c r="AK31" i="58"/>
  <c r="AL31" i="58" s="1"/>
  <c r="AJ28" i="58"/>
  <c r="AE27" i="58"/>
  <c r="AK27" i="58"/>
  <c r="AL27" i="58" s="1"/>
  <c r="AJ24" i="58"/>
  <c r="AE23" i="58"/>
  <c r="AK23" i="58"/>
  <c r="AL23" i="58" s="1"/>
  <c r="AJ20" i="58"/>
  <c r="AE19" i="58"/>
  <c r="AK19" i="58"/>
  <c r="AL19" i="58" s="1"/>
  <c r="AJ16" i="58"/>
  <c r="AE15" i="58"/>
  <c r="AK15" i="58"/>
  <c r="AL15" i="58" s="1"/>
  <c r="AJ12" i="58"/>
  <c r="AE11" i="58"/>
  <c r="AK11" i="58"/>
  <c r="AL11" i="58" s="1"/>
  <c r="AJ8" i="58"/>
  <c r="AE7" i="58"/>
  <c r="AK7" i="58"/>
  <c r="AL7" i="58" s="1"/>
  <c r="U149" i="58"/>
  <c r="AW149" i="58"/>
  <c r="AX149" i="58" s="1"/>
  <c r="CE171" i="58" l="1"/>
  <c r="CC171" i="58"/>
  <c r="BZ171" i="58"/>
  <c r="BT171" i="58"/>
  <c r="BW171" i="58" s="1"/>
  <c r="BX171" i="58" s="1"/>
  <c r="BY171" i="58" s="1"/>
  <c r="BP171" i="58"/>
  <c r="BO171" i="58"/>
  <c r="BM171" i="58"/>
  <c r="BK171" i="58"/>
  <c r="BI171" i="58"/>
  <c r="BJ171" i="58" s="1"/>
  <c r="BF171" i="58"/>
  <c r="BE171" i="58"/>
  <c r="BA171" i="58"/>
  <c r="BB171" i="58" s="1"/>
  <c r="AW171" i="58"/>
  <c r="AX171" i="58" s="1"/>
  <c r="U171" i="58"/>
  <c r="M171" i="58"/>
  <c r="CE170" i="58"/>
  <c r="CC170" i="58"/>
  <c r="BZ170" i="58"/>
  <c r="BT170" i="58"/>
  <c r="BW170" i="58" s="1"/>
  <c r="BX170" i="58" s="1"/>
  <c r="BY170" i="58" s="1"/>
  <c r="BP170" i="58"/>
  <c r="BO170" i="58"/>
  <c r="BM170" i="58"/>
  <c r="BK170" i="58"/>
  <c r="BI170" i="58"/>
  <c r="BJ170" i="58" s="1"/>
  <c r="BF170" i="58"/>
  <c r="BE170" i="58"/>
  <c r="BA170" i="58"/>
  <c r="BB170" i="58" s="1"/>
  <c r="AW170" i="58"/>
  <c r="U170" i="58"/>
  <c r="M170" i="58"/>
  <c r="AY170" i="58" l="1"/>
  <c r="AZ170" i="58" s="1"/>
  <c r="AX170" i="58"/>
  <c r="AY171" i="58"/>
  <c r="AZ171" i="58" s="1"/>
  <c r="AB5" i="63"/>
  <c r="AC7" i="63" l="1"/>
  <c r="AB7" i="63"/>
  <c r="AA7" i="63" s="1"/>
  <c r="E9" i="57" l="1"/>
  <c r="D9" i="57"/>
  <c r="AC46" i="63"/>
  <c r="AB46" i="63" s="1"/>
  <c r="AA46" i="63" s="1"/>
  <c r="AC44" i="63"/>
  <c r="AB44" i="63" s="1"/>
  <c r="AA44" i="63" s="1"/>
  <c r="F9" i="57" l="1"/>
  <c r="AC57" i="63"/>
  <c r="AB57" i="63" s="1"/>
  <c r="AA57" i="63" s="1"/>
  <c r="AC56" i="63"/>
  <c r="AB56" i="63" s="1"/>
  <c r="AA56" i="63" s="1"/>
  <c r="AC55" i="63"/>
  <c r="AB55" i="63" s="1"/>
  <c r="AA55" i="63" s="1"/>
  <c r="AC54" i="63"/>
  <c r="AB54" i="63" s="1"/>
  <c r="AA54" i="63" s="1"/>
  <c r="AC53" i="63"/>
  <c r="AA53" i="63" s="1"/>
  <c r="AB53" i="63"/>
  <c r="AC52" i="63"/>
  <c r="AB52" i="63" s="1"/>
  <c r="AA52" i="63" s="1"/>
  <c r="AC51" i="63"/>
  <c r="AB51" i="63"/>
  <c r="AC50" i="63"/>
  <c r="AB50" i="63" s="1"/>
  <c r="AA50" i="63" s="1"/>
  <c r="AC49" i="63"/>
  <c r="AB49" i="63" s="1"/>
  <c r="AA49" i="63" s="1"/>
  <c r="AC48" i="63"/>
  <c r="AB48" i="63" s="1"/>
  <c r="AA48" i="63" s="1"/>
  <c r="AC47" i="63"/>
  <c r="AB47" i="63" s="1"/>
  <c r="AA47" i="63" s="1"/>
  <c r="AC45" i="63"/>
  <c r="AB45" i="63" s="1"/>
  <c r="AA45" i="63" s="1"/>
  <c r="AC43" i="63"/>
  <c r="AB43" i="63"/>
  <c r="AC42" i="63"/>
  <c r="AB42" i="63"/>
  <c r="AC41" i="63"/>
  <c r="AB41" i="63" s="1"/>
  <c r="AA41" i="63" s="1"/>
  <c r="AC40" i="63"/>
  <c r="AB40" i="63"/>
  <c r="AC39" i="63"/>
  <c r="AB39" i="63"/>
  <c r="AC38" i="63"/>
  <c r="AB38" i="63" s="1"/>
  <c r="AA38" i="63" s="1"/>
  <c r="AC37" i="63"/>
  <c r="AB37" i="63" s="1"/>
  <c r="AA37" i="63" s="1"/>
  <c r="AC36" i="63"/>
  <c r="AB36" i="63"/>
  <c r="AC35" i="63"/>
  <c r="AB35" i="63"/>
  <c r="AC34" i="63"/>
  <c r="AB34" i="63" s="1"/>
  <c r="AA34" i="63" s="1"/>
  <c r="AC33" i="63"/>
  <c r="AB33" i="63" s="1"/>
  <c r="AA33" i="63" s="1"/>
  <c r="AC32" i="63"/>
  <c r="AB32" i="63" s="1"/>
  <c r="AA32" i="63" s="1"/>
  <c r="AC31" i="63"/>
  <c r="AB31" i="63" s="1"/>
  <c r="AA31" i="63" s="1"/>
  <c r="AC30" i="63"/>
  <c r="AB30" i="63" s="1"/>
  <c r="AA30" i="63" s="1"/>
  <c r="AC29" i="63"/>
  <c r="AB29" i="63" s="1"/>
  <c r="AA29" i="63" s="1"/>
  <c r="AC28" i="63"/>
  <c r="AB28" i="63" s="1"/>
  <c r="AA28" i="63" s="1"/>
  <c r="AC27" i="63"/>
  <c r="AB27" i="63" s="1"/>
  <c r="AA27" i="63" s="1"/>
  <c r="AC26" i="63"/>
  <c r="AB26" i="63" s="1"/>
  <c r="AA26" i="63" s="1"/>
  <c r="AC25" i="63"/>
  <c r="AB25" i="63" s="1"/>
  <c r="AA25" i="63" s="1"/>
  <c r="AC24" i="63"/>
  <c r="AB24" i="63"/>
  <c r="AC23" i="63"/>
  <c r="AB23" i="63"/>
  <c r="AC22" i="63"/>
  <c r="AB22" i="63"/>
  <c r="AC21" i="63"/>
  <c r="AB21" i="63"/>
  <c r="AC20" i="63"/>
  <c r="AB20" i="63"/>
  <c r="AC19" i="63"/>
  <c r="AB19" i="63" s="1"/>
  <c r="AA19" i="63" s="1"/>
  <c r="AC18" i="63"/>
  <c r="AB18" i="63" s="1"/>
  <c r="AA18" i="63" s="1"/>
  <c r="AC17" i="63"/>
  <c r="AB17" i="63"/>
  <c r="AC16" i="63"/>
  <c r="AB16" i="63"/>
  <c r="AC15" i="63"/>
  <c r="AB15" i="63"/>
  <c r="AA15" i="63" s="1"/>
  <c r="AC14" i="63"/>
  <c r="AB14" i="63"/>
  <c r="AC13" i="63"/>
  <c r="AB13" i="63" s="1"/>
  <c r="AA13" i="63" s="1"/>
  <c r="AC12" i="63"/>
  <c r="AB12" i="63"/>
  <c r="AC11" i="63"/>
  <c r="AB11" i="63"/>
  <c r="AC10" i="63"/>
  <c r="AB10" i="63"/>
  <c r="AC9" i="63"/>
  <c r="AB9" i="63"/>
  <c r="AC8" i="63"/>
  <c r="AB8" i="63"/>
  <c r="AC6" i="63"/>
  <c r="AB6" i="63" s="1"/>
  <c r="AA6" i="63" s="1"/>
  <c r="AC5" i="63"/>
  <c r="AA5" i="63" l="1"/>
  <c r="AA9" i="63"/>
  <c r="AA21" i="63"/>
  <c r="AA35" i="63"/>
  <c r="AA43" i="63"/>
  <c r="AA8" i="63"/>
  <c r="AA10" i="63"/>
  <c r="AA11" i="63"/>
  <c r="AA12" i="63"/>
  <c r="AA17" i="63"/>
  <c r="AA23" i="63"/>
  <c r="AA39" i="63"/>
  <c r="AA42" i="63"/>
  <c r="AA51" i="63"/>
  <c r="AA14" i="63"/>
  <c r="AA16" i="63"/>
  <c r="AA20" i="63"/>
  <c r="AA22" i="63"/>
  <c r="AA24" i="63"/>
  <c r="AA36" i="63"/>
  <c r="AA40" i="63"/>
  <c r="CE173" i="58"/>
  <c r="CC173" i="58"/>
  <c r="BZ173" i="58"/>
  <c r="BT173" i="58"/>
  <c r="BW173" i="58" s="1"/>
  <c r="BX173" i="58" s="1"/>
  <c r="BY173" i="58" s="1"/>
  <c r="BP173" i="58"/>
  <c r="BO173" i="58"/>
  <c r="BM173" i="58"/>
  <c r="BK173" i="58"/>
  <c r="BI173" i="58"/>
  <c r="BJ173" i="58" s="1"/>
  <c r="BF173" i="58"/>
  <c r="BE173" i="58"/>
  <c r="BA173" i="58"/>
  <c r="BB173" i="58" s="1"/>
  <c r="AW173" i="58"/>
  <c r="AO173" i="58"/>
  <c r="AN173" i="58"/>
  <c r="AM173" i="58"/>
  <c r="AF173" i="58"/>
  <c r="AG173" i="58" s="1"/>
  <c r="AD173" i="58"/>
  <c r="U173" i="58"/>
  <c r="M173" i="58"/>
  <c r="AY173" i="58" l="1"/>
  <c r="AZ173" i="58" s="1"/>
  <c r="AX173" i="58"/>
  <c r="AK173" i="58"/>
  <c r="AL173" i="58" s="1"/>
  <c r="AH173" i="58"/>
  <c r="AI173" i="58" s="1"/>
  <c r="AJ173" i="58"/>
  <c r="AE173" i="58"/>
  <c r="N48" i="63"/>
  <c r="K48" i="63"/>
  <c r="F10" i="57" l="1"/>
  <c r="C12" i="57"/>
  <c r="D41" i="57"/>
  <c r="D42" i="57"/>
  <c r="D20" i="57"/>
  <c r="D22" i="57"/>
  <c r="E32" i="57"/>
  <c r="D32" i="57"/>
  <c r="D21" i="57"/>
  <c r="E20" i="57" l="1"/>
  <c r="CE172" i="58" l="1"/>
  <c r="BZ172" i="58"/>
  <c r="BT172" i="58"/>
  <c r="BW172" i="58" s="1"/>
  <c r="BX172" i="58" s="1"/>
  <c r="BY172" i="58" s="1"/>
  <c r="BP179" i="58"/>
  <c r="BO179" i="58"/>
  <c r="BP178" i="58"/>
  <c r="BO178" i="58"/>
  <c r="BP172" i="58"/>
  <c r="BO172" i="58"/>
  <c r="BP169" i="58"/>
  <c r="BO169" i="58"/>
  <c r="BP168" i="58"/>
  <c r="BO168" i="58"/>
  <c r="BP167" i="58"/>
  <c r="BO167" i="58"/>
  <c r="BP166" i="58"/>
  <c r="BO166" i="58"/>
  <c r="BP165" i="58"/>
  <c r="BO165" i="58"/>
  <c r="BP164" i="58"/>
  <c r="BO164" i="58"/>
  <c r="BP163" i="58"/>
  <c r="BO163" i="58"/>
  <c r="BP162" i="58"/>
  <c r="BO162" i="58"/>
  <c r="BP161" i="58"/>
  <c r="BO161" i="58"/>
  <c r="BP160" i="58"/>
  <c r="BO160" i="58"/>
  <c r="BP159" i="58"/>
  <c r="BO159" i="58"/>
  <c r="BP158" i="58"/>
  <c r="BO158" i="58"/>
  <c r="BM179" i="58"/>
  <c r="BM178" i="58"/>
  <c r="BM172" i="58"/>
  <c r="BM169" i="58"/>
  <c r="BM168" i="58"/>
  <c r="BM167" i="58"/>
  <c r="BM166" i="58"/>
  <c r="BM165" i="58"/>
  <c r="BM164" i="58"/>
  <c r="BM163" i="58"/>
  <c r="BM162" i="58"/>
  <c r="BM161" i="58"/>
  <c r="BM160" i="58"/>
  <c r="BM159" i="58"/>
  <c r="BM158" i="58"/>
  <c r="BM157" i="58"/>
  <c r="BK179" i="58"/>
  <c r="BI179" i="58"/>
  <c r="BJ179" i="58" s="1"/>
  <c r="BK178" i="58"/>
  <c r="BI178" i="58"/>
  <c r="BJ178" i="58" s="1"/>
  <c r="BK172" i="58"/>
  <c r="BI172" i="58"/>
  <c r="BJ172" i="58" s="1"/>
  <c r="BK169" i="58"/>
  <c r="BI169" i="58"/>
  <c r="BJ169" i="58" s="1"/>
  <c r="BK168" i="58"/>
  <c r="BI168" i="58"/>
  <c r="BJ168" i="58" s="1"/>
  <c r="BK167" i="58"/>
  <c r="BI167" i="58"/>
  <c r="BJ167" i="58" s="1"/>
  <c r="BK166" i="58"/>
  <c r="BI166" i="58"/>
  <c r="BJ166" i="58" s="1"/>
  <c r="BK165" i="58"/>
  <c r="BI165" i="58"/>
  <c r="BJ165" i="58" s="1"/>
  <c r="BK164" i="58"/>
  <c r="BI164" i="58"/>
  <c r="BJ164" i="58" s="1"/>
  <c r="BK163" i="58"/>
  <c r="BI163" i="58"/>
  <c r="BJ163" i="58" s="1"/>
  <c r="BK162" i="58"/>
  <c r="BI162" i="58"/>
  <c r="BJ162" i="58" s="1"/>
  <c r="BK161" i="58"/>
  <c r="BI161" i="58"/>
  <c r="BJ161" i="58" s="1"/>
  <c r="BK160" i="58"/>
  <c r="BI160" i="58"/>
  <c r="BJ160" i="58" s="1"/>
  <c r="BK159" i="58"/>
  <c r="BI159" i="58"/>
  <c r="BJ159" i="58" s="1"/>
  <c r="BK158" i="58"/>
  <c r="BI158" i="58"/>
  <c r="BJ158" i="58" s="1"/>
  <c r="BA179" i="58"/>
  <c r="BB179" i="58" s="1"/>
  <c r="AW179" i="58"/>
  <c r="AX179" i="58" s="1"/>
  <c r="BA178" i="58"/>
  <c r="BB178" i="58" s="1"/>
  <c r="AW178" i="58"/>
  <c r="AX178" i="58" s="1"/>
  <c r="BA172" i="58"/>
  <c r="BB172" i="58" s="1"/>
  <c r="AW172" i="58"/>
  <c r="AX172" i="58" s="1"/>
  <c r="BA169" i="58"/>
  <c r="BB169" i="58" s="1"/>
  <c r="AW169" i="58"/>
  <c r="AX169" i="58" s="1"/>
  <c r="BA168" i="58"/>
  <c r="BB168" i="58" s="1"/>
  <c r="AW168" i="58"/>
  <c r="AX168" i="58" s="1"/>
  <c r="BA167" i="58"/>
  <c r="BB167" i="58" s="1"/>
  <c r="AW167" i="58"/>
  <c r="AX167" i="58" s="1"/>
  <c r="BA166" i="58"/>
  <c r="BB166" i="58" s="1"/>
  <c r="AW166" i="58"/>
  <c r="AX166" i="58" s="1"/>
  <c r="BA165" i="58"/>
  <c r="BB165" i="58" s="1"/>
  <c r="AW165" i="58"/>
  <c r="AX165" i="58" s="1"/>
  <c r="BA164" i="58"/>
  <c r="BB164" i="58" s="1"/>
  <c r="AW164" i="58"/>
  <c r="AX164" i="58" s="1"/>
  <c r="BA163" i="58"/>
  <c r="BB163" i="58" s="1"/>
  <c r="AW163" i="58"/>
  <c r="AX163" i="58" s="1"/>
  <c r="BA162" i="58"/>
  <c r="BB162" i="58" s="1"/>
  <c r="AW162" i="58"/>
  <c r="AX162" i="58" s="1"/>
  <c r="BA161" i="58"/>
  <c r="BB161" i="58" s="1"/>
  <c r="AW161" i="58"/>
  <c r="AX161" i="58" s="1"/>
  <c r="BA160" i="58"/>
  <c r="BB160" i="58" s="1"/>
  <c r="AW160" i="58"/>
  <c r="AX160" i="58" s="1"/>
  <c r="BA159" i="58"/>
  <c r="BB159" i="58" s="1"/>
  <c r="AW159" i="58"/>
  <c r="AX159" i="58" s="1"/>
  <c r="BA158" i="58"/>
  <c r="BB158" i="58" s="1"/>
  <c r="AW158" i="58"/>
  <c r="AX158" i="58" s="1"/>
  <c r="AW157" i="58"/>
  <c r="BK157" i="58"/>
  <c r="BK156" i="58"/>
  <c r="BK155" i="58"/>
  <c r="BK154" i="58"/>
  <c r="BK153" i="58"/>
  <c r="BK152" i="58"/>
  <c r="BK151" i="58"/>
  <c r="BK150" i="58"/>
  <c r="BK149" i="58"/>
  <c r="BK148" i="58"/>
  <c r="BK147" i="58"/>
  <c r="BK146" i="58"/>
  <c r="BK145" i="58"/>
  <c r="BK144" i="58"/>
  <c r="BK143" i="58"/>
  <c r="BK142" i="58"/>
  <c r="BK141" i="58"/>
  <c r="BK140" i="58"/>
  <c r="BK139" i="58"/>
  <c r="BK138" i="58"/>
  <c r="BK137" i="58"/>
  <c r="BK136" i="58"/>
  <c r="BK135" i="58"/>
  <c r="BK134" i="58"/>
  <c r="BK133" i="58"/>
  <c r="BK132" i="58"/>
  <c r="BK131" i="58"/>
  <c r="BK130" i="58"/>
  <c r="BK129" i="58"/>
  <c r="BK128" i="58"/>
  <c r="BK127" i="58"/>
  <c r="BK126" i="58"/>
  <c r="BK125" i="58"/>
  <c r="BK124" i="58"/>
  <c r="BK123" i="58"/>
  <c r="BK122" i="58"/>
  <c r="BK121" i="58"/>
  <c r="BK120" i="58"/>
  <c r="BK119" i="58"/>
  <c r="BK118" i="58"/>
  <c r="BK117" i="58"/>
  <c r="BK116" i="58"/>
  <c r="BK115" i="58"/>
  <c r="BK114" i="58"/>
  <c r="BK113" i="58"/>
  <c r="BK112" i="58"/>
  <c r="BK111" i="58"/>
  <c r="BK110" i="58"/>
  <c r="BK109" i="58"/>
  <c r="BK108" i="58"/>
  <c r="BK107" i="58"/>
  <c r="BK106" i="58"/>
  <c r="BK105" i="58"/>
  <c r="BK104" i="58"/>
  <c r="BK103" i="58"/>
  <c r="BK102" i="58"/>
  <c r="BK101" i="58"/>
  <c r="BK100" i="58"/>
  <c r="BK99" i="58"/>
  <c r="BK98" i="58"/>
  <c r="BK97" i="58"/>
  <c r="BK96" i="58"/>
  <c r="BK95" i="58"/>
  <c r="BK94" i="58"/>
  <c r="BK93" i="58"/>
  <c r="BK92" i="58"/>
  <c r="BK91" i="58"/>
  <c r="BK90" i="58"/>
  <c r="BK89" i="58"/>
  <c r="BK88" i="58"/>
  <c r="BK87" i="58"/>
  <c r="BK86" i="58"/>
  <c r="BK85" i="58"/>
  <c r="BK84" i="58"/>
  <c r="BK83" i="58"/>
  <c r="BK82" i="58"/>
  <c r="BK81" i="58"/>
  <c r="BK80" i="58"/>
  <c r="BK79" i="58"/>
  <c r="BK78" i="58"/>
  <c r="BK77" i="58"/>
  <c r="BK76" i="58"/>
  <c r="BK75" i="58"/>
  <c r="BK74" i="58"/>
  <c r="BK73" i="58"/>
  <c r="BK72" i="58"/>
  <c r="BK71" i="58"/>
  <c r="BK70" i="58"/>
  <c r="BK69" i="58"/>
  <c r="BK68" i="58"/>
  <c r="BK67" i="58"/>
  <c r="BK66" i="58"/>
  <c r="BK65" i="58"/>
  <c r="BK64" i="58"/>
  <c r="BK63" i="58"/>
  <c r="BK62" i="58"/>
  <c r="BK61" i="58"/>
  <c r="BK60" i="58"/>
  <c r="BK59" i="58"/>
  <c r="BK58" i="58"/>
  <c r="BK57" i="58"/>
  <c r="BK56" i="58"/>
  <c r="BK55" i="58"/>
  <c r="BK54" i="58"/>
  <c r="BK53" i="58"/>
  <c r="BK52" i="58"/>
  <c r="BK51" i="58"/>
  <c r="BK50" i="58"/>
  <c r="BK49" i="58"/>
  <c r="BK48" i="58"/>
  <c r="BK47" i="58"/>
  <c r="BK46" i="58"/>
  <c r="BK45" i="58"/>
  <c r="BK44" i="58"/>
  <c r="BK43" i="58"/>
  <c r="BK42" i="58"/>
  <c r="BK41" i="58"/>
  <c r="BK40" i="58"/>
  <c r="BK39" i="58"/>
  <c r="BK38" i="58"/>
  <c r="BK37" i="58"/>
  <c r="BK36" i="58"/>
  <c r="BK35" i="58"/>
  <c r="BK34" i="58"/>
  <c r="BK33" i="58"/>
  <c r="BK32" i="58"/>
  <c r="BK31" i="58"/>
  <c r="BK30" i="58"/>
  <c r="BK29" i="58"/>
  <c r="BK28" i="58"/>
  <c r="BK27" i="58"/>
  <c r="BK26" i="58"/>
  <c r="BK25" i="58"/>
  <c r="BK24" i="58"/>
  <c r="BK23" i="58"/>
  <c r="BK22" i="58"/>
  <c r="BK21" i="58"/>
  <c r="BK20" i="58"/>
  <c r="BK19" i="58"/>
  <c r="BK18" i="58"/>
  <c r="BK17" i="58"/>
  <c r="BK16" i="58"/>
  <c r="BK15" i="58"/>
  <c r="BK14" i="58"/>
  <c r="BK13" i="58"/>
  <c r="BK12" i="58"/>
  <c r="BK11" i="58"/>
  <c r="BK10" i="58"/>
  <c r="BK9" i="58"/>
  <c r="BK8" i="58"/>
  <c r="BK7" i="58"/>
  <c r="BK6" i="58"/>
  <c r="BK5" i="58"/>
  <c r="AO172" i="58"/>
  <c r="AN172" i="58"/>
  <c r="AM172" i="58"/>
  <c r="AF172" i="58"/>
  <c r="AG172" i="58" s="1"/>
  <c r="AD172" i="58"/>
  <c r="U172" i="58"/>
  <c r="U5" i="58"/>
  <c r="U6" i="58"/>
  <c r="U7" i="58"/>
  <c r="U8" i="58"/>
  <c r="U9" i="58"/>
  <c r="U10" i="58"/>
  <c r="U11" i="58"/>
  <c r="U12" i="58"/>
  <c r="U13" i="58"/>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50" i="58"/>
  <c r="U151" i="58"/>
  <c r="U152" i="58"/>
  <c r="U153" i="58"/>
  <c r="U154" i="58"/>
  <c r="U155" i="58"/>
  <c r="U156" i="58"/>
  <c r="U157" i="58"/>
  <c r="U158" i="58"/>
  <c r="U159" i="58"/>
  <c r="U160" i="58"/>
  <c r="U161" i="58"/>
  <c r="U162" i="58"/>
  <c r="U163" i="58"/>
  <c r="U164" i="58"/>
  <c r="U165" i="58"/>
  <c r="U166" i="58"/>
  <c r="U167" i="58"/>
  <c r="U168" i="58"/>
  <c r="U169" i="58"/>
  <c r="U178" i="58"/>
  <c r="U179" i="58"/>
  <c r="AW5" i="58"/>
  <c r="AX5" i="58" s="1"/>
  <c r="BA5" i="58"/>
  <c r="BE5" i="58"/>
  <c r="BF5" i="58"/>
  <c r="BI5" i="58"/>
  <c r="BJ5" i="58" s="1"/>
  <c r="BM5" i="58"/>
  <c r="BO5" i="58"/>
  <c r="BP5" i="58"/>
  <c r="BT5" i="58"/>
  <c r="BW5" i="58" s="1"/>
  <c r="BX5" i="58" s="1"/>
  <c r="BY5" i="58" s="1"/>
  <c r="BZ5" i="58"/>
  <c r="CC5" i="58"/>
  <c r="CE5" i="58"/>
  <c r="AW6" i="58"/>
  <c r="AX6" i="58" s="1"/>
  <c r="BA6" i="58"/>
  <c r="BE6" i="58"/>
  <c r="BF6" i="58"/>
  <c r="BI6" i="58"/>
  <c r="BJ6" i="58" s="1"/>
  <c r="BM6" i="58"/>
  <c r="BO6" i="58"/>
  <c r="BP6" i="58"/>
  <c r="BT6" i="58"/>
  <c r="BW6" i="58" s="1"/>
  <c r="BX6" i="58" s="1"/>
  <c r="BY6" i="58" s="1"/>
  <c r="BZ6" i="58"/>
  <c r="CC6" i="58"/>
  <c r="CE6" i="58"/>
  <c r="M5" i="58"/>
  <c r="M6" i="58"/>
  <c r="M7" i="58"/>
  <c r="M8" i="58"/>
  <c r="M9" i="58"/>
  <c r="M10" i="58"/>
  <c r="M11" i="58"/>
  <c r="M12" i="58"/>
  <c r="M13" i="58"/>
  <c r="M14" i="58"/>
  <c r="M15" i="58"/>
  <c r="M16" i="58"/>
  <c r="M17" i="58"/>
  <c r="M18" i="58"/>
  <c r="M19" i="58"/>
  <c r="M20" i="58"/>
  <c r="M21" i="58"/>
  <c r="M22" i="58"/>
  <c r="M23" i="58"/>
  <c r="M24" i="58"/>
  <c r="M25" i="58"/>
  <c r="M26" i="58"/>
  <c r="M27" i="58"/>
  <c r="M28" i="58"/>
  <c r="M29" i="58"/>
  <c r="M30" i="58"/>
  <c r="M31" i="58"/>
  <c r="M32" i="58"/>
  <c r="M33" i="58"/>
  <c r="M34" i="58"/>
  <c r="M35" i="58"/>
  <c r="M36" i="58"/>
  <c r="M37" i="58"/>
  <c r="M38" i="58"/>
  <c r="M39" i="58"/>
  <c r="M40" i="58"/>
  <c r="M41" i="58"/>
  <c r="M42" i="58"/>
  <c r="M43" i="58"/>
  <c r="M44" i="58"/>
  <c r="M45" i="58"/>
  <c r="M46" i="58"/>
  <c r="M47" i="58"/>
  <c r="M48" i="58"/>
  <c r="M49" i="58"/>
  <c r="M50" i="58"/>
  <c r="M51" i="58"/>
  <c r="M52" i="58"/>
  <c r="M53" i="58"/>
  <c r="M54" i="58"/>
  <c r="M55" i="58"/>
  <c r="M56" i="58"/>
  <c r="M57" i="58"/>
  <c r="M58" i="58"/>
  <c r="M59" i="58"/>
  <c r="M60" i="58"/>
  <c r="M61" i="58"/>
  <c r="M62" i="58"/>
  <c r="M63" i="58"/>
  <c r="M64" i="58"/>
  <c r="M65" i="58"/>
  <c r="M66" i="58"/>
  <c r="M67" i="58"/>
  <c r="M68" i="58"/>
  <c r="M69" i="58"/>
  <c r="M70" i="58"/>
  <c r="M71" i="58"/>
  <c r="M72" i="58"/>
  <c r="M73" i="58"/>
  <c r="M74" i="58"/>
  <c r="M75" i="58"/>
  <c r="M76" i="58"/>
  <c r="M77" i="58"/>
  <c r="M78" i="58"/>
  <c r="M79" i="58"/>
  <c r="M80" i="58"/>
  <c r="M81" i="58"/>
  <c r="M82" i="58"/>
  <c r="M83" i="58"/>
  <c r="M84" i="58"/>
  <c r="M85" i="58"/>
  <c r="M86" i="58"/>
  <c r="M87" i="58"/>
  <c r="M88" i="58"/>
  <c r="M89" i="58"/>
  <c r="M90" i="58"/>
  <c r="M91" i="58"/>
  <c r="M92" i="58"/>
  <c r="M93" i="58"/>
  <c r="M94" i="58"/>
  <c r="M95" i="58"/>
  <c r="M96" i="58"/>
  <c r="M97" i="58"/>
  <c r="M98" i="58"/>
  <c r="M99" i="58"/>
  <c r="M100" i="58"/>
  <c r="M101" i="58"/>
  <c r="M102" i="58"/>
  <c r="M103" i="58"/>
  <c r="M104" i="58"/>
  <c r="M105" i="58"/>
  <c r="M106" i="58"/>
  <c r="M107" i="58"/>
  <c r="M108" i="58"/>
  <c r="M109" i="58"/>
  <c r="M110" i="58"/>
  <c r="M111" i="58"/>
  <c r="M112" i="58"/>
  <c r="M113" i="58"/>
  <c r="M114" i="58"/>
  <c r="M115" i="58"/>
  <c r="M116" i="58"/>
  <c r="M117" i="58"/>
  <c r="M118" i="58"/>
  <c r="M119" i="58"/>
  <c r="M120" i="58"/>
  <c r="M121" i="58"/>
  <c r="M122" i="58"/>
  <c r="M123" i="58"/>
  <c r="M124" i="58"/>
  <c r="M125" i="58"/>
  <c r="M126" i="58"/>
  <c r="M127" i="58"/>
  <c r="M128" i="58"/>
  <c r="M129" i="58"/>
  <c r="M130" i="58"/>
  <c r="M131" i="58"/>
  <c r="M132" i="58"/>
  <c r="M133" i="58"/>
  <c r="M134" i="58"/>
  <c r="M135" i="58"/>
  <c r="M136" i="58"/>
  <c r="M137" i="58"/>
  <c r="M138" i="58"/>
  <c r="M139" i="58"/>
  <c r="M140" i="58"/>
  <c r="M141" i="58"/>
  <c r="M142" i="58"/>
  <c r="M143" i="58"/>
  <c r="M144" i="58"/>
  <c r="M145" i="58"/>
  <c r="M146" i="58"/>
  <c r="M147" i="58"/>
  <c r="M148" i="58"/>
  <c r="M149" i="58"/>
  <c r="M150" i="58"/>
  <c r="M151" i="58"/>
  <c r="M152" i="58"/>
  <c r="M153" i="58"/>
  <c r="M154" i="58"/>
  <c r="M155" i="58"/>
  <c r="M156" i="58"/>
  <c r="M157" i="58"/>
  <c r="M158" i="58"/>
  <c r="M159" i="58"/>
  <c r="M160" i="58"/>
  <c r="M161" i="58"/>
  <c r="M162" i="58"/>
  <c r="M163" i="58"/>
  <c r="M164" i="58"/>
  <c r="M165" i="58"/>
  <c r="M166" i="58"/>
  <c r="M167" i="58"/>
  <c r="M168" i="58"/>
  <c r="M169" i="58"/>
  <c r="M178" i="58"/>
  <c r="M179" i="58"/>
  <c r="AY6" i="58" l="1"/>
  <c r="AZ6" i="58" s="1"/>
  <c r="AY5" i="58"/>
  <c r="AZ5" i="58" s="1"/>
  <c r="AK172" i="58"/>
  <c r="AL172" i="58" s="1"/>
  <c r="BB6" i="58"/>
  <c r="BB5" i="58"/>
  <c r="AY158" i="58"/>
  <c r="AZ158" i="58" s="1"/>
  <c r="AY159" i="58"/>
  <c r="AZ159" i="58" s="1"/>
  <c r="AY160" i="58"/>
  <c r="AZ160" i="58" s="1"/>
  <c r="AY161" i="58"/>
  <c r="AZ161" i="58" s="1"/>
  <c r="AY162" i="58"/>
  <c r="AZ162" i="58" s="1"/>
  <c r="AY163" i="58"/>
  <c r="AZ163" i="58" s="1"/>
  <c r="AY164" i="58"/>
  <c r="AZ164" i="58" s="1"/>
  <c r="AY165" i="58"/>
  <c r="AZ165" i="58" s="1"/>
  <c r="AY166" i="58"/>
  <c r="AZ166" i="58" s="1"/>
  <c r="AY167" i="58"/>
  <c r="AZ167" i="58" s="1"/>
  <c r="AY168" i="58"/>
  <c r="AZ168" i="58" s="1"/>
  <c r="AY169" i="58"/>
  <c r="AZ169" i="58" s="1"/>
  <c r="AY172" i="58"/>
  <c r="AZ172" i="58" s="1"/>
  <c r="AY178" i="58"/>
  <c r="AZ178" i="58" s="1"/>
  <c r="AY179" i="58"/>
  <c r="AZ179" i="58" s="1"/>
  <c r="AH172" i="58"/>
  <c r="AI172" i="58" s="1"/>
  <c r="AJ172" i="58"/>
  <c r="AE172" i="58"/>
  <c r="BZ179" i="58"/>
  <c r="BZ178" i="58"/>
  <c r="BZ169" i="58"/>
  <c r="BZ168" i="58"/>
  <c r="BZ167" i="58"/>
  <c r="BZ166" i="58"/>
  <c r="BZ165" i="58"/>
  <c r="BZ164" i="58"/>
  <c r="BZ163" i="58"/>
  <c r="BZ162" i="58"/>
  <c r="BZ161" i="58"/>
  <c r="BZ160" i="58"/>
  <c r="BZ159" i="58"/>
  <c r="BZ158" i="58"/>
  <c r="BZ157" i="58"/>
  <c r="BZ156" i="58"/>
  <c r="BZ155" i="58"/>
  <c r="BZ154" i="58"/>
  <c r="BZ153" i="58"/>
  <c r="BZ152" i="58"/>
  <c r="BZ151" i="58"/>
  <c r="BZ150" i="58"/>
  <c r="BZ149" i="58"/>
  <c r="BZ148" i="58"/>
  <c r="BZ147" i="58"/>
  <c r="BZ146" i="58"/>
  <c r="BZ145" i="58"/>
  <c r="BZ144" i="58"/>
  <c r="BZ143" i="58"/>
  <c r="BZ142" i="58"/>
  <c r="BZ141" i="58"/>
  <c r="BZ140" i="58"/>
  <c r="BZ139" i="58"/>
  <c r="BZ138" i="58"/>
  <c r="BZ137" i="58"/>
  <c r="BZ136" i="58"/>
  <c r="BZ135" i="58"/>
  <c r="BZ134" i="58"/>
  <c r="BZ133" i="58"/>
  <c r="BZ132" i="58"/>
  <c r="BZ131" i="58"/>
  <c r="BZ130" i="58"/>
  <c r="BZ129" i="58"/>
  <c r="BZ128" i="58"/>
  <c r="BZ127" i="58"/>
  <c r="BZ126" i="58"/>
  <c r="BZ125" i="58"/>
  <c r="BZ124" i="58"/>
  <c r="BZ123" i="58"/>
  <c r="BZ122" i="58"/>
  <c r="BZ121" i="58"/>
  <c r="BZ120" i="58"/>
  <c r="BZ119" i="58"/>
  <c r="BZ118" i="58"/>
  <c r="BZ117" i="58"/>
  <c r="BZ116" i="58"/>
  <c r="BZ115" i="58"/>
  <c r="BZ114" i="58"/>
  <c r="BZ113" i="58"/>
  <c r="BZ112" i="58"/>
  <c r="BZ111" i="58"/>
  <c r="BZ110" i="58"/>
  <c r="BZ109" i="58"/>
  <c r="BZ108" i="58"/>
  <c r="BZ107" i="58"/>
  <c r="BZ106" i="58"/>
  <c r="BZ105" i="58"/>
  <c r="BZ104" i="58"/>
  <c r="BZ103" i="58"/>
  <c r="BZ102" i="58"/>
  <c r="BZ101" i="58"/>
  <c r="BZ100" i="58"/>
  <c r="BZ99" i="58"/>
  <c r="BZ98" i="58"/>
  <c r="BZ97" i="58"/>
  <c r="BZ96" i="58"/>
  <c r="BZ95" i="58"/>
  <c r="BZ94" i="58"/>
  <c r="BZ93" i="58"/>
  <c r="BZ92" i="58"/>
  <c r="BZ91" i="58"/>
  <c r="BZ90" i="58"/>
  <c r="BZ89" i="58"/>
  <c r="BZ87" i="58"/>
  <c r="BZ86" i="58"/>
  <c r="BZ85" i="58"/>
  <c r="BZ84" i="58"/>
  <c r="BZ83" i="58"/>
  <c r="BZ82" i="58"/>
  <c r="BZ81" i="58"/>
  <c r="BZ80" i="58"/>
  <c r="BZ79" i="58"/>
  <c r="BZ78" i="58"/>
  <c r="BZ77" i="58"/>
  <c r="BZ76" i="58"/>
  <c r="BZ75" i="58"/>
  <c r="BZ74" i="58"/>
  <c r="BZ73" i="58"/>
  <c r="BZ72" i="58"/>
  <c r="BZ71" i="58"/>
  <c r="BZ70" i="58"/>
  <c r="BZ69" i="58"/>
  <c r="BZ68" i="58"/>
  <c r="BZ67" i="58"/>
  <c r="BZ66" i="58"/>
  <c r="BZ65" i="58"/>
  <c r="BZ64" i="58"/>
  <c r="BZ63" i="58"/>
  <c r="BZ62" i="58"/>
  <c r="BZ61" i="58"/>
  <c r="BZ60" i="58"/>
  <c r="BZ59" i="58"/>
  <c r="BZ58" i="58"/>
  <c r="BZ57" i="58"/>
  <c r="BZ56" i="58"/>
  <c r="BZ55" i="58"/>
  <c r="BZ54" i="58"/>
  <c r="BZ53" i="58"/>
  <c r="BZ52" i="58"/>
  <c r="BZ51" i="58"/>
  <c r="BZ50" i="58"/>
  <c r="BZ49" i="58"/>
  <c r="BZ48" i="58"/>
  <c r="BZ47" i="58"/>
  <c r="BZ46" i="58"/>
  <c r="BZ45" i="58"/>
  <c r="BZ44" i="58"/>
  <c r="BZ43" i="58"/>
  <c r="BZ42" i="58"/>
  <c r="BZ41" i="58"/>
  <c r="BZ40" i="58"/>
  <c r="BZ39" i="58"/>
  <c r="BZ38" i="58"/>
  <c r="BZ37" i="58"/>
  <c r="BZ36" i="58"/>
  <c r="BZ35" i="58"/>
  <c r="BZ34" i="58"/>
  <c r="BZ33" i="58"/>
  <c r="BZ32" i="58"/>
  <c r="BZ31" i="58"/>
  <c r="BZ30" i="58"/>
  <c r="BZ29" i="58"/>
  <c r="BZ28" i="58"/>
  <c r="BZ27" i="58"/>
  <c r="BZ26" i="58"/>
  <c r="BZ25" i="58"/>
  <c r="BZ24" i="58"/>
  <c r="BZ23" i="58"/>
  <c r="BZ22" i="58"/>
  <c r="BZ21" i="58"/>
  <c r="BZ20" i="58"/>
  <c r="BZ19" i="58"/>
  <c r="BZ18" i="58"/>
  <c r="BZ17" i="58"/>
  <c r="BZ16" i="58"/>
  <c r="BZ15" i="58"/>
  <c r="BZ14" i="58"/>
  <c r="BZ13" i="58"/>
  <c r="BZ12" i="58"/>
  <c r="BZ11" i="58"/>
  <c r="BZ10" i="58"/>
  <c r="BZ9" i="58"/>
  <c r="BZ8" i="58"/>
  <c r="BZ7" i="58"/>
  <c r="BZ88" i="58"/>
  <c r="BT179" i="58"/>
  <c r="BW179" i="58" s="1"/>
  <c r="BX179" i="58" s="1"/>
  <c r="BY179" i="58" s="1"/>
  <c r="BT178" i="58"/>
  <c r="BW178" i="58" s="1"/>
  <c r="BX178" i="58" s="1"/>
  <c r="BY178" i="58" s="1"/>
  <c r="BT169" i="58"/>
  <c r="BW169" i="58" s="1"/>
  <c r="BX169" i="58" s="1"/>
  <c r="BY169" i="58" s="1"/>
  <c r="BT168" i="58"/>
  <c r="BW168" i="58" s="1"/>
  <c r="BX168" i="58" s="1"/>
  <c r="BY168" i="58" s="1"/>
  <c r="BT167" i="58"/>
  <c r="BW167" i="58" s="1"/>
  <c r="BX167" i="58" s="1"/>
  <c r="BY167" i="58" s="1"/>
  <c r="BT166" i="58"/>
  <c r="BW166" i="58" s="1"/>
  <c r="BX166" i="58" s="1"/>
  <c r="BY166" i="58" s="1"/>
  <c r="BT165" i="58"/>
  <c r="BW165" i="58" s="1"/>
  <c r="BX165" i="58" s="1"/>
  <c r="BY165" i="58" s="1"/>
  <c r="BT164" i="58"/>
  <c r="BW164" i="58" s="1"/>
  <c r="BX164" i="58" s="1"/>
  <c r="BY164" i="58" s="1"/>
  <c r="BT163" i="58"/>
  <c r="BW163" i="58" s="1"/>
  <c r="BX163" i="58" s="1"/>
  <c r="BY163" i="58" s="1"/>
  <c r="BT162" i="58"/>
  <c r="BW162" i="58" s="1"/>
  <c r="BX162" i="58" s="1"/>
  <c r="BY162" i="58" s="1"/>
  <c r="BT161" i="58"/>
  <c r="BW161" i="58" s="1"/>
  <c r="BX161" i="58" s="1"/>
  <c r="BY161" i="58" s="1"/>
  <c r="BT160" i="58"/>
  <c r="BW160" i="58" s="1"/>
  <c r="BX160" i="58" s="1"/>
  <c r="BY160" i="58" s="1"/>
  <c r="BT159" i="58"/>
  <c r="BW159" i="58" s="1"/>
  <c r="BT158" i="58"/>
  <c r="BW158" i="58" s="1"/>
  <c r="BT157" i="58"/>
  <c r="BW157" i="58" s="1"/>
  <c r="BT156" i="58"/>
  <c r="BW156" i="58" s="1"/>
  <c r="BT155" i="58"/>
  <c r="BW155" i="58" s="1"/>
  <c r="BT154" i="58"/>
  <c r="BW154" i="58" s="1"/>
  <c r="BT153" i="58"/>
  <c r="BW153" i="58" s="1"/>
  <c r="BT152" i="58"/>
  <c r="BW152" i="58" s="1"/>
  <c r="BT151" i="58"/>
  <c r="BW151" i="58" s="1"/>
  <c r="BT150" i="58"/>
  <c r="BW150" i="58" s="1"/>
  <c r="BT149" i="58"/>
  <c r="BW149" i="58" s="1"/>
  <c r="BT148" i="58"/>
  <c r="BW148" i="58" s="1"/>
  <c r="BT147" i="58"/>
  <c r="BW147" i="58" s="1"/>
  <c r="BT146" i="58"/>
  <c r="BW146" i="58" s="1"/>
  <c r="BT145" i="58"/>
  <c r="BW145" i="58" s="1"/>
  <c r="BT144" i="58"/>
  <c r="BW144" i="58" s="1"/>
  <c r="BT143" i="58"/>
  <c r="BW143" i="58" s="1"/>
  <c r="BT142" i="58"/>
  <c r="BW142" i="58" s="1"/>
  <c r="BT141" i="58"/>
  <c r="BW141" i="58" s="1"/>
  <c r="BT140" i="58"/>
  <c r="BW140" i="58" s="1"/>
  <c r="BT139" i="58"/>
  <c r="BW139" i="58" s="1"/>
  <c r="BT138" i="58"/>
  <c r="BW138" i="58" s="1"/>
  <c r="BT137" i="58"/>
  <c r="BW137" i="58" s="1"/>
  <c r="BT136" i="58"/>
  <c r="BW136" i="58" s="1"/>
  <c r="BT135" i="58"/>
  <c r="BW135" i="58" s="1"/>
  <c r="BT134" i="58"/>
  <c r="BW134" i="58" s="1"/>
  <c r="BT133" i="58"/>
  <c r="BW133" i="58" s="1"/>
  <c r="BT132" i="58"/>
  <c r="BW132" i="58" s="1"/>
  <c r="BT131" i="58"/>
  <c r="BW131" i="58" s="1"/>
  <c r="BT130" i="58"/>
  <c r="BW130" i="58" s="1"/>
  <c r="BT129" i="58"/>
  <c r="BW129" i="58" s="1"/>
  <c r="BT128" i="58"/>
  <c r="BW128" i="58" s="1"/>
  <c r="BT127" i="58"/>
  <c r="BW127" i="58" s="1"/>
  <c r="BT126" i="58"/>
  <c r="BW126" i="58" s="1"/>
  <c r="BT125" i="58"/>
  <c r="BW125" i="58" s="1"/>
  <c r="BT124" i="58"/>
  <c r="BW124" i="58" s="1"/>
  <c r="BT123" i="58"/>
  <c r="BW123" i="58" s="1"/>
  <c r="BT122" i="58"/>
  <c r="BW122" i="58" s="1"/>
  <c r="BT121" i="58"/>
  <c r="BW121" i="58" s="1"/>
  <c r="BT120" i="58"/>
  <c r="BW120" i="58" s="1"/>
  <c r="BT119" i="58"/>
  <c r="BW119" i="58" s="1"/>
  <c r="BT118" i="58"/>
  <c r="BW118" i="58" s="1"/>
  <c r="BT117" i="58"/>
  <c r="BW117" i="58" s="1"/>
  <c r="BT116" i="58"/>
  <c r="BW116" i="58" s="1"/>
  <c r="BT115" i="58"/>
  <c r="BW115" i="58" s="1"/>
  <c r="BT114" i="58"/>
  <c r="BW114" i="58" s="1"/>
  <c r="BT113" i="58"/>
  <c r="BW113" i="58" s="1"/>
  <c r="BT112" i="58"/>
  <c r="BW112" i="58" s="1"/>
  <c r="BT111" i="58"/>
  <c r="BW111" i="58" s="1"/>
  <c r="BT110" i="58"/>
  <c r="BW110" i="58" s="1"/>
  <c r="BT109" i="58"/>
  <c r="BW109" i="58" s="1"/>
  <c r="BT108" i="58"/>
  <c r="BW108" i="58" s="1"/>
  <c r="BT107" i="58"/>
  <c r="BW107" i="58" s="1"/>
  <c r="BT106" i="58"/>
  <c r="BW106" i="58" s="1"/>
  <c r="BT105" i="58"/>
  <c r="BW105" i="58" s="1"/>
  <c r="BT104" i="58"/>
  <c r="BW104" i="58" s="1"/>
  <c r="BT103" i="58"/>
  <c r="BW103" i="58" s="1"/>
  <c r="BT102" i="58"/>
  <c r="BW102" i="58" s="1"/>
  <c r="BT101" i="58"/>
  <c r="BW101" i="58" s="1"/>
  <c r="BT100" i="58"/>
  <c r="BW100" i="58" s="1"/>
  <c r="BT99" i="58"/>
  <c r="BW99" i="58" s="1"/>
  <c r="BT98" i="58"/>
  <c r="BW98" i="58" s="1"/>
  <c r="BT97" i="58"/>
  <c r="BW97" i="58" s="1"/>
  <c r="BT96" i="58"/>
  <c r="BW96" i="58" s="1"/>
  <c r="BT95" i="58"/>
  <c r="BW95" i="58" s="1"/>
  <c r="BT94" i="58"/>
  <c r="BW94" i="58" s="1"/>
  <c r="BT93" i="58"/>
  <c r="BW93" i="58" s="1"/>
  <c r="BT92" i="58"/>
  <c r="BW92" i="58" s="1"/>
  <c r="BT91" i="58"/>
  <c r="BW91" i="58" s="1"/>
  <c r="BT90" i="58"/>
  <c r="BW90" i="58" s="1"/>
  <c r="BT89" i="58"/>
  <c r="BW89" i="58" s="1"/>
  <c r="BT87" i="58"/>
  <c r="BW87" i="58" s="1"/>
  <c r="BT86" i="58"/>
  <c r="BW86" i="58" s="1"/>
  <c r="BT85" i="58"/>
  <c r="BW85" i="58" s="1"/>
  <c r="BT84" i="58"/>
  <c r="BW84" i="58" s="1"/>
  <c r="BT83" i="58"/>
  <c r="BW83" i="58" s="1"/>
  <c r="BT82" i="58"/>
  <c r="BW82" i="58" s="1"/>
  <c r="BT81" i="58"/>
  <c r="BW81" i="58" s="1"/>
  <c r="BT80" i="58"/>
  <c r="BW80" i="58" s="1"/>
  <c r="BT79" i="58"/>
  <c r="BW79" i="58" s="1"/>
  <c r="BT78" i="58"/>
  <c r="BW78" i="58" s="1"/>
  <c r="BT77" i="58"/>
  <c r="BW77" i="58" s="1"/>
  <c r="BT76" i="58"/>
  <c r="BW76" i="58" s="1"/>
  <c r="BT75" i="58"/>
  <c r="BW75" i="58" s="1"/>
  <c r="BT74" i="58"/>
  <c r="BW74" i="58" s="1"/>
  <c r="BT73" i="58"/>
  <c r="BW73" i="58" s="1"/>
  <c r="BT72" i="58"/>
  <c r="BW72" i="58" s="1"/>
  <c r="BT71" i="58"/>
  <c r="BW71" i="58" s="1"/>
  <c r="BT70" i="58"/>
  <c r="BW70" i="58" s="1"/>
  <c r="BT69" i="58"/>
  <c r="BW69" i="58" s="1"/>
  <c r="BT68" i="58"/>
  <c r="BW68" i="58" s="1"/>
  <c r="BT67" i="58"/>
  <c r="BW67" i="58" s="1"/>
  <c r="BT66" i="58"/>
  <c r="BW66" i="58" s="1"/>
  <c r="BT65" i="58"/>
  <c r="BW65" i="58" s="1"/>
  <c r="BT64" i="58"/>
  <c r="BW64" i="58" s="1"/>
  <c r="BT63" i="58"/>
  <c r="BW63" i="58" s="1"/>
  <c r="BT62" i="58"/>
  <c r="BW62" i="58" s="1"/>
  <c r="BT61" i="58"/>
  <c r="BW61" i="58" s="1"/>
  <c r="BT60" i="58"/>
  <c r="BW60" i="58" s="1"/>
  <c r="BT59" i="58"/>
  <c r="BW59" i="58" s="1"/>
  <c r="BT58" i="58"/>
  <c r="BW58" i="58" s="1"/>
  <c r="BT57" i="58"/>
  <c r="BW57" i="58" s="1"/>
  <c r="BT56" i="58"/>
  <c r="BW56" i="58" s="1"/>
  <c r="BT55" i="58"/>
  <c r="BW55" i="58" s="1"/>
  <c r="BT54" i="58"/>
  <c r="BW54" i="58" s="1"/>
  <c r="BT53" i="58"/>
  <c r="BW53" i="58" s="1"/>
  <c r="BT52" i="58"/>
  <c r="BW52" i="58" s="1"/>
  <c r="BT51" i="58"/>
  <c r="BW51" i="58" s="1"/>
  <c r="BT50" i="58"/>
  <c r="BW50" i="58" s="1"/>
  <c r="BT49" i="58"/>
  <c r="BW49" i="58" s="1"/>
  <c r="BT48" i="58"/>
  <c r="BW48" i="58" s="1"/>
  <c r="BT47" i="58"/>
  <c r="BW47" i="58" s="1"/>
  <c r="BT46" i="58"/>
  <c r="BW46" i="58" s="1"/>
  <c r="BT45" i="58"/>
  <c r="BW45" i="58" s="1"/>
  <c r="BT44" i="58"/>
  <c r="BW44" i="58" s="1"/>
  <c r="BT43" i="58"/>
  <c r="BW43" i="58" s="1"/>
  <c r="BT42" i="58"/>
  <c r="BW42" i="58" s="1"/>
  <c r="BT41" i="58"/>
  <c r="BW41" i="58" s="1"/>
  <c r="BT40" i="58"/>
  <c r="BW40" i="58" s="1"/>
  <c r="BT39" i="58"/>
  <c r="BW39" i="58" s="1"/>
  <c r="BT38" i="58"/>
  <c r="BW38" i="58" s="1"/>
  <c r="BT37" i="58"/>
  <c r="BW37" i="58" s="1"/>
  <c r="BT36" i="58"/>
  <c r="BW36" i="58" s="1"/>
  <c r="BT35" i="58"/>
  <c r="BW35" i="58" s="1"/>
  <c r="BT34" i="58"/>
  <c r="BW34" i="58" s="1"/>
  <c r="BT33" i="58"/>
  <c r="BW33" i="58" s="1"/>
  <c r="BT32" i="58"/>
  <c r="BW32" i="58" s="1"/>
  <c r="BT31" i="58"/>
  <c r="BW31" i="58" s="1"/>
  <c r="BT30" i="58"/>
  <c r="BW30" i="58" s="1"/>
  <c r="BT29" i="58"/>
  <c r="BW29" i="58" s="1"/>
  <c r="BT28" i="58"/>
  <c r="BW28" i="58" s="1"/>
  <c r="BT27" i="58"/>
  <c r="BW27" i="58" s="1"/>
  <c r="BT26" i="58"/>
  <c r="BW26" i="58" s="1"/>
  <c r="BT25" i="58"/>
  <c r="BW25" i="58" s="1"/>
  <c r="BT24" i="58"/>
  <c r="BW24" i="58" s="1"/>
  <c r="BT23" i="58"/>
  <c r="BW23" i="58" s="1"/>
  <c r="BT22" i="58"/>
  <c r="BW22" i="58" s="1"/>
  <c r="BT21" i="58"/>
  <c r="BW21" i="58" s="1"/>
  <c r="BT20" i="58"/>
  <c r="BW20" i="58" s="1"/>
  <c r="BT19" i="58"/>
  <c r="BW19" i="58" s="1"/>
  <c r="BT18" i="58"/>
  <c r="BW18" i="58" s="1"/>
  <c r="BT17" i="58"/>
  <c r="BW17" i="58" s="1"/>
  <c r="BT16" i="58"/>
  <c r="BW16" i="58" s="1"/>
  <c r="BT15" i="58"/>
  <c r="BW15" i="58" s="1"/>
  <c r="BT14" i="58"/>
  <c r="BW14" i="58" s="1"/>
  <c r="BT13" i="58"/>
  <c r="BW13" i="58" s="1"/>
  <c r="BT12" i="58"/>
  <c r="BW12" i="58" s="1"/>
  <c r="BT11" i="58"/>
  <c r="BW11" i="58" s="1"/>
  <c r="BT10" i="58"/>
  <c r="BW10" i="58" s="1"/>
  <c r="BT9" i="58"/>
  <c r="BW9" i="58" s="1"/>
  <c r="BT8" i="58"/>
  <c r="BW8" i="58" s="1"/>
  <c r="BT7" i="58"/>
  <c r="BW7" i="58" s="1"/>
  <c r="BT88" i="58"/>
  <c r="BW88" i="58" s="1"/>
  <c r="BI157" i="58"/>
  <c r="BI156" i="58"/>
  <c r="BI155" i="58"/>
  <c r="BI154" i="58"/>
  <c r="BI153" i="58"/>
  <c r="BI152" i="58"/>
  <c r="BI151" i="58"/>
  <c r="BI150" i="58"/>
  <c r="BI149" i="58"/>
  <c r="BI148" i="58"/>
  <c r="BI147" i="58"/>
  <c r="BI146" i="58"/>
  <c r="BI145" i="58"/>
  <c r="BI144" i="58"/>
  <c r="BI143" i="58"/>
  <c r="BI142" i="58"/>
  <c r="BI141" i="58"/>
  <c r="BI140" i="58"/>
  <c r="BI139" i="58"/>
  <c r="BI138" i="58"/>
  <c r="BI137" i="58"/>
  <c r="BI136" i="58"/>
  <c r="BI135" i="58"/>
  <c r="BI134" i="58"/>
  <c r="BI133" i="58"/>
  <c r="BI132" i="58"/>
  <c r="BI131" i="58"/>
  <c r="BI130" i="58"/>
  <c r="BI129" i="58"/>
  <c r="BI128" i="58"/>
  <c r="BI127" i="58"/>
  <c r="BI126" i="58"/>
  <c r="BI125" i="58"/>
  <c r="BI124" i="58"/>
  <c r="BI123" i="58"/>
  <c r="BI122" i="58"/>
  <c r="BI121" i="58"/>
  <c r="BI120" i="58"/>
  <c r="BI119" i="58"/>
  <c r="BI118" i="58"/>
  <c r="BI117" i="58"/>
  <c r="BI116" i="58"/>
  <c r="BI115" i="58"/>
  <c r="BI114" i="58"/>
  <c r="BI113" i="58"/>
  <c r="BI112" i="58"/>
  <c r="BI111" i="58"/>
  <c r="BI110" i="58"/>
  <c r="BI109" i="58"/>
  <c r="BI108" i="58"/>
  <c r="BI107" i="58"/>
  <c r="BI106" i="58"/>
  <c r="BI105" i="58"/>
  <c r="BI104" i="58"/>
  <c r="BI103" i="58"/>
  <c r="BI102" i="58"/>
  <c r="BI101" i="58"/>
  <c r="BI100" i="58"/>
  <c r="BI99" i="58"/>
  <c r="BI98" i="58"/>
  <c r="BI97" i="58"/>
  <c r="BI96" i="58"/>
  <c r="BI95" i="58"/>
  <c r="BI94" i="58"/>
  <c r="BI93" i="58"/>
  <c r="BI92" i="58"/>
  <c r="BI91" i="58"/>
  <c r="BI90" i="58"/>
  <c r="BI89" i="58"/>
  <c r="BI88" i="58"/>
  <c r="BI87" i="58"/>
  <c r="BI86" i="58"/>
  <c r="BI85" i="58"/>
  <c r="BI84" i="58"/>
  <c r="BI83" i="58"/>
  <c r="BI82" i="58"/>
  <c r="BI81" i="58"/>
  <c r="BI80" i="58"/>
  <c r="BI79" i="58"/>
  <c r="BI78" i="58"/>
  <c r="BI77" i="58"/>
  <c r="BI76" i="58"/>
  <c r="BI75" i="58"/>
  <c r="BI74" i="58"/>
  <c r="BI73" i="58"/>
  <c r="BI72" i="58"/>
  <c r="BI71" i="58"/>
  <c r="BI70" i="58"/>
  <c r="BI69" i="58"/>
  <c r="BI68" i="58"/>
  <c r="BI67" i="58"/>
  <c r="BI66" i="58"/>
  <c r="BI65" i="58"/>
  <c r="BI64" i="58"/>
  <c r="BI63" i="58"/>
  <c r="BI62" i="58"/>
  <c r="BI61" i="58"/>
  <c r="BI60" i="58"/>
  <c r="BI59" i="58"/>
  <c r="BI58" i="58"/>
  <c r="BI57" i="58"/>
  <c r="BI56" i="58"/>
  <c r="BI55" i="58"/>
  <c r="BI54" i="58"/>
  <c r="BI53" i="58"/>
  <c r="BI52" i="58"/>
  <c r="BI51" i="58"/>
  <c r="BI50" i="58"/>
  <c r="BI49" i="58"/>
  <c r="BI48" i="58"/>
  <c r="BI47" i="58"/>
  <c r="BI46" i="58"/>
  <c r="BI45" i="58"/>
  <c r="BI44" i="58"/>
  <c r="BI43" i="58"/>
  <c r="BI42" i="58"/>
  <c r="BI41" i="58"/>
  <c r="BI40" i="58"/>
  <c r="BI39" i="58"/>
  <c r="BI38" i="58"/>
  <c r="BI37" i="58"/>
  <c r="BI36" i="58"/>
  <c r="BI35" i="58"/>
  <c r="BI34" i="58"/>
  <c r="BI33" i="58"/>
  <c r="BI32" i="58"/>
  <c r="BI31" i="58"/>
  <c r="BI30" i="58"/>
  <c r="BI29" i="58"/>
  <c r="BI28" i="58"/>
  <c r="BI27" i="58"/>
  <c r="BI26" i="58"/>
  <c r="BI25" i="58"/>
  <c r="BI24" i="58"/>
  <c r="BI23" i="58"/>
  <c r="BI22" i="58"/>
  <c r="BI21" i="58"/>
  <c r="BI20" i="58"/>
  <c r="BI19" i="58"/>
  <c r="BI18" i="58"/>
  <c r="BI17" i="58"/>
  <c r="BI16" i="58"/>
  <c r="BI15" i="58"/>
  <c r="BI14" i="58"/>
  <c r="BI13" i="58"/>
  <c r="BI12" i="58"/>
  <c r="BI11" i="58"/>
  <c r="BI10" i="58"/>
  <c r="BI9" i="58"/>
  <c r="BI8" i="58"/>
  <c r="BI7" i="58"/>
  <c r="E11" i="54" l="1"/>
  <c r="L57" i="63"/>
  <c r="M57" i="63" s="1"/>
  <c r="K57" i="63"/>
  <c r="T56" i="63"/>
  <c r="Q56" i="63"/>
  <c r="P56" i="63"/>
  <c r="N56" i="63"/>
  <c r="L56" i="63"/>
  <c r="K56" i="63"/>
  <c r="K55" i="63"/>
  <c r="L54" i="63"/>
  <c r="P54" i="63" s="1"/>
  <c r="K54" i="63"/>
  <c r="P53" i="63"/>
  <c r="M53" i="63"/>
  <c r="K53" i="63"/>
  <c r="N52" i="63"/>
  <c r="K52" i="63"/>
  <c r="N51" i="63"/>
  <c r="K51" i="63"/>
  <c r="N50" i="63"/>
  <c r="K50" i="63"/>
  <c r="N49" i="63"/>
  <c r="K49" i="63"/>
  <c r="N47" i="63"/>
  <c r="K47" i="63"/>
  <c r="N45" i="63"/>
  <c r="K45" i="63"/>
  <c r="AG43" i="63"/>
  <c r="AF43" i="63"/>
  <c r="AE43" i="63"/>
  <c r="M43" i="63"/>
  <c r="N43" i="63" s="1"/>
  <c r="K43" i="63"/>
  <c r="N42" i="63"/>
  <c r="K42" i="63"/>
  <c r="U41" i="63"/>
  <c r="M41" i="63"/>
  <c r="N41" i="63" s="1"/>
  <c r="K41" i="63"/>
  <c r="AG40" i="63"/>
  <c r="AF40" i="63"/>
  <c r="AE40" i="63"/>
  <c r="K40" i="63"/>
  <c r="V39" i="63"/>
  <c r="U39" i="63"/>
  <c r="T39" i="63"/>
  <c r="N39" i="63"/>
  <c r="K39" i="63"/>
  <c r="N38" i="63"/>
  <c r="O37" i="63"/>
  <c r="O56" i="63" s="1"/>
  <c r="M37" i="63"/>
  <c r="M56" i="63" s="1"/>
  <c r="K37" i="63"/>
  <c r="N36" i="63"/>
  <c r="K36" i="63"/>
  <c r="N35" i="63"/>
  <c r="K35" i="63"/>
  <c r="N34" i="63"/>
  <c r="K34" i="63"/>
  <c r="N33" i="63"/>
  <c r="K33" i="63"/>
  <c r="N32" i="63"/>
  <c r="K32" i="63"/>
  <c r="V31" i="63"/>
  <c r="M31" i="63"/>
  <c r="N31" i="63" s="1"/>
  <c r="K31" i="63"/>
  <c r="K30" i="63"/>
  <c r="K29" i="63"/>
  <c r="U28" i="63"/>
  <c r="T28" i="63"/>
  <c r="L28" i="63"/>
  <c r="M28" i="63" s="1"/>
  <c r="N28" i="63" s="1"/>
  <c r="K28" i="63"/>
  <c r="K27" i="63"/>
  <c r="Z24" i="63"/>
  <c r="N24" i="63"/>
  <c r="K24" i="63"/>
  <c r="AG23" i="63"/>
  <c r="AE23" i="63"/>
  <c r="Z23" i="63"/>
  <c r="Q23" i="63"/>
  <c r="N23" i="63"/>
  <c r="M23" i="63"/>
  <c r="K23" i="63"/>
  <c r="Z22" i="63"/>
  <c r="N22" i="63"/>
  <c r="K22" i="63"/>
  <c r="Z21" i="63"/>
  <c r="N21" i="63"/>
  <c r="K21" i="63"/>
  <c r="Z20" i="63"/>
  <c r="N20" i="63"/>
  <c r="K20" i="63"/>
  <c r="N19" i="63"/>
  <c r="K19" i="63"/>
  <c r="Q18" i="63"/>
  <c r="N18" i="63"/>
  <c r="K18" i="63"/>
  <c r="N17" i="63"/>
  <c r="K17" i="63"/>
  <c r="Z16" i="63"/>
  <c r="K16" i="63"/>
  <c r="AG15" i="63"/>
  <c r="AE15" i="63"/>
  <c r="Z15" i="63"/>
  <c r="N15" i="63"/>
  <c r="K15" i="63"/>
  <c r="Z14" i="63"/>
  <c r="K14" i="63"/>
  <c r="Z12" i="63"/>
  <c r="K12" i="63"/>
  <c r="Z11" i="63"/>
  <c r="K11" i="63"/>
  <c r="AG10" i="63"/>
  <c r="AF10" i="63"/>
  <c r="AE10" i="63"/>
  <c r="Z10" i="63"/>
  <c r="K10" i="63"/>
  <c r="N9" i="63"/>
  <c r="K9" i="63"/>
  <c r="N8" i="63"/>
  <c r="K8" i="63"/>
  <c r="N6" i="63"/>
  <c r="K6" i="63"/>
  <c r="N5" i="63"/>
  <c r="K5" i="63"/>
  <c r="CE179" i="58"/>
  <c r="CC179" i="58"/>
  <c r="BF179" i="58"/>
  <c r="BE179" i="58"/>
  <c r="AO179" i="58"/>
  <c r="AN179" i="58"/>
  <c r="AM179" i="58"/>
  <c r="AF179" i="58"/>
  <c r="AG179" i="58" s="1"/>
  <c r="AD179" i="58"/>
  <c r="AJ179" i="58" s="1"/>
  <c r="CE178" i="58"/>
  <c r="CC178" i="58"/>
  <c r="BF178" i="58"/>
  <c r="BE178" i="58"/>
  <c r="AO178" i="58"/>
  <c r="AN178" i="58"/>
  <c r="AM178" i="58"/>
  <c r="AF178" i="58"/>
  <c r="AG178" i="58" s="1"/>
  <c r="AD178" i="58"/>
  <c r="AJ178" i="58" s="1"/>
  <c r="CE169" i="58"/>
  <c r="CC169" i="58"/>
  <c r="BF169" i="58"/>
  <c r="BE169" i="58"/>
  <c r="CE168" i="58"/>
  <c r="CC168" i="58"/>
  <c r="BF168" i="58"/>
  <c r="BE168" i="58"/>
  <c r="CE167" i="58"/>
  <c r="CC167" i="58"/>
  <c r="BF167" i="58"/>
  <c r="BE167" i="58"/>
  <c r="CE166" i="58"/>
  <c r="CC166" i="58"/>
  <c r="BF166" i="58"/>
  <c r="BE166" i="58"/>
  <c r="CE165" i="58"/>
  <c r="CC165" i="58"/>
  <c r="BF165" i="58"/>
  <c r="BE165" i="58"/>
  <c r="CE164" i="58"/>
  <c r="CC164" i="58"/>
  <c r="BF164" i="58"/>
  <c r="BE164" i="58"/>
  <c r="CE163" i="58"/>
  <c r="CC163" i="58"/>
  <c r="BF163" i="58"/>
  <c r="BE163" i="58"/>
  <c r="CE162" i="58"/>
  <c r="CC162" i="58"/>
  <c r="BF162" i="58"/>
  <c r="BE162" i="58"/>
  <c r="CE161" i="58"/>
  <c r="CC161" i="58"/>
  <c r="BF161" i="58"/>
  <c r="BE161" i="58"/>
  <c r="CE160" i="58"/>
  <c r="CC160" i="58"/>
  <c r="BF160" i="58"/>
  <c r="BE160" i="58"/>
  <c r="CE159" i="58"/>
  <c r="CC159" i="58"/>
  <c r="BX159" i="58"/>
  <c r="BY159" i="58" s="1"/>
  <c r="BF159" i="58"/>
  <c r="BE159" i="58"/>
  <c r="CE158" i="58"/>
  <c r="CC158" i="58"/>
  <c r="BX158" i="58"/>
  <c r="BY158" i="58" s="1"/>
  <c r="BF158" i="58"/>
  <c r="BE158" i="58"/>
  <c r="CE157" i="58"/>
  <c r="CC157" i="58"/>
  <c r="BX157" i="58"/>
  <c r="BY157" i="58" s="1"/>
  <c r="BP157" i="58"/>
  <c r="BO157" i="58"/>
  <c r="BJ157" i="58"/>
  <c r="BF157" i="58"/>
  <c r="BE157" i="58"/>
  <c r="BA157" i="58"/>
  <c r="BB157" i="58" s="1"/>
  <c r="CE156" i="58"/>
  <c r="CC156" i="58"/>
  <c r="BX156" i="58"/>
  <c r="BY156" i="58" s="1"/>
  <c r="BP156" i="58"/>
  <c r="BO156" i="58"/>
  <c r="BM156" i="58"/>
  <c r="BJ156" i="58"/>
  <c r="BF156" i="58"/>
  <c r="BE156" i="58"/>
  <c r="BA156" i="58"/>
  <c r="BB156" i="58" s="1"/>
  <c r="AW156" i="58"/>
  <c r="AX156" i="58" s="1"/>
  <c r="CE155" i="58"/>
  <c r="CC155" i="58"/>
  <c r="BX155" i="58"/>
  <c r="BY155" i="58" s="1"/>
  <c r="BP155" i="58"/>
  <c r="BO155" i="58"/>
  <c r="BM155" i="58"/>
  <c r="BJ155" i="58"/>
  <c r="BF155" i="58"/>
  <c r="BE155" i="58"/>
  <c r="BA155" i="58"/>
  <c r="BB155" i="58" s="1"/>
  <c r="AW155" i="58"/>
  <c r="CE154" i="58"/>
  <c r="CC154" i="58"/>
  <c r="BX154" i="58"/>
  <c r="BY154" i="58" s="1"/>
  <c r="BP154" i="58"/>
  <c r="BO154" i="58"/>
  <c r="BM154" i="58"/>
  <c r="BJ154" i="58"/>
  <c r="BF154" i="58"/>
  <c r="BE154" i="58"/>
  <c r="BA154" i="58"/>
  <c r="BB154" i="58" s="1"/>
  <c r="AW154" i="58"/>
  <c r="AX154" i="58" s="1"/>
  <c r="CE153" i="58"/>
  <c r="CC153" i="58"/>
  <c r="BX153" i="58"/>
  <c r="BY153" i="58" s="1"/>
  <c r="BP153" i="58"/>
  <c r="BO153" i="58"/>
  <c r="BM153" i="58"/>
  <c r="BJ153" i="58"/>
  <c r="BF153" i="58"/>
  <c r="BE153" i="58"/>
  <c r="BA153" i="58"/>
  <c r="BB153" i="58" s="1"/>
  <c r="AW153" i="58"/>
  <c r="CE152" i="58"/>
  <c r="CC152" i="58"/>
  <c r="BX152" i="58"/>
  <c r="BY152" i="58" s="1"/>
  <c r="BP152" i="58"/>
  <c r="BO152" i="58"/>
  <c r="BM152" i="58"/>
  <c r="BJ152" i="58"/>
  <c r="BF152" i="58"/>
  <c r="BE152" i="58"/>
  <c r="BA152" i="58"/>
  <c r="BB152" i="58" s="1"/>
  <c r="AW152" i="58"/>
  <c r="AX152" i="58" s="1"/>
  <c r="CE151" i="58"/>
  <c r="CC151" i="58"/>
  <c r="BX151" i="58"/>
  <c r="BY151" i="58" s="1"/>
  <c r="BP151" i="58"/>
  <c r="BO151" i="58"/>
  <c r="BM151" i="58"/>
  <c r="BJ151" i="58"/>
  <c r="BF151" i="58"/>
  <c r="BE151" i="58"/>
  <c r="BA151" i="58"/>
  <c r="BB151" i="58" s="1"/>
  <c r="AW151" i="58"/>
  <c r="CE150" i="58"/>
  <c r="CC150" i="58"/>
  <c r="BX150" i="58"/>
  <c r="BY150" i="58" s="1"/>
  <c r="BP150" i="58"/>
  <c r="BO150" i="58"/>
  <c r="BM150" i="58"/>
  <c r="BJ150" i="58"/>
  <c r="BF150" i="58"/>
  <c r="BE150" i="58"/>
  <c r="BA150" i="58"/>
  <c r="BB150" i="58" s="1"/>
  <c r="AW150" i="58"/>
  <c r="AX150" i="58" s="1"/>
  <c r="CE149" i="58"/>
  <c r="CC149" i="58"/>
  <c r="BX149" i="58"/>
  <c r="BY149" i="58" s="1"/>
  <c r="BP149" i="58"/>
  <c r="BO149" i="58"/>
  <c r="BM149" i="58"/>
  <c r="BJ149" i="58"/>
  <c r="BF149" i="58"/>
  <c r="BE149" i="58"/>
  <c r="BA149" i="58"/>
  <c r="BB149" i="58" s="1"/>
  <c r="CE148" i="58"/>
  <c r="CC148" i="58"/>
  <c r="BX148" i="58"/>
  <c r="BY148" i="58" s="1"/>
  <c r="BP148" i="58"/>
  <c r="BO148" i="58"/>
  <c r="BM148" i="58"/>
  <c r="BJ148" i="58"/>
  <c r="BF148" i="58"/>
  <c r="BE148" i="58"/>
  <c r="BA148" i="58"/>
  <c r="BB148" i="58" s="1"/>
  <c r="AW148" i="58"/>
  <c r="AX148" i="58" s="1"/>
  <c r="CE147" i="58"/>
  <c r="CC147" i="58"/>
  <c r="BX147" i="58"/>
  <c r="BY147" i="58" s="1"/>
  <c r="BP147" i="58"/>
  <c r="BO147" i="58"/>
  <c r="BM147" i="58"/>
  <c r="BJ147" i="58"/>
  <c r="BF147" i="58"/>
  <c r="BE147" i="58"/>
  <c r="BA147" i="58"/>
  <c r="BB147" i="58" s="1"/>
  <c r="AW147" i="58"/>
  <c r="CE146" i="58"/>
  <c r="CC146" i="58"/>
  <c r="BX146" i="58"/>
  <c r="BY146" i="58" s="1"/>
  <c r="BP146" i="58"/>
  <c r="BO146" i="58"/>
  <c r="BM146" i="58"/>
  <c r="BJ146" i="58"/>
  <c r="BF146" i="58"/>
  <c r="BE146" i="58"/>
  <c r="BA146" i="58"/>
  <c r="BB146" i="58" s="1"/>
  <c r="AW146" i="58"/>
  <c r="AX146" i="58" s="1"/>
  <c r="CE145" i="58"/>
  <c r="CC145" i="58"/>
  <c r="BX145" i="58"/>
  <c r="BY145" i="58" s="1"/>
  <c r="BP145" i="58"/>
  <c r="BO145" i="58"/>
  <c r="BM145" i="58"/>
  <c r="BJ145" i="58"/>
  <c r="BF145" i="58"/>
  <c r="BE145" i="58"/>
  <c r="BA145" i="58"/>
  <c r="BB145" i="58" s="1"/>
  <c r="AW145" i="58"/>
  <c r="CE144" i="58"/>
  <c r="CC144" i="58"/>
  <c r="BX144" i="58"/>
  <c r="BY144" i="58" s="1"/>
  <c r="BP144" i="58"/>
  <c r="BO144" i="58"/>
  <c r="BM144" i="58"/>
  <c r="BJ144" i="58"/>
  <c r="BF144" i="58"/>
  <c r="BE144" i="58"/>
  <c r="BA144" i="58"/>
  <c r="BB144" i="58" s="1"/>
  <c r="AW144" i="58"/>
  <c r="CE143" i="58"/>
  <c r="CC143" i="58"/>
  <c r="BX143" i="58"/>
  <c r="BY143" i="58" s="1"/>
  <c r="BP143" i="58"/>
  <c r="BO143" i="58"/>
  <c r="BM143" i="58"/>
  <c r="BJ143" i="58"/>
  <c r="BF143" i="58"/>
  <c r="BE143" i="58"/>
  <c r="BA143" i="58"/>
  <c r="BB143" i="58" s="1"/>
  <c r="AW143" i="58"/>
  <c r="CE142" i="58"/>
  <c r="CC142" i="58"/>
  <c r="BX142" i="58"/>
  <c r="BY142" i="58" s="1"/>
  <c r="BP142" i="58"/>
  <c r="BO142" i="58"/>
  <c r="BM142" i="58"/>
  <c r="BJ142" i="58"/>
  <c r="BF142" i="58"/>
  <c r="BE142" i="58"/>
  <c r="BA142" i="58"/>
  <c r="BB142" i="58" s="1"/>
  <c r="AW142" i="58"/>
  <c r="CE141" i="58"/>
  <c r="CC141" i="58"/>
  <c r="BX141" i="58"/>
  <c r="BY141" i="58" s="1"/>
  <c r="BP141" i="58"/>
  <c r="BO141" i="58"/>
  <c r="BM141" i="58"/>
  <c r="BJ141" i="58"/>
  <c r="BF141" i="58"/>
  <c r="BE141" i="58"/>
  <c r="BA141" i="58"/>
  <c r="BB141" i="58" s="1"/>
  <c r="AW141" i="58"/>
  <c r="CE140" i="58"/>
  <c r="CC140" i="58"/>
  <c r="BX140" i="58"/>
  <c r="BY140" i="58" s="1"/>
  <c r="BP140" i="58"/>
  <c r="BO140" i="58"/>
  <c r="BM140" i="58"/>
  <c r="BJ140" i="58"/>
  <c r="BF140" i="58"/>
  <c r="BE140" i="58"/>
  <c r="BA140" i="58"/>
  <c r="BB140" i="58" s="1"/>
  <c r="AW140" i="58"/>
  <c r="CE139" i="58"/>
  <c r="CC139" i="58"/>
  <c r="BX139" i="58"/>
  <c r="BY139" i="58" s="1"/>
  <c r="BP139" i="58"/>
  <c r="BO139" i="58"/>
  <c r="BM139" i="58"/>
  <c r="BJ139" i="58"/>
  <c r="BF139" i="58"/>
  <c r="BE139" i="58"/>
  <c r="BA139" i="58"/>
  <c r="BB139" i="58" s="1"/>
  <c r="AW139" i="58"/>
  <c r="AX139" i="58" s="1"/>
  <c r="CE138" i="58"/>
  <c r="CC138" i="58"/>
  <c r="BX138" i="58"/>
  <c r="BY138" i="58" s="1"/>
  <c r="BP138" i="58"/>
  <c r="BO138" i="58"/>
  <c r="BM138" i="58"/>
  <c r="BJ138" i="58"/>
  <c r="BF138" i="58"/>
  <c r="BE138" i="58"/>
  <c r="BA138" i="58"/>
  <c r="BB138" i="58" s="1"/>
  <c r="AW138" i="58"/>
  <c r="CE137" i="58"/>
  <c r="CC137" i="58"/>
  <c r="BX137" i="58"/>
  <c r="BY137" i="58" s="1"/>
  <c r="BP137" i="58"/>
  <c r="BO137" i="58"/>
  <c r="BM137" i="58"/>
  <c r="BJ137" i="58"/>
  <c r="BF137" i="58"/>
  <c r="BE137" i="58"/>
  <c r="BA137" i="58"/>
  <c r="BB137" i="58" s="1"/>
  <c r="AW137" i="58"/>
  <c r="AX137" i="58" s="1"/>
  <c r="CE136" i="58"/>
  <c r="CC136" i="58"/>
  <c r="BX136" i="58"/>
  <c r="BY136" i="58" s="1"/>
  <c r="BP136" i="58"/>
  <c r="BO136" i="58"/>
  <c r="BM136" i="58"/>
  <c r="BJ136" i="58"/>
  <c r="BF136" i="58"/>
  <c r="BE136" i="58"/>
  <c r="BA136" i="58"/>
  <c r="BB136" i="58" s="1"/>
  <c r="AW136" i="58"/>
  <c r="CE135" i="58"/>
  <c r="CC135" i="58"/>
  <c r="BX135" i="58"/>
  <c r="BY135" i="58" s="1"/>
  <c r="BP135" i="58"/>
  <c r="BO135" i="58"/>
  <c r="BM135" i="58"/>
  <c r="BJ135" i="58"/>
  <c r="BF135" i="58"/>
  <c r="BE135" i="58"/>
  <c r="BA135" i="58"/>
  <c r="BB135" i="58" s="1"/>
  <c r="AW135" i="58"/>
  <c r="AX135" i="58" s="1"/>
  <c r="CE134" i="58"/>
  <c r="CC134" i="58"/>
  <c r="BX134" i="58"/>
  <c r="BY134" i="58" s="1"/>
  <c r="BP134" i="58"/>
  <c r="BO134" i="58"/>
  <c r="BM134" i="58"/>
  <c r="BJ134" i="58"/>
  <c r="BF134" i="58"/>
  <c r="BE134" i="58"/>
  <c r="BA134" i="58"/>
  <c r="BB134" i="58" s="1"/>
  <c r="AW134" i="58"/>
  <c r="CE133" i="58"/>
  <c r="CC133" i="58"/>
  <c r="BX133" i="58"/>
  <c r="BY133" i="58" s="1"/>
  <c r="BP133" i="58"/>
  <c r="BO133" i="58"/>
  <c r="BM133" i="58"/>
  <c r="BJ133" i="58"/>
  <c r="BF133" i="58"/>
  <c r="BE133" i="58"/>
  <c r="BA133" i="58"/>
  <c r="BB133" i="58" s="1"/>
  <c r="AW133" i="58"/>
  <c r="AX133" i="58" s="1"/>
  <c r="CE132" i="58"/>
  <c r="CC132" i="58"/>
  <c r="BX132" i="58"/>
  <c r="BY132" i="58" s="1"/>
  <c r="BP132" i="58"/>
  <c r="BO132" i="58"/>
  <c r="BM132" i="58"/>
  <c r="BJ132" i="58"/>
  <c r="BF132" i="58"/>
  <c r="BE132" i="58"/>
  <c r="BA132" i="58"/>
  <c r="BB132" i="58" s="1"/>
  <c r="AW132" i="58"/>
  <c r="CE131" i="58"/>
  <c r="CC131" i="58"/>
  <c r="BX131" i="58"/>
  <c r="BY131" i="58" s="1"/>
  <c r="BP131" i="58"/>
  <c r="BO131" i="58"/>
  <c r="BM131" i="58"/>
  <c r="BJ131" i="58"/>
  <c r="BF131" i="58"/>
  <c r="BE131" i="58"/>
  <c r="BA131" i="58"/>
  <c r="BB131" i="58" s="1"/>
  <c r="AW131" i="58"/>
  <c r="AX131" i="58" s="1"/>
  <c r="CE130" i="58"/>
  <c r="CC130" i="58"/>
  <c r="BX130" i="58"/>
  <c r="BY130" i="58" s="1"/>
  <c r="BP130" i="58"/>
  <c r="BO130" i="58"/>
  <c r="BM130" i="58"/>
  <c r="BJ130" i="58"/>
  <c r="BF130" i="58"/>
  <c r="BE130" i="58"/>
  <c r="BA130" i="58"/>
  <c r="BB130" i="58" s="1"/>
  <c r="AW130" i="58"/>
  <c r="CE129" i="58"/>
  <c r="CC129" i="58"/>
  <c r="BX129" i="58"/>
  <c r="BY129" i="58" s="1"/>
  <c r="BP129" i="58"/>
  <c r="BO129" i="58"/>
  <c r="BM129" i="58"/>
  <c r="BJ129" i="58"/>
  <c r="BF129" i="58"/>
  <c r="BE129" i="58"/>
  <c r="BA129" i="58"/>
  <c r="BB129" i="58" s="1"/>
  <c r="AW129" i="58"/>
  <c r="AX129" i="58" s="1"/>
  <c r="CE128" i="58"/>
  <c r="CC128" i="58"/>
  <c r="BX128" i="58"/>
  <c r="BY128" i="58" s="1"/>
  <c r="BP128" i="58"/>
  <c r="BO128" i="58"/>
  <c r="BM128" i="58"/>
  <c r="BJ128" i="58"/>
  <c r="BF128" i="58"/>
  <c r="BE128" i="58"/>
  <c r="BA128" i="58"/>
  <c r="BB128" i="58" s="1"/>
  <c r="AW128" i="58"/>
  <c r="CE127" i="58"/>
  <c r="CC127" i="58"/>
  <c r="BX127" i="58"/>
  <c r="BY127" i="58" s="1"/>
  <c r="BP127" i="58"/>
  <c r="BO127" i="58"/>
  <c r="BM127" i="58"/>
  <c r="BJ127" i="58"/>
  <c r="BF127" i="58"/>
  <c r="BE127" i="58"/>
  <c r="BA127" i="58"/>
  <c r="BB127" i="58" s="1"/>
  <c r="AW127" i="58"/>
  <c r="AX127" i="58" s="1"/>
  <c r="CE126" i="58"/>
  <c r="CC126" i="58"/>
  <c r="BX126" i="58"/>
  <c r="BY126" i="58" s="1"/>
  <c r="BP126" i="58"/>
  <c r="BO126" i="58"/>
  <c r="BM126" i="58"/>
  <c r="BJ126" i="58"/>
  <c r="BF126" i="58"/>
  <c r="BE126" i="58"/>
  <c r="BA126" i="58"/>
  <c r="BB126" i="58" s="1"/>
  <c r="AW126" i="58"/>
  <c r="CE125" i="58"/>
  <c r="CC125" i="58"/>
  <c r="BX125" i="58"/>
  <c r="BY125" i="58" s="1"/>
  <c r="BP125" i="58"/>
  <c r="BO125" i="58"/>
  <c r="BM125" i="58"/>
  <c r="BJ125" i="58"/>
  <c r="BF125" i="58"/>
  <c r="BE125" i="58"/>
  <c r="BA125" i="58"/>
  <c r="BB125" i="58" s="1"/>
  <c r="AW125" i="58"/>
  <c r="AX125" i="58" s="1"/>
  <c r="CE124" i="58"/>
  <c r="CC124" i="58"/>
  <c r="BX124" i="58"/>
  <c r="BY124" i="58" s="1"/>
  <c r="BP124" i="58"/>
  <c r="BO124" i="58"/>
  <c r="BM124" i="58"/>
  <c r="BJ124" i="58"/>
  <c r="BF124" i="58"/>
  <c r="BE124" i="58"/>
  <c r="BA124" i="58"/>
  <c r="BB124" i="58" s="1"/>
  <c r="AW124" i="58"/>
  <c r="CE123" i="58"/>
  <c r="CC123" i="58"/>
  <c r="BX123" i="58"/>
  <c r="BY123" i="58" s="1"/>
  <c r="BP123" i="58"/>
  <c r="BO123" i="58"/>
  <c r="BM123" i="58"/>
  <c r="BJ123" i="58"/>
  <c r="BF123" i="58"/>
  <c r="BE123" i="58"/>
  <c r="BA123" i="58"/>
  <c r="BB123" i="58" s="1"/>
  <c r="AW123" i="58"/>
  <c r="AX123" i="58" s="1"/>
  <c r="CE122" i="58"/>
  <c r="CC122" i="58"/>
  <c r="BX122" i="58"/>
  <c r="BY122" i="58" s="1"/>
  <c r="BP122" i="58"/>
  <c r="BO122" i="58"/>
  <c r="BM122" i="58"/>
  <c r="BJ122" i="58"/>
  <c r="BF122" i="58"/>
  <c r="BE122" i="58"/>
  <c r="BA122" i="58"/>
  <c r="BB122" i="58" s="1"/>
  <c r="AW122" i="58"/>
  <c r="CE121" i="58"/>
  <c r="CC121" i="58"/>
  <c r="BX121" i="58"/>
  <c r="BY121" i="58" s="1"/>
  <c r="BP121" i="58"/>
  <c r="BO121" i="58"/>
  <c r="BM121" i="58"/>
  <c r="BJ121" i="58"/>
  <c r="BF121" i="58"/>
  <c r="BE121" i="58"/>
  <c r="BA121" i="58"/>
  <c r="BB121" i="58" s="1"/>
  <c r="AW121" i="58"/>
  <c r="AX121" i="58" s="1"/>
  <c r="CE120" i="58"/>
  <c r="CC120" i="58"/>
  <c r="BX120" i="58"/>
  <c r="BY120" i="58" s="1"/>
  <c r="BP120" i="58"/>
  <c r="BO120" i="58"/>
  <c r="BM120" i="58"/>
  <c r="BJ120" i="58"/>
  <c r="BF120" i="58"/>
  <c r="BE120" i="58"/>
  <c r="BA120" i="58"/>
  <c r="BB120" i="58" s="1"/>
  <c r="AW120" i="58"/>
  <c r="CE119" i="58"/>
  <c r="CC119" i="58"/>
  <c r="BX119" i="58"/>
  <c r="BY119" i="58" s="1"/>
  <c r="BP119" i="58"/>
  <c r="BO119" i="58"/>
  <c r="BM119" i="58"/>
  <c r="BJ119" i="58"/>
  <c r="BF119" i="58"/>
  <c r="BE119" i="58"/>
  <c r="BA119" i="58"/>
  <c r="BB119" i="58" s="1"/>
  <c r="AW119" i="58"/>
  <c r="AX119" i="58" s="1"/>
  <c r="CE118" i="58"/>
  <c r="CC118" i="58"/>
  <c r="BX118" i="58"/>
  <c r="BY118" i="58" s="1"/>
  <c r="BP118" i="58"/>
  <c r="BO118" i="58"/>
  <c r="BM118" i="58"/>
  <c r="BJ118" i="58"/>
  <c r="BF118" i="58"/>
  <c r="BE118" i="58"/>
  <c r="BA118" i="58"/>
  <c r="BB118" i="58" s="1"/>
  <c r="AW118" i="58"/>
  <c r="CE117" i="58"/>
  <c r="CC117" i="58"/>
  <c r="BX117" i="58"/>
  <c r="BY117" i="58" s="1"/>
  <c r="BP117" i="58"/>
  <c r="BO117" i="58"/>
  <c r="BM117" i="58"/>
  <c r="BJ117" i="58"/>
  <c r="BF117" i="58"/>
  <c r="BE117" i="58"/>
  <c r="BA117" i="58"/>
  <c r="BB117" i="58" s="1"/>
  <c r="AW117" i="58"/>
  <c r="AX117" i="58" s="1"/>
  <c r="CE116" i="58"/>
  <c r="CC116" i="58"/>
  <c r="BX116" i="58"/>
  <c r="BY116" i="58" s="1"/>
  <c r="BP116" i="58"/>
  <c r="BO116" i="58"/>
  <c r="BM116" i="58"/>
  <c r="BJ116" i="58"/>
  <c r="BF116" i="58"/>
  <c r="BE116" i="58"/>
  <c r="BA116" i="58"/>
  <c r="BB116" i="58" s="1"/>
  <c r="AW116" i="58"/>
  <c r="CE115" i="58"/>
  <c r="CC115" i="58"/>
  <c r="BX115" i="58"/>
  <c r="BY115" i="58" s="1"/>
  <c r="BP115" i="58"/>
  <c r="BO115" i="58"/>
  <c r="BM115" i="58"/>
  <c r="BJ115" i="58"/>
  <c r="BF115" i="58"/>
  <c r="BE115" i="58"/>
  <c r="BA115" i="58"/>
  <c r="BB115" i="58" s="1"/>
  <c r="AW115" i="58"/>
  <c r="AX115" i="58" s="1"/>
  <c r="CE114" i="58"/>
  <c r="CC114" i="58"/>
  <c r="BX114" i="58"/>
  <c r="BY114" i="58" s="1"/>
  <c r="BP114" i="58"/>
  <c r="BO114" i="58"/>
  <c r="BM114" i="58"/>
  <c r="BJ114" i="58"/>
  <c r="BF114" i="58"/>
  <c r="BE114" i="58"/>
  <c r="BA114" i="58"/>
  <c r="BB114" i="58" s="1"/>
  <c r="AW114" i="58"/>
  <c r="CE113" i="58"/>
  <c r="CC113" i="58"/>
  <c r="BX113" i="58"/>
  <c r="BY113" i="58" s="1"/>
  <c r="BP113" i="58"/>
  <c r="BO113" i="58"/>
  <c r="BM113" i="58"/>
  <c r="BJ113" i="58"/>
  <c r="BF113" i="58"/>
  <c r="BE113" i="58"/>
  <c r="BA113" i="58"/>
  <c r="BB113" i="58" s="1"/>
  <c r="AW113" i="58"/>
  <c r="CE112" i="58"/>
  <c r="CC112" i="58"/>
  <c r="BX112" i="58"/>
  <c r="BY112" i="58" s="1"/>
  <c r="BP112" i="58"/>
  <c r="BO112" i="58"/>
  <c r="BM112" i="58"/>
  <c r="BJ112" i="58"/>
  <c r="BF112" i="58"/>
  <c r="BE112" i="58"/>
  <c r="BA112" i="58"/>
  <c r="BB112" i="58" s="1"/>
  <c r="AW112" i="58"/>
  <c r="AX112" i="58" s="1"/>
  <c r="CE111" i="58"/>
  <c r="CC111" i="58"/>
  <c r="BX111" i="58"/>
  <c r="BY111" i="58" s="1"/>
  <c r="BP111" i="58"/>
  <c r="BO111" i="58"/>
  <c r="BM111" i="58"/>
  <c r="BJ111" i="58"/>
  <c r="BF111" i="58"/>
  <c r="BE111" i="58"/>
  <c r="BA111" i="58"/>
  <c r="BB111" i="58" s="1"/>
  <c r="AW111" i="58"/>
  <c r="CE110" i="58"/>
  <c r="CC110" i="58"/>
  <c r="BX110" i="58"/>
  <c r="BY110" i="58" s="1"/>
  <c r="BP110" i="58"/>
  <c r="BO110" i="58"/>
  <c r="BM110" i="58"/>
  <c r="BJ110" i="58"/>
  <c r="BF110" i="58"/>
  <c r="BE110" i="58"/>
  <c r="BA110" i="58"/>
  <c r="BB110" i="58" s="1"/>
  <c r="AW110" i="58"/>
  <c r="AX110" i="58" s="1"/>
  <c r="CE109" i="58"/>
  <c r="CC109" i="58"/>
  <c r="BX109" i="58"/>
  <c r="BY109" i="58" s="1"/>
  <c r="BP109" i="58"/>
  <c r="BO109" i="58"/>
  <c r="BM109" i="58"/>
  <c r="BJ109" i="58"/>
  <c r="BF109" i="58"/>
  <c r="BE109" i="58"/>
  <c r="BA109" i="58"/>
  <c r="BB109" i="58" s="1"/>
  <c r="AW109" i="58"/>
  <c r="CE108" i="58"/>
  <c r="CC108" i="58"/>
  <c r="BX108" i="58"/>
  <c r="BY108" i="58" s="1"/>
  <c r="BP108" i="58"/>
  <c r="BO108" i="58"/>
  <c r="BM108" i="58"/>
  <c r="BJ108" i="58"/>
  <c r="BF108" i="58"/>
  <c r="BE108" i="58"/>
  <c r="BA108" i="58"/>
  <c r="BB108" i="58" s="1"/>
  <c r="AW108" i="58"/>
  <c r="AX108" i="58" s="1"/>
  <c r="CE107" i="58"/>
  <c r="CC107" i="58"/>
  <c r="BX107" i="58"/>
  <c r="BY107" i="58" s="1"/>
  <c r="BP107" i="58"/>
  <c r="BO107" i="58"/>
  <c r="BM107" i="58"/>
  <c r="BJ107" i="58"/>
  <c r="BF107" i="58"/>
  <c r="BE107" i="58"/>
  <c r="BA107" i="58"/>
  <c r="BB107" i="58" s="1"/>
  <c r="AW107" i="58"/>
  <c r="CE106" i="58"/>
  <c r="CC106" i="58"/>
  <c r="BX106" i="58"/>
  <c r="BY106" i="58" s="1"/>
  <c r="BP106" i="58"/>
  <c r="BO106" i="58"/>
  <c r="BM106" i="58"/>
  <c r="BJ106" i="58"/>
  <c r="BF106" i="58"/>
  <c r="BE106" i="58"/>
  <c r="BA106" i="58"/>
  <c r="BB106" i="58" s="1"/>
  <c r="AW106" i="58"/>
  <c r="AX106" i="58" s="1"/>
  <c r="CE105" i="58"/>
  <c r="CC105" i="58"/>
  <c r="BX105" i="58"/>
  <c r="BY105" i="58" s="1"/>
  <c r="BP105" i="58"/>
  <c r="BO105" i="58"/>
  <c r="BM105" i="58"/>
  <c r="BJ105" i="58"/>
  <c r="BF105" i="58"/>
  <c r="BE105" i="58"/>
  <c r="BA105" i="58"/>
  <c r="BB105" i="58" s="1"/>
  <c r="AW105" i="58"/>
  <c r="CE104" i="58"/>
  <c r="CC104" i="58"/>
  <c r="BX104" i="58"/>
  <c r="BY104" i="58" s="1"/>
  <c r="BP104" i="58"/>
  <c r="BO104" i="58"/>
  <c r="BM104" i="58"/>
  <c r="BJ104" i="58"/>
  <c r="BF104" i="58"/>
  <c r="BE104" i="58"/>
  <c r="BA104" i="58"/>
  <c r="BB104" i="58" s="1"/>
  <c r="AW104" i="58"/>
  <c r="AX104" i="58" s="1"/>
  <c r="CE103" i="58"/>
  <c r="CC103" i="58"/>
  <c r="BX103" i="58"/>
  <c r="BY103" i="58" s="1"/>
  <c r="BP103" i="58"/>
  <c r="BO103" i="58"/>
  <c r="BM103" i="58"/>
  <c r="BJ103" i="58"/>
  <c r="BF103" i="58"/>
  <c r="BE103" i="58"/>
  <c r="BA103" i="58"/>
  <c r="BB103" i="58" s="1"/>
  <c r="AW103" i="58"/>
  <c r="CE102" i="58"/>
  <c r="CC102" i="58"/>
  <c r="BX102" i="58"/>
  <c r="BY102" i="58" s="1"/>
  <c r="BP102" i="58"/>
  <c r="BO102" i="58"/>
  <c r="BM102" i="58"/>
  <c r="BJ102" i="58"/>
  <c r="BF102" i="58"/>
  <c r="BE102" i="58"/>
  <c r="BA102" i="58"/>
  <c r="BB102" i="58" s="1"/>
  <c r="AW102" i="58"/>
  <c r="AX102" i="58" s="1"/>
  <c r="CE101" i="58"/>
  <c r="CC101" i="58"/>
  <c r="BX101" i="58"/>
  <c r="BY101" i="58" s="1"/>
  <c r="BP101" i="58"/>
  <c r="BO101" i="58"/>
  <c r="BM101" i="58"/>
  <c r="BJ101" i="58"/>
  <c r="BF101" i="58"/>
  <c r="BE101" i="58"/>
  <c r="BA101" i="58"/>
  <c r="BB101" i="58" s="1"/>
  <c r="AW101" i="58"/>
  <c r="CE100" i="58"/>
  <c r="CC100" i="58"/>
  <c r="BX100" i="58"/>
  <c r="BY100" i="58" s="1"/>
  <c r="BP100" i="58"/>
  <c r="BO100" i="58"/>
  <c r="BM100" i="58"/>
  <c r="BJ100" i="58"/>
  <c r="BF100" i="58"/>
  <c r="BE100" i="58"/>
  <c r="BA100" i="58"/>
  <c r="BB100" i="58" s="1"/>
  <c r="AW100" i="58"/>
  <c r="AX100" i="58" s="1"/>
  <c r="CE99" i="58"/>
  <c r="CC99" i="58"/>
  <c r="BX99" i="58"/>
  <c r="BY99" i="58" s="1"/>
  <c r="BP99" i="58"/>
  <c r="BO99" i="58"/>
  <c r="BM99" i="58"/>
  <c r="BJ99" i="58"/>
  <c r="BF99" i="58"/>
  <c r="BE99" i="58"/>
  <c r="BA99" i="58"/>
  <c r="BB99" i="58" s="1"/>
  <c r="AW99" i="58"/>
  <c r="CE98" i="58"/>
  <c r="CC98" i="58"/>
  <c r="BX98" i="58"/>
  <c r="BY98" i="58" s="1"/>
  <c r="BP98" i="58"/>
  <c r="BO98" i="58"/>
  <c r="BM98" i="58"/>
  <c r="BJ98" i="58"/>
  <c r="BF98" i="58"/>
  <c r="BE98" i="58"/>
  <c r="BA98" i="58"/>
  <c r="BB98" i="58" s="1"/>
  <c r="AW98" i="58"/>
  <c r="AX98" i="58" s="1"/>
  <c r="CE97" i="58"/>
  <c r="CC97" i="58"/>
  <c r="BX97" i="58"/>
  <c r="BY97" i="58" s="1"/>
  <c r="BP97" i="58"/>
  <c r="BO97" i="58"/>
  <c r="BM97" i="58"/>
  <c r="BJ97" i="58"/>
  <c r="BF97" i="58"/>
  <c r="BE97" i="58"/>
  <c r="BA97" i="58"/>
  <c r="BB97" i="58" s="1"/>
  <c r="AW97" i="58"/>
  <c r="CE96" i="58"/>
  <c r="CC96" i="58"/>
  <c r="BX96" i="58"/>
  <c r="BY96" i="58" s="1"/>
  <c r="BP96" i="58"/>
  <c r="BO96" i="58"/>
  <c r="BM96" i="58"/>
  <c r="BJ96" i="58"/>
  <c r="BF96" i="58"/>
  <c r="BE96" i="58"/>
  <c r="BA96" i="58"/>
  <c r="BB96" i="58" s="1"/>
  <c r="AW96" i="58"/>
  <c r="AX96" i="58" s="1"/>
  <c r="CE95" i="58"/>
  <c r="CC95" i="58"/>
  <c r="BX95" i="58"/>
  <c r="BY95" i="58" s="1"/>
  <c r="BP95" i="58"/>
  <c r="BO95" i="58"/>
  <c r="BM95" i="58"/>
  <c r="BJ95" i="58"/>
  <c r="BF95" i="58"/>
  <c r="BE95" i="58"/>
  <c r="BA95" i="58"/>
  <c r="BB95" i="58" s="1"/>
  <c r="AW95" i="58"/>
  <c r="CE94" i="58"/>
  <c r="CC94" i="58"/>
  <c r="BX94" i="58"/>
  <c r="BY94" i="58" s="1"/>
  <c r="BP94" i="58"/>
  <c r="BO94" i="58"/>
  <c r="BM94" i="58"/>
  <c r="BJ94" i="58"/>
  <c r="BF94" i="58"/>
  <c r="BE94" i="58"/>
  <c r="BA94" i="58"/>
  <c r="BB94" i="58" s="1"/>
  <c r="AW94" i="58"/>
  <c r="AX94" i="58" s="1"/>
  <c r="CE93" i="58"/>
  <c r="CC93" i="58"/>
  <c r="BX93" i="58"/>
  <c r="BY93" i="58" s="1"/>
  <c r="BP93" i="58"/>
  <c r="BO93" i="58"/>
  <c r="BM93" i="58"/>
  <c r="BJ93" i="58"/>
  <c r="BF93" i="58"/>
  <c r="BE93" i="58"/>
  <c r="BA93" i="58"/>
  <c r="BB93" i="58" s="1"/>
  <c r="AW93" i="58"/>
  <c r="CE92" i="58"/>
  <c r="CC92" i="58"/>
  <c r="BX92" i="58"/>
  <c r="BY92" i="58" s="1"/>
  <c r="BP92" i="58"/>
  <c r="BO92" i="58"/>
  <c r="BM92" i="58"/>
  <c r="BJ92" i="58"/>
  <c r="BF92" i="58"/>
  <c r="BE92" i="58"/>
  <c r="BA92" i="58"/>
  <c r="BB92" i="58" s="1"/>
  <c r="AW92" i="58"/>
  <c r="AX92" i="58" s="1"/>
  <c r="CE91" i="58"/>
  <c r="CC91" i="58"/>
  <c r="BX91" i="58"/>
  <c r="BY91" i="58" s="1"/>
  <c r="BP91" i="58"/>
  <c r="BO91" i="58"/>
  <c r="BM91" i="58"/>
  <c r="BJ91" i="58"/>
  <c r="BF91" i="58"/>
  <c r="BE91" i="58"/>
  <c r="BA91" i="58"/>
  <c r="BB91" i="58" s="1"/>
  <c r="AW91" i="58"/>
  <c r="CE90" i="58"/>
  <c r="CC90" i="58"/>
  <c r="BX90" i="58"/>
  <c r="BY90" i="58" s="1"/>
  <c r="BP90" i="58"/>
  <c r="BO90" i="58"/>
  <c r="BM90" i="58"/>
  <c r="BJ90" i="58"/>
  <c r="BF90" i="58"/>
  <c r="BE90" i="58"/>
  <c r="BA90" i="58"/>
  <c r="BB90" i="58" s="1"/>
  <c r="AW90" i="58"/>
  <c r="AX90" i="58" s="1"/>
  <c r="CE89" i="58"/>
  <c r="CC89" i="58"/>
  <c r="BX89" i="58"/>
  <c r="BY89" i="58" s="1"/>
  <c r="BP89" i="58"/>
  <c r="BO89" i="58"/>
  <c r="BM89" i="58"/>
  <c r="BJ89" i="58"/>
  <c r="BF89" i="58"/>
  <c r="BE89" i="58"/>
  <c r="BA89" i="58"/>
  <c r="BB89" i="58" s="1"/>
  <c r="AW89" i="58"/>
  <c r="CE88" i="58"/>
  <c r="CC88" i="58"/>
  <c r="BX88" i="58"/>
  <c r="BY88" i="58" s="1"/>
  <c r="BP88" i="58"/>
  <c r="BO88" i="58"/>
  <c r="BM88" i="58"/>
  <c r="BJ88" i="58"/>
  <c r="BF88" i="58"/>
  <c r="BE88" i="58"/>
  <c r="BA88" i="58"/>
  <c r="BB88" i="58" s="1"/>
  <c r="AW88" i="58"/>
  <c r="AX88" i="58" s="1"/>
  <c r="CE87" i="58"/>
  <c r="CC87" i="58"/>
  <c r="BX87" i="58"/>
  <c r="BY87" i="58" s="1"/>
  <c r="BP87" i="58"/>
  <c r="BO87" i="58"/>
  <c r="BM87" i="58"/>
  <c r="BJ87" i="58"/>
  <c r="BF87" i="58"/>
  <c r="BE87" i="58"/>
  <c r="BA87" i="58"/>
  <c r="BB87" i="58" s="1"/>
  <c r="AW87" i="58"/>
  <c r="CE86" i="58"/>
  <c r="CC86" i="58"/>
  <c r="BX86" i="58"/>
  <c r="BY86" i="58" s="1"/>
  <c r="BP86" i="58"/>
  <c r="BO86" i="58"/>
  <c r="BM86" i="58"/>
  <c r="BJ86" i="58"/>
  <c r="BF86" i="58"/>
  <c r="BE86" i="58"/>
  <c r="BA86" i="58"/>
  <c r="BB86" i="58" s="1"/>
  <c r="AW86" i="58"/>
  <c r="AX86" i="58" s="1"/>
  <c r="CE85" i="58"/>
  <c r="CC85" i="58"/>
  <c r="BX85" i="58"/>
  <c r="BY85" i="58" s="1"/>
  <c r="BP85" i="58"/>
  <c r="BO85" i="58"/>
  <c r="BM85" i="58"/>
  <c r="BJ85" i="58"/>
  <c r="BF85" i="58"/>
  <c r="BE85" i="58"/>
  <c r="BA85" i="58"/>
  <c r="BB85" i="58" s="1"/>
  <c r="AW85" i="58"/>
  <c r="CE84" i="58"/>
  <c r="CC84" i="58"/>
  <c r="BX84" i="58"/>
  <c r="BY84" i="58" s="1"/>
  <c r="BP84" i="58"/>
  <c r="BO84" i="58"/>
  <c r="BM84" i="58"/>
  <c r="BJ84" i="58"/>
  <c r="BF84" i="58"/>
  <c r="BE84" i="58"/>
  <c r="BA84" i="58"/>
  <c r="BB84" i="58" s="1"/>
  <c r="AW84" i="58"/>
  <c r="AX84" i="58" s="1"/>
  <c r="CE83" i="58"/>
  <c r="CC83" i="58"/>
  <c r="BX83" i="58"/>
  <c r="BY83" i="58" s="1"/>
  <c r="BP83" i="58"/>
  <c r="BO83" i="58"/>
  <c r="BM83" i="58"/>
  <c r="BJ83" i="58"/>
  <c r="BF83" i="58"/>
  <c r="BE83" i="58"/>
  <c r="BA83" i="58"/>
  <c r="BB83" i="58" s="1"/>
  <c r="AW83" i="58"/>
  <c r="CE82" i="58"/>
  <c r="CC82" i="58"/>
  <c r="BX82" i="58"/>
  <c r="BY82" i="58" s="1"/>
  <c r="BP82" i="58"/>
  <c r="BO82" i="58"/>
  <c r="BM82" i="58"/>
  <c r="BJ82" i="58"/>
  <c r="BF82" i="58"/>
  <c r="BE82" i="58"/>
  <c r="BA82" i="58"/>
  <c r="BB82" i="58" s="1"/>
  <c r="AW82" i="58"/>
  <c r="AX82" i="58" s="1"/>
  <c r="CE81" i="58"/>
  <c r="CC81" i="58"/>
  <c r="BX81" i="58"/>
  <c r="BY81" i="58" s="1"/>
  <c r="BP81" i="58"/>
  <c r="BO81" i="58"/>
  <c r="BM81" i="58"/>
  <c r="BJ81" i="58"/>
  <c r="BF81" i="58"/>
  <c r="BE81" i="58"/>
  <c r="BA81" i="58"/>
  <c r="BB81" i="58" s="1"/>
  <c r="AW81" i="58"/>
  <c r="CE80" i="58"/>
  <c r="CC80" i="58"/>
  <c r="BX80" i="58"/>
  <c r="BY80" i="58" s="1"/>
  <c r="BP80" i="58"/>
  <c r="BO80" i="58"/>
  <c r="BM80" i="58"/>
  <c r="BJ80" i="58"/>
  <c r="BF80" i="58"/>
  <c r="BE80" i="58"/>
  <c r="BA80" i="58"/>
  <c r="BB80" i="58" s="1"/>
  <c r="AW80" i="58"/>
  <c r="AX80" i="58" s="1"/>
  <c r="CE79" i="58"/>
  <c r="CC79" i="58"/>
  <c r="BX79" i="58"/>
  <c r="BY79" i="58" s="1"/>
  <c r="BP79" i="58"/>
  <c r="BO79" i="58"/>
  <c r="BM79" i="58"/>
  <c r="BJ79" i="58"/>
  <c r="BF79" i="58"/>
  <c r="BE79" i="58"/>
  <c r="BA79" i="58"/>
  <c r="BB79" i="58" s="1"/>
  <c r="AW79" i="58"/>
  <c r="CE78" i="58"/>
  <c r="CC78" i="58"/>
  <c r="BX78" i="58"/>
  <c r="BY78" i="58" s="1"/>
  <c r="BP78" i="58"/>
  <c r="BO78" i="58"/>
  <c r="BM78" i="58"/>
  <c r="BJ78" i="58"/>
  <c r="BF78" i="58"/>
  <c r="BE78" i="58"/>
  <c r="BA78" i="58"/>
  <c r="BB78" i="58" s="1"/>
  <c r="AW78" i="58"/>
  <c r="AX78" i="58" s="1"/>
  <c r="CE77" i="58"/>
  <c r="CC77" i="58"/>
  <c r="BX77" i="58"/>
  <c r="BY77" i="58" s="1"/>
  <c r="BP77" i="58"/>
  <c r="BO77" i="58"/>
  <c r="BM77" i="58"/>
  <c r="BJ77" i="58"/>
  <c r="BF77" i="58"/>
  <c r="BE77" i="58"/>
  <c r="BA77" i="58"/>
  <c r="BB77" i="58" s="1"/>
  <c r="AW77" i="58"/>
  <c r="CE76" i="58"/>
  <c r="CC76" i="58"/>
  <c r="BX76" i="58"/>
  <c r="BY76" i="58" s="1"/>
  <c r="BP76" i="58"/>
  <c r="BO76" i="58"/>
  <c r="BM76" i="58"/>
  <c r="BJ76" i="58"/>
  <c r="BF76" i="58"/>
  <c r="BE76" i="58"/>
  <c r="BA76" i="58"/>
  <c r="BB76" i="58" s="1"/>
  <c r="AW76" i="58"/>
  <c r="AX76" i="58" s="1"/>
  <c r="CE75" i="58"/>
  <c r="CC75" i="58"/>
  <c r="BX75" i="58"/>
  <c r="BY75" i="58" s="1"/>
  <c r="BP75" i="58"/>
  <c r="BO75" i="58"/>
  <c r="BM75" i="58"/>
  <c r="BJ75" i="58"/>
  <c r="BF75" i="58"/>
  <c r="BE75" i="58"/>
  <c r="BA75" i="58"/>
  <c r="BB75" i="58" s="1"/>
  <c r="AW75" i="58"/>
  <c r="CE74" i="58"/>
  <c r="CC74" i="58"/>
  <c r="BX74" i="58"/>
  <c r="BY74" i="58" s="1"/>
  <c r="BP74" i="58"/>
  <c r="BO74" i="58"/>
  <c r="BM74" i="58"/>
  <c r="BJ74" i="58"/>
  <c r="BF74" i="58"/>
  <c r="BE74" i="58"/>
  <c r="BA74" i="58"/>
  <c r="BB74" i="58" s="1"/>
  <c r="AW74" i="58"/>
  <c r="AX74" i="58" s="1"/>
  <c r="CE73" i="58"/>
  <c r="CC73" i="58"/>
  <c r="BX73" i="58"/>
  <c r="BY73" i="58" s="1"/>
  <c r="BP73" i="58"/>
  <c r="BO73" i="58"/>
  <c r="BM73" i="58"/>
  <c r="BJ73" i="58"/>
  <c r="BF73" i="58"/>
  <c r="BE73" i="58"/>
  <c r="BA73" i="58"/>
  <c r="BB73" i="58" s="1"/>
  <c r="AW73" i="58"/>
  <c r="CE72" i="58"/>
  <c r="CC72" i="58"/>
  <c r="BX72" i="58"/>
  <c r="BY72" i="58" s="1"/>
  <c r="BP72" i="58"/>
  <c r="BO72" i="58"/>
  <c r="BM72" i="58"/>
  <c r="BJ72" i="58"/>
  <c r="BF72" i="58"/>
  <c r="BE72" i="58"/>
  <c r="BA72" i="58"/>
  <c r="BB72" i="58" s="1"/>
  <c r="AW72" i="58"/>
  <c r="AX72" i="58" s="1"/>
  <c r="CE71" i="58"/>
  <c r="CC71" i="58"/>
  <c r="BX71" i="58"/>
  <c r="BY71" i="58" s="1"/>
  <c r="BP71" i="58"/>
  <c r="BO71" i="58"/>
  <c r="BM71" i="58"/>
  <c r="BJ71" i="58"/>
  <c r="BF71" i="58"/>
  <c r="BE71" i="58"/>
  <c r="BA71" i="58"/>
  <c r="BB71" i="58" s="1"/>
  <c r="AW71" i="58"/>
  <c r="CE70" i="58"/>
  <c r="CC70" i="58"/>
  <c r="BX70" i="58"/>
  <c r="BY70" i="58" s="1"/>
  <c r="BP70" i="58"/>
  <c r="BO70" i="58"/>
  <c r="BM70" i="58"/>
  <c r="BJ70" i="58"/>
  <c r="BF70" i="58"/>
  <c r="BE70" i="58"/>
  <c r="BA70" i="58"/>
  <c r="BB70" i="58" s="1"/>
  <c r="AW70" i="58"/>
  <c r="AX70" i="58" s="1"/>
  <c r="CE69" i="58"/>
  <c r="CC69" i="58"/>
  <c r="BX69" i="58"/>
  <c r="BY69" i="58" s="1"/>
  <c r="BP69" i="58"/>
  <c r="BO69" i="58"/>
  <c r="BM69" i="58"/>
  <c r="BJ69" i="58"/>
  <c r="BF69" i="58"/>
  <c r="BE69" i="58"/>
  <c r="BA69" i="58"/>
  <c r="BB69" i="58" s="1"/>
  <c r="AW69" i="58"/>
  <c r="CE68" i="58"/>
  <c r="CC68" i="58"/>
  <c r="BX68" i="58"/>
  <c r="BY68" i="58" s="1"/>
  <c r="BP68" i="58"/>
  <c r="BO68" i="58"/>
  <c r="BM68" i="58"/>
  <c r="BJ68" i="58"/>
  <c r="BF68" i="58"/>
  <c r="BE68" i="58"/>
  <c r="BA68" i="58"/>
  <c r="BB68" i="58" s="1"/>
  <c r="AW68" i="58"/>
  <c r="AX68" i="58" s="1"/>
  <c r="CE67" i="58"/>
  <c r="CC67" i="58"/>
  <c r="BX67" i="58"/>
  <c r="BY67" i="58" s="1"/>
  <c r="BP67" i="58"/>
  <c r="BO67" i="58"/>
  <c r="BM67" i="58"/>
  <c r="BJ67" i="58"/>
  <c r="BF67" i="58"/>
  <c r="BE67" i="58"/>
  <c r="BA67" i="58"/>
  <c r="BB67" i="58" s="1"/>
  <c r="AW67" i="58"/>
  <c r="AX67" i="58" s="1"/>
  <c r="CE66" i="58"/>
  <c r="CC66" i="58"/>
  <c r="BX66" i="58"/>
  <c r="BY66" i="58" s="1"/>
  <c r="BP66" i="58"/>
  <c r="BO66" i="58"/>
  <c r="BM66" i="58"/>
  <c r="BJ66" i="58"/>
  <c r="BF66" i="58"/>
  <c r="BE66" i="58"/>
  <c r="BA66" i="58"/>
  <c r="BB66" i="58" s="1"/>
  <c r="AW66" i="58"/>
  <c r="CE65" i="58"/>
  <c r="CC65" i="58"/>
  <c r="BX65" i="58"/>
  <c r="BY65" i="58" s="1"/>
  <c r="BP65" i="58"/>
  <c r="BO65" i="58"/>
  <c r="BM65" i="58"/>
  <c r="BJ65" i="58"/>
  <c r="BF65" i="58"/>
  <c r="BE65" i="58"/>
  <c r="BA65" i="58"/>
  <c r="BB65" i="58" s="1"/>
  <c r="AW65" i="58"/>
  <c r="AX65" i="58" s="1"/>
  <c r="CE64" i="58"/>
  <c r="CC64" i="58"/>
  <c r="BX64" i="58"/>
  <c r="BY64" i="58" s="1"/>
  <c r="BP64" i="58"/>
  <c r="BO64" i="58"/>
  <c r="BM64" i="58"/>
  <c r="BJ64" i="58"/>
  <c r="BF64" i="58"/>
  <c r="BE64" i="58"/>
  <c r="BA64" i="58"/>
  <c r="BB64" i="58" s="1"/>
  <c r="AW64" i="58"/>
  <c r="CE63" i="58"/>
  <c r="CC63" i="58"/>
  <c r="BX63" i="58"/>
  <c r="BY63" i="58" s="1"/>
  <c r="BP63" i="58"/>
  <c r="BO63" i="58"/>
  <c r="BM63" i="58"/>
  <c r="BJ63" i="58"/>
  <c r="BF63" i="58"/>
  <c r="BE63" i="58"/>
  <c r="BA63" i="58"/>
  <c r="BB63" i="58" s="1"/>
  <c r="AW63" i="58"/>
  <c r="AX63" i="58" s="1"/>
  <c r="CE62" i="58"/>
  <c r="CC62" i="58"/>
  <c r="BX62" i="58"/>
  <c r="BY62" i="58" s="1"/>
  <c r="BP62" i="58"/>
  <c r="BO62" i="58"/>
  <c r="BM62" i="58"/>
  <c r="BJ62" i="58"/>
  <c r="BF62" i="58"/>
  <c r="BE62" i="58"/>
  <c r="BA62" i="58"/>
  <c r="BB62" i="58" s="1"/>
  <c r="AW62" i="58"/>
  <c r="CE61" i="58"/>
  <c r="CC61" i="58"/>
  <c r="BX61" i="58"/>
  <c r="BY61" i="58" s="1"/>
  <c r="BP61" i="58"/>
  <c r="BO61" i="58"/>
  <c r="BM61" i="58"/>
  <c r="BJ61" i="58"/>
  <c r="BF61" i="58"/>
  <c r="BE61" i="58"/>
  <c r="BA61" i="58"/>
  <c r="BB61" i="58" s="1"/>
  <c r="AW61" i="58"/>
  <c r="AX61" i="58" s="1"/>
  <c r="CE60" i="58"/>
  <c r="CC60" i="58"/>
  <c r="BX60" i="58"/>
  <c r="BY60" i="58" s="1"/>
  <c r="BP60" i="58"/>
  <c r="BO60" i="58"/>
  <c r="BM60" i="58"/>
  <c r="BJ60" i="58"/>
  <c r="BF60" i="58"/>
  <c r="BE60" i="58"/>
  <c r="BA60" i="58"/>
  <c r="BB60" i="58" s="1"/>
  <c r="AW60" i="58"/>
  <c r="CE59" i="58"/>
  <c r="CC59" i="58"/>
  <c r="BX59" i="58"/>
  <c r="BY59" i="58" s="1"/>
  <c r="BP59" i="58"/>
  <c r="BO59" i="58"/>
  <c r="BM59" i="58"/>
  <c r="BJ59" i="58"/>
  <c r="BF59" i="58"/>
  <c r="BE59" i="58"/>
  <c r="BA59" i="58"/>
  <c r="BB59" i="58" s="1"/>
  <c r="AW59" i="58"/>
  <c r="AX59" i="58" s="1"/>
  <c r="CE58" i="58"/>
  <c r="CC58" i="58"/>
  <c r="BX58" i="58"/>
  <c r="BY58" i="58" s="1"/>
  <c r="BP58" i="58"/>
  <c r="BO58" i="58"/>
  <c r="BM58" i="58"/>
  <c r="BJ58" i="58"/>
  <c r="BF58" i="58"/>
  <c r="BE58" i="58"/>
  <c r="BA58" i="58"/>
  <c r="BB58" i="58" s="1"/>
  <c r="AW58" i="58"/>
  <c r="CE57" i="58"/>
  <c r="CC57" i="58"/>
  <c r="BX57" i="58"/>
  <c r="BY57" i="58" s="1"/>
  <c r="BP57" i="58"/>
  <c r="BO57" i="58"/>
  <c r="BM57" i="58"/>
  <c r="BJ57" i="58"/>
  <c r="BF57" i="58"/>
  <c r="BE57" i="58"/>
  <c r="BA57" i="58"/>
  <c r="BB57" i="58" s="1"/>
  <c r="AW57" i="58"/>
  <c r="AX57" i="58" s="1"/>
  <c r="CE56" i="58"/>
  <c r="CC56" i="58"/>
  <c r="BX56" i="58"/>
  <c r="BY56" i="58" s="1"/>
  <c r="BP56" i="58"/>
  <c r="BO56" i="58"/>
  <c r="BM56" i="58"/>
  <c r="BJ56" i="58"/>
  <c r="BF56" i="58"/>
  <c r="BE56" i="58"/>
  <c r="BA56" i="58"/>
  <c r="BB56" i="58" s="1"/>
  <c r="AW56" i="58"/>
  <c r="CE55" i="58"/>
  <c r="CC55" i="58"/>
  <c r="BX55" i="58"/>
  <c r="BY55" i="58" s="1"/>
  <c r="BP55" i="58"/>
  <c r="BO55" i="58"/>
  <c r="BM55" i="58"/>
  <c r="BJ55" i="58"/>
  <c r="BF55" i="58"/>
  <c r="BE55" i="58"/>
  <c r="BA55" i="58"/>
  <c r="BB55" i="58" s="1"/>
  <c r="AW55" i="58"/>
  <c r="AX55" i="58" s="1"/>
  <c r="CE54" i="58"/>
  <c r="CC54" i="58"/>
  <c r="BX54" i="58"/>
  <c r="BY54" i="58" s="1"/>
  <c r="BP54" i="58"/>
  <c r="BO54" i="58"/>
  <c r="BM54" i="58"/>
  <c r="BJ54" i="58"/>
  <c r="BF54" i="58"/>
  <c r="BE54" i="58"/>
  <c r="BA54" i="58"/>
  <c r="BB54" i="58" s="1"/>
  <c r="AW54" i="58"/>
  <c r="CE53" i="58"/>
  <c r="CC53" i="58"/>
  <c r="BX53" i="58"/>
  <c r="BY53" i="58" s="1"/>
  <c r="BP53" i="58"/>
  <c r="BO53" i="58"/>
  <c r="BM53" i="58"/>
  <c r="BJ53" i="58"/>
  <c r="BF53" i="58"/>
  <c r="BE53" i="58"/>
  <c r="BA53" i="58"/>
  <c r="BB53" i="58" s="1"/>
  <c r="AW53" i="58"/>
  <c r="AX53" i="58" s="1"/>
  <c r="CE52" i="58"/>
  <c r="CC52" i="58"/>
  <c r="BX52" i="58"/>
  <c r="BY52" i="58" s="1"/>
  <c r="BP52" i="58"/>
  <c r="BO52" i="58"/>
  <c r="BM52" i="58"/>
  <c r="BJ52" i="58"/>
  <c r="BF52" i="58"/>
  <c r="BE52" i="58"/>
  <c r="BA52" i="58"/>
  <c r="BB52" i="58" s="1"/>
  <c r="AW52" i="58"/>
  <c r="CE51" i="58"/>
  <c r="CC51" i="58"/>
  <c r="BX51" i="58"/>
  <c r="BY51" i="58" s="1"/>
  <c r="BP51" i="58"/>
  <c r="BO51" i="58"/>
  <c r="BM51" i="58"/>
  <c r="BJ51" i="58"/>
  <c r="BF51" i="58"/>
  <c r="BE51" i="58"/>
  <c r="BA51" i="58"/>
  <c r="BB51" i="58" s="1"/>
  <c r="AW51" i="58"/>
  <c r="CE50" i="58"/>
  <c r="CC50" i="58"/>
  <c r="BX50" i="58"/>
  <c r="BY50" i="58" s="1"/>
  <c r="BP50" i="58"/>
  <c r="BO50" i="58"/>
  <c r="BM50" i="58"/>
  <c r="BJ50" i="58"/>
  <c r="BF50" i="58"/>
  <c r="BE50" i="58"/>
  <c r="BA50" i="58"/>
  <c r="BB50" i="58" s="1"/>
  <c r="AW50" i="58"/>
  <c r="AX50" i="58" s="1"/>
  <c r="CE49" i="58"/>
  <c r="CC49" i="58"/>
  <c r="BX49" i="58"/>
  <c r="BY49" i="58" s="1"/>
  <c r="BP49" i="58"/>
  <c r="BO49" i="58"/>
  <c r="BM49" i="58"/>
  <c r="BJ49" i="58"/>
  <c r="BF49" i="58"/>
  <c r="BE49" i="58"/>
  <c r="BA49" i="58"/>
  <c r="BB49" i="58" s="1"/>
  <c r="AW49" i="58"/>
  <c r="CE48" i="58"/>
  <c r="CC48" i="58"/>
  <c r="BX48" i="58"/>
  <c r="BY48" i="58" s="1"/>
  <c r="BP48" i="58"/>
  <c r="BO48" i="58"/>
  <c r="BM48" i="58"/>
  <c r="BJ48" i="58"/>
  <c r="BF48" i="58"/>
  <c r="BE48" i="58"/>
  <c r="BA48" i="58"/>
  <c r="BB48" i="58" s="1"/>
  <c r="AW48" i="58"/>
  <c r="AX48" i="58" s="1"/>
  <c r="CE47" i="58"/>
  <c r="CC47" i="58"/>
  <c r="BX47" i="58"/>
  <c r="BY47" i="58" s="1"/>
  <c r="BP47" i="58"/>
  <c r="BO47" i="58"/>
  <c r="BM47" i="58"/>
  <c r="BJ47" i="58"/>
  <c r="BF47" i="58"/>
  <c r="BE47" i="58"/>
  <c r="BA47" i="58"/>
  <c r="BB47" i="58" s="1"/>
  <c r="AW47" i="58"/>
  <c r="CE46" i="58"/>
  <c r="CC46" i="58"/>
  <c r="BX46" i="58"/>
  <c r="BY46" i="58" s="1"/>
  <c r="BP46" i="58"/>
  <c r="BO46" i="58"/>
  <c r="BM46" i="58"/>
  <c r="BJ46" i="58"/>
  <c r="BF46" i="58"/>
  <c r="BE46" i="58"/>
  <c r="BA46" i="58"/>
  <c r="BB46" i="58" s="1"/>
  <c r="AW46" i="58"/>
  <c r="AX46" i="58" s="1"/>
  <c r="CE45" i="58"/>
  <c r="CC45" i="58"/>
  <c r="BX45" i="58"/>
  <c r="BY45" i="58" s="1"/>
  <c r="BP45" i="58"/>
  <c r="BO45" i="58"/>
  <c r="BM45" i="58"/>
  <c r="BJ45" i="58"/>
  <c r="BF45" i="58"/>
  <c r="BE45" i="58"/>
  <c r="BA45" i="58"/>
  <c r="BB45" i="58" s="1"/>
  <c r="AW45" i="58"/>
  <c r="CE44" i="58"/>
  <c r="CC44" i="58"/>
  <c r="BX44" i="58"/>
  <c r="BY44" i="58" s="1"/>
  <c r="BP44" i="58"/>
  <c r="BO44" i="58"/>
  <c r="BM44" i="58"/>
  <c r="BJ44" i="58"/>
  <c r="BF44" i="58"/>
  <c r="BE44" i="58"/>
  <c r="BA44" i="58"/>
  <c r="BB44" i="58" s="1"/>
  <c r="AW44" i="58"/>
  <c r="AX44" i="58" s="1"/>
  <c r="CE43" i="58"/>
  <c r="CC43" i="58"/>
  <c r="BX43" i="58"/>
  <c r="BY43" i="58" s="1"/>
  <c r="BP43" i="58"/>
  <c r="BO43" i="58"/>
  <c r="BM43" i="58"/>
  <c r="BJ43" i="58"/>
  <c r="BF43" i="58"/>
  <c r="BE43" i="58"/>
  <c r="BA43" i="58"/>
  <c r="BB43" i="58" s="1"/>
  <c r="AW43" i="58"/>
  <c r="CE42" i="58"/>
  <c r="CC42" i="58"/>
  <c r="BX42" i="58"/>
  <c r="BY42" i="58" s="1"/>
  <c r="BP42" i="58"/>
  <c r="BO42" i="58"/>
  <c r="BM42" i="58"/>
  <c r="BJ42" i="58"/>
  <c r="BF42" i="58"/>
  <c r="BE42" i="58"/>
  <c r="BA42" i="58"/>
  <c r="BB42" i="58" s="1"/>
  <c r="AW42" i="58"/>
  <c r="AX42" i="58" s="1"/>
  <c r="CE41" i="58"/>
  <c r="CC41" i="58"/>
  <c r="BX41" i="58"/>
  <c r="BY41" i="58" s="1"/>
  <c r="BP41" i="58"/>
  <c r="BO41" i="58"/>
  <c r="BM41" i="58"/>
  <c r="BJ41" i="58"/>
  <c r="BF41" i="58"/>
  <c r="BE41" i="58"/>
  <c r="BA41" i="58"/>
  <c r="BB41" i="58" s="1"/>
  <c r="AW41" i="58"/>
  <c r="CE40" i="58"/>
  <c r="CC40" i="58"/>
  <c r="BX40" i="58"/>
  <c r="BY40" i="58" s="1"/>
  <c r="BP40" i="58"/>
  <c r="BO40" i="58"/>
  <c r="BM40" i="58"/>
  <c r="BJ40" i="58"/>
  <c r="BF40" i="58"/>
  <c r="BE40" i="58"/>
  <c r="BA40" i="58"/>
  <c r="BB40" i="58" s="1"/>
  <c r="AW40" i="58"/>
  <c r="AX40" i="58" s="1"/>
  <c r="CE39" i="58"/>
  <c r="CC39" i="58"/>
  <c r="BX39" i="58"/>
  <c r="BY39" i="58" s="1"/>
  <c r="BP39" i="58"/>
  <c r="BO39" i="58"/>
  <c r="BM39" i="58"/>
  <c r="BJ39" i="58"/>
  <c r="BF39" i="58"/>
  <c r="BE39" i="58"/>
  <c r="BA39" i="58"/>
  <c r="BB39" i="58" s="1"/>
  <c r="AW39" i="58"/>
  <c r="CE38" i="58"/>
  <c r="CC38" i="58"/>
  <c r="BX38" i="58"/>
  <c r="BY38" i="58" s="1"/>
  <c r="BP38" i="58"/>
  <c r="BO38" i="58"/>
  <c r="BM38" i="58"/>
  <c r="BJ38" i="58"/>
  <c r="BF38" i="58"/>
  <c r="BE38" i="58"/>
  <c r="BA38" i="58"/>
  <c r="BB38" i="58" s="1"/>
  <c r="AW38" i="58"/>
  <c r="AX38" i="58" s="1"/>
  <c r="CE37" i="58"/>
  <c r="CC37" i="58"/>
  <c r="BX37" i="58"/>
  <c r="BY37" i="58" s="1"/>
  <c r="BP37" i="58"/>
  <c r="BO37" i="58"/>
  <c r="BM37" i="58"/>
  <c r="BJ37" i="58"/>
  <c r="BF37" i="58"/>
  <c r="BE37" i="58"/>
  <c r="BA37" i="58"/>
  <c r="BB37" i="58" s="1"/>
  <c r="AW37" i="58"/>
  <c r="CE36" i="58"/>
  <c r="CC36" i="58"/>
  <c r="BX36" i="58"/>
  <c r="BY36" i="58" s="1"/>
  <c r="BP36" i="58"/>
  <c r="BO36" i="58"/>
  <c r="BM36" i="58"/>
  <c r="BJ36" i="58"/>
  <c r="BF36" i="58"/>
  <c r="BE36" i="58"/>
  <c r="BA36" i="58"/>
  <c r="BB36" i="58" s="1"/>
  <c r="AW36" i="58"/>
  <c r="AX36" i="58" s="1"/>
  <c r="CE35" i="58"/>
  <c r="CC35" i="58"/>
  <c r="BX35" i="58"/>
  <c r="BY35" i="58" s="1"/>
  <c r="BP35" i="58"/>
  <c r="BO35" i="58"/>
  <c r="BM35" i="58"/>
  <c r="BJ35" i="58"/>
  <c r="BF35" i="58"/>
  <c r="BE35" i="58"/>
  <c r="BA35" i="58"/>
  <c r="BB35" i="58" s="1"/>
  <c r="AW35" i="58"/>
  <c r="CE34" i="58"/>
  <c r="CC34" i="58"/>
  <c r="BX34" i="58"/>
  <c r="BY34" i="58" s="1"/>
  <c r="BP34" i="58"/>
  <c r="BO34" i="58"/>
  <c r="BM34" i="58"/>
  <c r="BJ34" i="58"/>
  <c r="BF34" i="58"/>
  <c r="BE34" i="58"/>
  <c r="BA34" i="58"/>
  <c r="BB34" i="58" s="1"/>
  <c r="AW34" i="58"/>
  <c r="AX34" i="58" s="1"/>
  <c r="CE33" i="58"/>
  <c r="CC33" i="58"/>
  <c r="BX33" i="58"/>
  <c r="BY33" i="58" s="1"/>
  <c r="BP33" i="58"/>
  <c r="BO33" i="58"/>
  <c r="BM33" i="58"/>
  <c r="BJ33" i="58"/>
  <c r="BF33" i="58"/>
  <c r="BE33" i="58"/>
  <c r="BA33" i="58"/>
  <c r="BB33" i="58" s="1"/>
  <c r="AW33" i="58"/>
  <c r="CE32" i="58"/>
  <c r="CC32" i="58"/>
  <c r="BX32" i="58"/>
  <c r="BY32" i="58" s="1"/>
  <c r="BP32" i="58"/>
  <c r="BO32" i="58"/>
  <c r="BM32" i="58"/>
  <c r="BJ32" i="58"/>
  <c r="BF32" i="58"/>
  <c r="BE32" i="58"/>
  <c r="BA32" i="58"/>
  <c r="BB32" i="58" s="1"/>
  <c r="AW32" i="58"/>
  <c r="AX32" i="58" s="1"/>
  <c r="CE31" i="58"/>
  <c r="CC31" i="58"/>
  <c r="BX31" i="58"/>
  <c r="BY31" i="58" s="1"/>
  <c r="BP31" i="58"/>
  <c r="BO31" i="58"/>
  <c r="BM31" i="58"/>
  <c r="BJ31" i="58"/>
  <c r="BF31" i="58"/>
  <c r="BE31" i="58"/>
  <c r="BA31" i="58"/>
  <c r="BB31" i="58" s="1"/>
  <c r="AW31" i="58"/>
  <c r="CE30" i="58"/>
  <c r="CC30" i="58"/>
  <c r="BX30" i="58"/>
  <c r="BY30" i="58" s="1"/>
  <c r="BP30" i="58"/>
  <c r="BO30" i="58"/>
  <c r="BM30" i="58"/>
  <c r="BJ30" i="58"/>
  <c r="BF30" i="58"/>
  <c r="BE30" i="58"/>
  <c r="BA30" i="58"/>
  <c r="BB30" i="58" s="1"/>
  <c r="AW30" i="58"/>
  <c r="AX30" i="58" s="1"/>
  <c r="CE29" i="58"/>
  <c r="CC29" i="58"/>
  <c r="BX29" i="58"/>
  <c r="BY29" i="58" s="1"/>
  <c r="BP29" i="58"/>
  <c r="BO29" i="58"/>
  <c r="BM29" i="58"/>
  <c r="BJ29" i="58"/>
  <c r="BF29" i="58"/>
  <c r="BE29" i="58"/>
  <c r="BA29" i="58"/>
  <c r="BB29" i="58" s="1"/>
  <c r="AW29" i="58"/>
  <c r="CE28" i="58"/>
  <c r="CC28" i="58"/>
  <c r="BX28" i="58"/>
  <c r="BY28" i="58" s="1"/>
  <c r="BP28" i="58"/>
  <c r="BO28" i="58"/>
  <c r="BM28" i="58"/>
  <c r="BJ28" i="58"/>
  <c r="BF28" i="58"/>
  <c r="BE28" i="58"/>
  <c r="BA28" i="58"/>
  <c r="BB28" i="58" s="1"/>
  <c r="AW28" i="58"/>
  <c r="AX28" i="58" s="1"/>
  <c r="CE27" i="58"/>
  <c r="CC27" i="58"/>
  <c r="BX27" i="58"/>
  <c r="BY27" i="58" s="1"/>
  <c r="BP27" i="58"/>
  <c r="BO27" i="58"/>
  <c r="BM27" i="58"/>
  <c r="BJ27" i="58"/>
  <c r="BF27" i="58"/>
  <c r="BE27" i="58"/>
  <c r="BA27" i="58"/>
  <c r="BB27" i="58" s="1"/>
  <c r="AW27" i="58"/>
  <c r="CE26" i="58"/>
  <c r="CC26" i="58"/>
  <c r="BX26" i="58"/>
  <c r="BY26" i="58" s="1"/>
  <c r="BP26" i="58"/>
  <c r="BO26" i="58"/>
  <c r="BM26" i="58"/>
  <c r="BJ26" i="58"/>
  <c r="BF26" i="58"/>
  <c r="BE26" i="58"/>
  <c r="BA26" i="58"/>
  <c r="BB26" i="58" s="1"/>
  <c r="AW26" i="58"/>
  <c r="AX26" i="58" s="1"/>
  <c r="CE25" i="58"/>
  <c r="CC25" i="58"/>
  <c r="BX25" i="58"/>
  <c r="BY25" i="58" s="1"/>
  <c r="BP25" i="58"/>
  <c r="BO25" i="58"/>
  <c r="BM25" i="58"/>
  <c r="BJ25" i="58"/>
  <c r="BF25" i="58"/>
  <c r="BE25" i="58"/>
  <c r="BA25" i="58"/>
  <c r="BB25" i="58" s="1"/>
  <c r="AW25" i="58"/>
  <c r="CE24" i="58"/>
  <c r="CC24" i="58"/>
  <c r="BX24" i="58"/>
  <c r="BY24" i="58" s="1"/>
  <c r="BP24" i="58"/>
  <c r="BO24" i="58"/>
  <c r="BM24" i="58"/>
  <c r="BJ24" i="58"/>
  <c r="BF24" i="58"/>
  <c r="BE24" i="58"/>
  <c r="BA24" i="58"/>
  <c r="BB24" i="58" s="1"/>
  <c r="AW24" i="58"/>
  <c r="AX24" i="58" s="1"/>
  <c r="CE23" i="58"/>
  <c r="CC23" i="58"/>
  <c r="BX23" i="58"/>
  <c r="BY23" i="58" s="1"/>
  <c r="BP23" i="58"/>
  <c r="BO23" i="58"/>
  <c r="BM23" i="58"/>
  <c r="BJ23" i="58"/>
  <c r="BF23" i="58"/>
  <c r="BE23" i="58"/>
  <c r="BA23" i="58"/>
  <c r="BB23" i="58" s="1"/>
  <c r="AW23" i="58"/>
  <c r="CE22" i="58"/>
  <c r="CC22" i="58"/>
  <c r="BX22" i="58"/>
  <c r="BY22" i="58" s="1"/>
  <c r="BP22" i="58"/>
  <c r="BO22" i="58"/>
  <c r="BM22" i="58"/>
  <c r="BJ22" i="58"/>
  <c r="BF22" i="58"/>
  <c r="BE22" i="58"/>
  <c r="BA22" i="58"/>
  <c r="BB22" i="58" s="1"/>
  <c r="AW22" i="58"/>
  <c r="AX22" i="58" s="1"/>
  <c r="CE21" i="58"/>
  <c r="CC21" i="58"/>
  <c r="BX21" i="58"/>
  <c r="BY21" i="58" s="1"/>
  <c r="BP21" i="58"/>
  <c r="BO21" i="58"/>
  <c r="BM21" i="58"/>
  <c r="BJ21" i="58"/>
  <c r="BF21" i="58"/>
  <c r="BE21" i="58"/>
  <c r="BA21" i="58"/>
  <c r="BB21" i="58" s="1"/>
  <c r="AW21" i="58"/>
  <c r="CE20" i="58"/>
  <c r="CC20" i="58"/>
  <c r="BX20" i="58"/>
  <c r="BY20" i="58" s="1"/>
  <c r="BP20" i="58"/>
  <c r="BO20" i="58"/>
  <c r="BM20" i="58"/>
  <c r="BJ20" i="58"/>
  <c r="BF20" i="58"/>
  <c r="BE20" i="58"/>
  <c r="BA20" i="58"/>
  <c r="BB20" i="58" s="1"/>
  <c r="AW20" i="58"/>
  <c r="AX20" i="58" s="1"/>
  <c r="CE19" i="58"/>
  <c r="CC19" i="58"/>
  <c r="BX19" i="58"/>
  <c r="BY19" i="58" s="1"/>
  <c r="BP19" i="58"/>
  <c r="BO19" i="58"/>
  <c r="BM19" i="58"/>
  <c r="BJ19" i="58"/>
  <c r="BF19" i="58"/>
  <c r="BE19" i="58"/>
  <c r="BA19" i="58"/>
  <c r="BB19" i="58" s="1"/>
  <c r="AW19" i="58"/>
  <c r="CE18" i="58"/>
  <c r="CC18" i="58"/>
  <c r="BX18" i="58"/>
  <c r="BY18" i="58" s="1"/>
  <c r="BP18" i="58"/>
  <c r="BO18" i="58"/>
  <c r="BM18" i="58"/>
  <c r="BJ18" i="58"/>
  <c r="BF18" i="58"/>
  <c r="BE18" i="58"/>
  <c r="BA18" i="58"/>
  <c r="BB18" i="58" s="1"/>
  <c r="AW18" i="58"/>
  <c r="AX18" i="58" s="1"/>
  <c r="CE17" i="58"/>
  <c r="CC17" i="58"/>
  <c r="BX17" i="58"/>
  <c r="BY17" i="58" s="1"/>
  <c r="BP17" i="58"/>
  <c r="BO17" i="58"/>
  <c r="BM17" i="58"/>
  <c r="BJ17" i="58"/>
  <c r="BF17" i="58"/>
  <c r="BE17" i="58"/>
  <c r="BA17" i="58"/>
  <c r="BB17" i="58" s="1"/>
  <c r="AW17" i="58"/>
  <c r="CE16" i="58"/>
  <c r="CC16" i="58"/>
  <c r="BX16" i="58"/>
  <c r="BY16" i="58" s="1"/>
  <c r="BP16" i="58"/>
  <c r="BO16" i="58"/>
  <c r="BM16" i="58"/>
  <c r="BJ16" i="58"/>
  <c r="BF16" i="58"/>
  <c r="BE16" i="58"/>
  <c r="BA16" i="58"/>
  <c r="BB16" i="58" s="1"/>
  <c r="AW16" i="58"/>
  <c r="AX16" i="58" s="1"/>
  <c r="CE15" i="58"/>
  <c r="CC15" i="58"/>
  <c r="BX15" i="58"/>
  <c r="BY15" i="58" s="1"/>
  <c r="BP15" i="58"/>
  <c r="BO15" i="58"/>
  <c r="BM15" i="58"/>
  <c r="BJ15" i="58"/>
  <c r="BF15" i="58"/>
  <c r="BE15" i="58"/>
  <c r="BA15" i="58"/>
  <c r="BB15" i="58" s="1"/>
  <c r="AW15" i="58"/>
  <c r="CE14" i="58"/>
  <c r="CC14" i="58"/>
  <c r="BX14" i="58"/>
  <c r="BY14" i="58" s="1"/>
  <c r="BP14" i="58"/>
  <c r="BO14" i="58"/>
  <c r="BM14" i="58"/>
  <c r="BJ14" i="58"/>
  <c r="BF14" i="58"/>
  <c r="BE14" i="58"/>
  <c r="BA14" i="58"/>
  <c r="BB14" i="58" s="1"/>
  <c r="AW14" i="58"/>
  <c r="AX14" i="58" s="1"/>
  <c r="CE13" i="58"/>
  <c r="CC13" i="58"/>
  <c r="BX13" i="58"/>
  <c r="BY13" i="58" s="1"/>
  <c r="BP13" i="58"/>
  <c r="BO13" i="58"/>
  <c r="BM13" i="58"/>
  <c r="BJ13" i="58"/>
  <c r="BF13" i="58"/>
  <c r="BE13" i="58"/>
  <c r="BA13" i="58"/>
  <c r="BB13" i="58" s="1"/>
  <c r="AW13" i="58"/>
  <c r="CE12" i="58"/>
  <c r="CC12" i="58"/>
  <c r="BX12" i="58"/>
  <c r="BY12" i="58" s="1"/>
  <c r="BP12" i="58"/>
  <c r="BO12" i="58"/>
  <c r="BM12" i="58"/>
  <c r="BJ12" i="58"/>
  <c r="BF12" i="58"/>
  <c r="BE12" i="58"/>
  <c r="BA12" i="58"/>
  <c r="BB12" i="58" s="1"/>
  <c r="AW12" i="58"/>
  <c r="AX12" i="58" s="1"/>
  <c r="CE11" i="58"/>
  <c r="CC11" i="58"/>
  <c r="BX11" i="58"/>
  <c r="BY11" i="58" s="1"/>
  <c r="BP11" i="58"/>
  <c r="BO11" i="58"/>
  <c r="BM11" i="58"/>
  <c r="BJ11" i="58"/>
  <c r="BF11" i="58"/>
  <c r="BE11" i="58"/>
  <c r="BA11" i="58"/>
  <c r="BB11" i="58" s="1"/>
  <c r="AW11" i="58"/>
  <c r="CE10" i="58"/>
  <c r="CC10" i="58"/>
  <c r="BX10" i="58"/>
  <c r="BY10" i="58" s="1"/>
  <c r="BP10" i="58"/>
  <c r="BO10" i="58"/>
  <c r="BM10" i="58"/>
  <c r="BJ10" i="58"/>
  <c r="BF10" i="58"/>
  <c r="BE10" i="58"/>
  <c r="BA10" i="58"/>
  <c r="BB10" i="58" s="1"/>
  <c r="AW10" i="58"/>
  <c r="AX10" i="58" s="1"/>
  <c r="CE9" i="58"/>
  <c r="CC9" i="58"/>
  <c r="BX9" i="58"/>
  <c r="BY9" i="58" s="1"/>
  <c r="BP9" i="58"/>
  <c r="BO9" i="58"/>
  <c r="BM9" i="58"/>
  <c r="BJ9" i="58"/>
  <c r="BF9" i="58"/>
  <c r="BE9" i="58"/>
  <c r="BA9" i="58"/>
  <c r="BB9" i="58" s="1"/>
  <c r="AW9" i="58"/>
  <c r="CE8" i="58"/>
  <c r="CC8" i="58"/>
  <c r="BX8" i="58"/>
  <c r="BY8" i="58" s="1"/>
  <c r="BP8" i="58"/>
  <c r="BO8" i="58"/>
  <c r="BM8" i="58"/>
  <c r="BJ8" i="58"/>
  <c r="BF8" i="58"/>
  <c r="BE8" i="58"/>
  <c r="BA8" i="58"/>
  <c r="BB8" i="58" s="1"/>
  <c r="AW8" i="58"/>
  <c r="AX8" i="58" s="1"/>
  <c r="CE7" i="58"/>
  <c r="CC7" i="58"/>
  <c r="BX7" i="58"/>
  <c r="BY7" i="58" s="1"/>
  <c r="BP7" i="58"/>
  <c r="BO7" i="58"/>
  <c r="BM7" i="58"/>
  <c r="BJ7" i="58"/>
  <c r="BF7" i="58"/>
  <c r="BE7" i="58"/>
  <c r="BA7" i="58"/>
  <c r="BB7" i="58" s="1"/>
  <c r="AW7" i="58"/>
  <c r="D48" i="57"/>
  <c r="E48" i="57" s="1"/>
  <c r="E44" i="57"/>
  <c r="D44" i="57"/>
  <c r="E27" i="57"/>
  <c r="E11" i="57"/>
  <c r="F11" i="57" s="1"/>
  <c r="E8" i="57"/>
  <c r="D8" i="57"/>
  <c r="E7" i="57"/>
  <c r="D7" i="57"/>
  <c r="D54" i="57"/>
  <c r="D12" i="57" l="1"/>
  <c r="E35" i="57"/>
  <c r="V28" i="63"/>
  <c r="O54" i="63"/>
  <c r="O57" i="63"/>
  <c r="E34" i="57"/>
  <c r="E28" i="57"/>
  <c r="E26" i="57"/>
  <c r="AY147" i="58"/>
  <c r="AZ147" i="58" s="1"/>
  <c r="AY149" i="58"/>
  <c r="AZ149" i="58" s="1"/>
  <c r="AY151" i="58"/>
  <c r="AZ151" i="58" s="1"/>
  <c r="E12" i="57"/>
  <c r="AY136" i="58"/>
  <c r="AZ136" i="58" s="1"/>
  <c r="AY138" i="58"/>
  <c r="AZ138" i="58" s="1"/>
  <c r="AY140" i="58"/>
  <c r="AZ140" i="58" s="1"/>
  <c r="AY144" i="58"/>
  <c r="AZ144" i="58" s="1"/>
  <c r="AY7" i="58"/>
  <c r="AZ7" i="58" s="1"/>
  <c r="AY9" i="58"/>
  <c r="AZ9" i="58" s="1"/>
  <c r="AY11" i="58"/>
  <c r="AZ11" i="58" s="1"/>
  <c r="AY13" i="58"/>
  <c r="AZ13" i="58" s="1"/>
  <c r="AY15" i="58"/>
  <c r="AZ15" i="58" s="1"/>
  <c r="AY17" i="58"/>
  <c r="AZ17" i="58" s="1"/>
  <c r="AY19" i="58"/>
  <c r="AZ19" i="58" s="1"/>
  <c r="AY21" i="58"/>
  <c r="AZ21" i="58" s="1"/>
  <c r="AY23" i="58"/>
  <c r="AZ23" i="58" s="1"/>
  <c r="AY25" i="58"/>
  <c r="AZ25" i="58" s="1"/>
  <c r="AY27" i="58"/>
  <c r="AZ27" i="58" s="1"/>
  <c r="AY29" i="58"/>
  <c r="AZ29" i="58" s="1"/>
  <c r="AY31" i="58"/>
  <c r="AZ31" i="58" s="1"/>
  <c r="AY33" i="58"/>
  <c r="AZ33" i="58" s="1"/>
  <c r="AY35" i="58"/>
  <c r="AZ35" i="58" s="1"/>
  <c r="AY37" i="58"/>
  <c r="AZ37" i="58" s="1"/>
  <c r="AY41" i="58"/>
  <c r="AZ41" i="58" s="1"/>
  <c r="AY43" i="58"/>
  <c r="AZ43" i="58" s="1"/>
  <c r="AY47" i="58"/>
  <c r="AZ47" i="58" s="1"/>
  <c r="AY51" i="58"/>
  <c r="AZ51" i="58" s="1"/>
  <c r="AY54" i="58"/>
  <c r="AZ54" i="58" s="1"/>
  <c r="AY56" i="58"/>
  <c r="AZ56" i="58" s="1"/>
  <c r="AY58" i="58"/>
  <c r="AZ58" i="58" s="1"/>
  <c r="AY60" i="58"/>
  <c r="AZ60" i="58" s="1"/>
  <c r="AY62" i="58"/>
  <c r="AZ62" i="58" s="1"/>
  <c r="AY64" i="58"/>
  <c r="AZ64" i="58" s="1"/>
  <c r="AY66" i="58"/>
  <c r="AZ66" i="58" s="1"/>
  <c r="AY71" i="58"/>
  <c r="AZ71" i="58" s="1"/>
  <c r="AY75" i="58"/>
  <c r="AZ75" i="58" s="1"/>
  <c r="AY79" i="58"/>
  <c r="AZ79" i="58" s="1"/>
  <c r="AY83" i="58"/>
  <c r="AZ83" i="58" s="1"/>
  <c r="AY87" i="58"/>
  <c r="AZ87" i="58" s="1"/>
  <c r="AY91" i="58"/>
  <c r="AZ91" i="58" s="1"/>
  <c r="AY95" i="58"/>
  <c r="AZ95" i="58" s="1"/>
  <c r="AY99" i="58"/>
  <c r="AZ99" i="58" s="1"/>
  <c r="AY103" i="58"/>
  <c r="AZ103" i="58" s="1"/>
  <c r="AY107" i="58"/>
  <c r="AZ107" i="58" s="1"/>
  <c r="AY111" i="58"/>
  <c r="AZ111" i="58" s="1"/>
  <c r="AY116" i="58"/>
  <c r="AZ116" i="58" s="1"/>
  <c r="AY120" i="58"/>
  <c r="AZ120" i="58" s="1"/>
  <c r="AY124" i="58"/>
  <c r="AZ124" i="58" s="1"/>
  <c r="AY128" i="58"/>
  <c r="AZ128" i="58" s="1"/>
  <c r="AY132" i="58"/>
  <c r="AZ132" i="58" s="1"/>
  <c r="AX71" i="58"/>
  <c r="AX75" i="58"/>
  <c r="AX79" i="58"/>
  <c r="AX83" i="58"/>
  <c r="AX87" i="58"/>
  <c r="AX91" i="58"/>
  <c r="AX95" i="58"/>
  <c r="AX99" i="58"/>
  <c r="AX103" i="58"/>
  <c r="AX107" i="58"/>
  <c r="AX111" i="58"/>
  <c r="AX116" i="58"/>
  <c r="AX120" i="58"/>
  <c r="AX124" i="58"/>
  <c r="AX128" i="58"/>
  <c r="AX132" i="58"/>
  <c r="AX136" i="58"/>
  <c r="AX138" i="58"/>
  <c r="AX140" i="58"/>
  <c r="AX144" i="58"/>
  <c r="AY45" i="58"/>
  <c r="AZ45" i="58" s="1"/>
  <c r="AX45" i="58"/>
  <c r="AY49" i="58"/>
  <c r="AZ49" i="58" s="1"/>
  <c r="AX49" i="58"/>
  <c r="AY52" i="58"/>
  <c r="AZ52" i="58" s="1"/>
  <c r="AX52" i="58"/>
  <c r="F8" i="57"/>
  <c r="AX7" i="58"/>
  <c r="AX13" i="58"/>
  <c r="AX21" i="58"/>
  <c r="AX25" i="58"/>
  <c r="AX29" i="58"/>
  <c r="AX35" i="58"/>
  <c r="AX41" i="58"/>
  <c r="AX56" i="58"/>
  <c r="AX60" i="58"/>
  <c r="AX64" i="58"/>
  <c r="AY68" i="58"/>
  <c r="AZ68" i="58" s="1"/>
  <c r="AY69" i="58"/>
  <c r="AZ69" i="58" s="1"/>
  <c r="AY73" i="58"/>
  <c r="AZ73" i="58" s="1"/>
  <c r="AY77" i="58"/>
  <c r="AZ77" i="58" s="1"/>
  <c r="AY81" i="58"/>
  <c r="AZ81" i="58" s="1"/>
  <c r="AY85" i="58"/>
  <c r="AZ85" i="58" s="1"/>
  <c r="AY89" i="58"/>
  <c r="AZ89" i="58" s="1"/>
  <c r="AY93" i="58"/>
  <c r="AZ93" i="58" s="1"/>
  <c r="AY97" i="58"/>
  <c r="AZ97" i="58" s="1"/>
  <c r="AY101" i="58"/>
  <c r="AZ101" i="58" s="1"/>
  <c r="AY105" i="58"/>
  <c r="AZ105" i="58" s="1"/>
  <c r="AY109" i="58"/>
  <c r="AZ109" i="58" s="1"/>
  <c r="AY113" i="58"/>
  <c r="AZ113" i="58" s="1"/>
  <c r="AY114" i="58"/>
  <c r="AZ114" i="58" s="1"/>
  <c r="AY118" i="58"/>
  <c r="AZ118" i="58" s="1"/>
  <c r="AY122" i="58"/>
  <c r="AZ122" i="58" s="1"/>
  <c r="AY126" i="58"/>
  <c r="AZ126" i="58" s="1"/>
  <c r="AY130" i="58"/>
  <c r="AZ130" i="58" s="1"/>
  <c r="AY134" i="58"/>
  <c r="AZ134" i="58" s="1"/>
  <c r="AY142" i="58"/>
  <c r="AZ142" i="58" s="1"/>
  <c r="AY145" i="58"/>
  <c r="AZ145" i="58" s="1"/>
  <c r="AY153" i="58"/>
  <c r="AZ153" i="58" s="1"/>
  <c r="AE179" i="58"/>
  <c r="AX33" i="58"/>
  <c r="AX37" i="58"/>
  <c r="AY39" i="58"/>
  <c r="AZ39" i="58" s="1"/>
  <c r="AX39" i="58"/>
  <c r="F7" i="57"/>
  <c r="AX9" i="58"/>
  <c r="AX11" i="58"/>
  <c r="AX15" i="58"/>
  <c r="AX17" i="58"/>
  <c r="AX19" i="58"/>
  <c r="AX23" i="58"/>
  <c r="AX27" i="58"/>
  <c r="AX31" i="58"/>
  <c r="AX43" i="58"/>
  <c r="AX47" i="58"/>
  <c r="AX51" i="58"/>
  <c r="AX54" i="58"/>
  <c r="AX58" i="58"/>
  <c r="AX62" i="58"/>
  <c r="AX66" i="58"/>
  <c r="AY67" i="58"/>
  <c r="AZ67" i="58" s="1"/>
  <c r="AX69" i="58"/>
  <c r="AX73" i="58"/>
  <c r="AX77" i="58"/>
  <c r="AX81" i="58"/>
  <c r="AX85" i="58"/>
  <c r="AX89" i="58"/>
  <c r="AX93" i="58"/>
  <c r="AX97" i="58"/>
  <c r="AX101" i="58"/>
  <c r="AX105" i="58"/>
  <c r="AX109" i="58"/>
  <c r="AX113" i="58"/>
  <c r="AX114" i="58"/>
  <c r="AX118" i="58"/>
  <c r="AK179" i="58"/>
  <c r="AL179" i="58" s="1"/>
  <c r="AX122" i="58"/>
  <c r="AX126" i="58"/>
  <c r="AX130" i="58"/>
  <c r="AX134" i="58"/>
  <c r="AX142" i="58"/>
  <c r="AY143" i="58"/>
  <c r="AZ143" i="58" s="1"/>
  <c r="AX147" i="58"/>
  <c r="AX151" i="58"/>
  <c r="AX153" i="58"/>
  <c r="AY155" i="58"/>
  <c r="AZ155" i="58" s="1"/>
  <c r="AY157" i="58"/>
  <c r="AZ157" i="58" s="1"/>
  <c r="E50" i="57"/>
  <c r="AY8" i="58"/>
  <c r="AZ8" i="58" s="1"/>
  <c r="AY10" i="58"/>
  <c r="AZ10" i="58" s="1"/>
  <c r="AY12" i="58"/>
  <c r="AZ12" i="58" s="1"/>
  <c r="AY14" i="58"/>
  <c r="AZ14" i="58" s="1"/>
  <c r="AY16" i="58"/>
  <c r="AZ16" i="58" s="1"/>
  <c r="AY18" i="58"/>
  <c r="AZ18" i="58" s="1"/>
  <c r="AY20" i="58"/>
  <c r="AZ20" i="58" s="1"/>
  <c r="AY22" i="58"/>
  <c r="AZ22" i="58" s="1"/>
  <c r="AY24" i="58"/>
  <c r="AZ24" i="58" s="1"/>
  <c r="AY26" i="58"/>
  <c r="AZ26" i="58" s="1"/>
  <c r="AY28" i="58"/>
  <c r="AZ28" i="58" s="1"/>
  <c r="AY30" i="58"/>
  <c r="AZ30" i="58" s="1"/>
  <c r="AY32" i="58"/>
  <c r="AZ32" i="58" s="1"/>
  <c r="AY34" i="58"/>
  <c r="AZ34" i="58" s="1"/>
  <c r="AY36" i="58"/>
  <c r="AZ36" i="58" s="1"/>
  <c r="AY38" i="58"/>
  <c r="AZ38" i="58" s="1"/>
  <c r="AY40" i="58"/>
  <c r="AZ40" i="58" s="1"/>
  <c r="AY42" i="58"/>
  <c r="AZ42" i="58" s="1"/>
  <c r="AY44" i="58"/>
  <c r="AZ44" i="58" s="1"/>
  <c r="AY46" i="58"/>
  <c r="AZ46" i="58" s="1"/>
  <c r="AY48" i="58"/>
  <c r="AZ48" i="58" s="1"/>
  <c r="AY50" i="58"/>
  <c r="AZ50" i="58" s="1"/>
  <c r="AY53" i="58"/>
  <c r="AZ53" i="58" s="1"/>
  <c r="AY55" i="58"/>
  <c r="AZ55" i="58" s="1"/>
  <c r="AY57" i="58"/>
  <c r="AZ57" i="58" s="1"/>
  <c r="AY59" i="58"/>
  <c r="AZ59" i="58" s="1"/>
  <c r="AY61" i="58"/>
  <c r="AZ61" i="58" s="1"/>
  <c r="AY63" i="58"/>
  <c r="AZ63" i="58" s="1"/>
  <c r="AY65" i="58"/>
  <c r="AZ65" i="58" s="1"/>
  <c r="AY70" i="58"/>
  <c r="AZ70" i="58" s="1"/>
  <c r="AY72" i="58"/>
  <c r="AZ72" i="58" s="1"/>
  <c r="AY74" i="58"/>
  <c r="AZ74" i="58" s="1"/>
  <c r="AY76" i="58"/>
  <c r="AZ76" i="58" s="1"/>
  <c r="AY78" i="58"/>
  <c r="AZ78" i="58" s="1"/>
  <c r="AY80" i="58"/>
  <c r="AZ80" i="58" s="1"/>
  <c r="AY82" i="58"/>
  <c r="AZ82" i="58" s="1"/>
  <c r="AY84" i="58"/>
  <c r="AZ84" i="58" s="1"/>
  <c r="AY86" i="58"/>
  <c r="AZ86" i="58" s="1"/>
  <c r="AY88" i="58"/>
  <c r="AZ88" i="58" s="1"/>
  <c r="AY90" i="58"/>
  <c r="AZ90" i="58" s="1"/>
  <c r="AY92" i="58"/>
  <c r="AZ92" i="58" s="1"/>
  <c r="AY94" i="58"/>
  <c r="AZ94" i="58" s="1"/>
  <c r="AY96" i="58"/>
  <c r="AZ96" i="58" s="1"/>
  <c r="AY98" i="58"/>
  <c r="AZ98" i="58" s="1"/>
  <c r="AY100" i="58"/>
  <c r="AZ100" i="58" s="1"/>
  <c r="AY102" i="58"/>
  <c r="AZ102" i="58" s="1"/>
  <c r="AY104" i="58"/>
  <c r="AZ104" i="58" s="1"/>
  <c r="AY106" i="58"/>
  <c r="AZ106" i="58" s="1"/>
  <c r="AY108" i="58"/>
  <c r="AZ108" i="58" s="1"/>
  <c r="AY110" i="58"/>
  <c r="AZ110" i="58" s="1"/>
  <c r="AY112" i="58"/>
  <c r="AZ112" i="58" s="1"/>
  <c r="AY115" i="58"/>
  <c r="AZ115" i="58" s="1"/>
  <c r="AY117" i="58"/>
  <c r="AZ117" i="58" s="1"/>
  <c r="AY119" i="58"/>
  <c r="AZ119" i="58" s="1"/>
  <c r="AY121" i="58"/>
  <c r="AZ121" i="58" s="1"/>
  <c r="AY123" i="58"/>
  <c r="AZ123" i="58" s="1"/>
  <c r="AY125" i="58"/>
  <c r="AZ125" i="58" s="1"/>
  <c r="AY127" i="58"/>
  <c r="AZ127" i="58" s="1"/>
  <c r="AY129" i="58"/>
  <c r="AZ129" i="58" s="1"/>
  <c r="AY131" i="58"/>
  <c r="AZ131" i="58" s="1"/>
  <c r="AY133" i="58"/>
  <c r="AZ133" i="58" s="1"/>
  <c r="AY135" i="58"/>
  <c r="AZ135" i="58" s="1"/>
  <c r="AY141" i="58"/>
  <c r="AZ141" i="58" s="1"/>
  <c r="AX141" i="58"/>
  <c r="AY137" i="58"/>
  <c r="AZ137" i="58" s="1"/>
  <c r="AY139" i="58"/>
  <c r="AZ139" i="58" s="1"/>
  <c r="AX143" i="58"/>
  <c r="AX145" i="58"/>
  <c r="AY146" i="58"/>
  <c r="AZ146" i="58" s="1"/>
  <c r="AY148" i="58"/>
  <c r="AZ148" i="58" s="1"/>
  <c r="AY150" i="58"/>
  <c r="AZ150" i="58" s="1"/>
  <c r="AY152" i="58"/>
  <c r="AZ152" i="58" s="1"/>
  <c r="AY154" i="58"/>
  <c r="AZ154" i="58" s="1"/>
  <c r="AX155" i="58"/>
  <c r="AY156" i="58"/>
  <c r="AZ156" i="58" s="1"/>
  <c r="AX157" i="58"/>
  <c r="AE178" i="58"/>
  <c r="AK178" i="58"/>
  <c r="AL178" i="58" s="1"/>
  <c r="AH179" i="58"/>
  <c r="AI179" i="58" s="1"/>
  <c r="AH178" i="58"/>
  <c r="AI178" i="58" s="1"/>
  <c r="E57" i="57"/>
  <c r="C90" i="57" l="1"/>
  <c r="D90" i="57" s="1"/>
  <c r="C80" i="57"/>
  <c r="D80" i="57" s="1"/>
  <c r="C73" i="57"/>
  <c r="D73" i="57" s="1"/>
  <c r="F12" i="57"/>
  <c r="C65" i="57" s="1"/>
  <c r="C66" i="57" s="1"/>
  <c r="C81" i="57" l="1"/>
  <c r="C91" i="57"/>
  <c r="C74" i="57"/>
</calcChain>
</file>

<file path=xl/comments1.xml><?xml version="1.0" encoding="utf-8"?>
<comments xmlns="http://schemas.openxmlformats.org/spreadsheetml/2006/main">
  <authors>
    <author>Olivier Le Guillou</author>
    <author>AOD 270</author>
    <author>Than Kyaw Soe</author>
  </authors>
  <commentList>
    <comment ref="B4" authorId="0">
      <text>
        <r>
          <rPr>
            <b/>
            <sz val="9"/>
            <color indexed="81"/>
            <rFont val="Tahoma"/>
            <family val="2"/>
          </rPr>
          <t>Gray area to be filled by UNICEF on monthly CCCM update</t>
        </r>
      </text>
    </comment>
    <comment ref="L4" authorId="0">
      <text>
        <r>
          <rPr>
            <b/>
            <sz val="9"/>
            <color indexed="81"/>
            <rFont val="Tahoma"/>
            <family val="2"/>
          </rPr>
          <t>To complete only for IDP's mixed in host communities, in "villages" in order to offer proper analysis of the needs based sphere standard for the complete population sharing facilities</t>
        </r>
        <r>
          <rPr>
            <sz val="9"/>
            <color indexed="81"/>
            <rFont val="Tahoma"/>
            <family val="2"/>
          </rPr>
          <t xml:space="preserve">
</t>
        </r>
      </text>
    </comment>
    <comment ref="O4" authorId="0">
      <text>
        <r>
          <rPr>
            <b/>
            <sz val="9"/>
            <color indexed="81"/>
            <rFont val="Tahoma"/>
            <family val="2"/>
          </rPr>
          <t>As mentionned in the Rakhine and Kachin strategic cluster plan, ideally no more than 1 NGO per camp. Here at least one NGO focal point for each sub sector (water, sanitation, hygiene propmotion). Focal point would means for cluster that the NGO is able to provide all infor in the sub sector for the camp concern. Ideally, the best case may be same NGo for all sub-sector as focal point</t>
        </r>
      </text>
    </comment>
    <comment ref="Z4" authorId="1">
      <text>
        <r>
          <rPr>
            <b/>
            <sz val="9"/>
            <color indexed="81"/>
            <rFont val="Tahoma"/>
            <family val="2"/>
          </rPr>
          <t>AOD 270:</t>
        </r>
        <r>
          <rPr>
            <sz val="9"/>
            <color indexed="81"/>
            <rFont val="Tahoma"/>
            <family val="2"/>
          </rPr>
          <t xml:space="preserve">
Not connect to the motor pump and not connect to the over head tank</t>
        </r>
      </text>
    </comment>
    <comment ref="AA4" authorId="0">
      <text>
        <r>
          <rPr>
            <b/>
            <sz val="9"/>
            <color indexed="81"/>
            <rFont val="Tahoma"/>
            <family val="2"/>
          </rPr>
          <t>Average hours of running per day or per week. If do not know the yield , calculate how many litres of water can be pumped out by running for 1 minutes. 
Eg. If run the motor for 1 min and get 30 litres,  = 30x60 x 4 hours etc.</t>
        </r>
      </text>
    </comment>
    <comment ref="AB4" authorId="1">
      <text>
        <r>
          <rPr>
            <b/>
            <sz val="9"/>
            <color indexed="81"/>
            <rFont val="Tahoma"/>
            <family val="2"/>
          </rPr>
          <t>AOD 270:</t>
        </r>
        <r>
          <rPr>
            <sz val="9"/>
            <color indexed="81"/>
            <rFont val="Tahoma"/>
            <family val="2"/>
          </rPr>
          <t xml:space="preserve">
If walking aound the camp shows 40 households collect rain water out of 80 households, the % would be 50%.</t>
        </r>
      </text>
    </comment>
    <comment ref="AP4" authorId="0">
      <text>
        <r>
          <rPr>
            <b/>
            <sz val="9"/>
            <color indexed="81"/>
            <rFont val="Tahoma"/>
            <family val="2"/>
          </rPr>
          <t>Offer a rough idea of the coverage of needs expected in 2 months (can also decrease in case of dry season…)</t>
        </r>
      </text>
    </comment>
    <comment ref="AS4" authorId="0">
      <text>
        <r>
          <rPr>
            <b/>
            <sz val="9"/>
            <color indexed="81"/>
            <rFont val="Tahoma"/>
            <family val="2"/>
          </rPr>
          <t>For capitalisation only, mentionned total number of latrines built, even if not still functioning or existing)</t>
        </r>
      </text>
    </comment>
    <comment ref="BC4" authorId="0">
      <text>
        <r>
          <rPr>
            <b/>
            <sz val="9"/>
            <color indexed="81"/>
            <rFont val="Tahoma"/>
            <family val="2"/>
          </rPr>
          <t>To mentionned approximated additional needs related to School, health center, ...</t>
        </r>
        <r>
          <rPr>
            <sz val="9"/>
            <color indexed="81"/>
            <rFont val="Tahoma"/>
            <family val="2"/>
          </rPr>
          <t xml:space="preserve">
50 boy students 1 latrine and 1 urinal and 1 for male staff, 25 girl students 1 latrine and 1 for female staff.</t>
        </r>
      </text>
    </comment>
    <comment ref="BS4" authorId="0">
      <text>
        <r>
          <rPr>
            <b/>
            <sz val="9"/>
            <color indexed="81"/>
            <rFont val="Tahoma"/>
            <family val="2"/>
          </rPr>
          <t>In respect of HK strategy, 1 full hygiene kit should be distributed each year. Indicate the date corresponding at the last distribution realised according to the strategy.</t>
        </r>
      </text>
    </comment>
    <comment ref="BT4" authorId="0">
      <text>
        <r>
          <rPr>
            <b/>
            <sz val="9"/>
            <color indexed="81"/>
            <rFont val="Tahoma"/>
            <family val="2"/>
          </rPr>
          <t>Accordingly to HK strategy, once a year</t>
        </r>
      </text>
    </comment>
    <comment ref="BV4" authorId="0">
      <text>
        <r>
          <rPr>
            <b/>
            <sz val="9"/>
            <color indexed="81"/>
            <rFont val="Tahoma"/>
            <family val="2"/>
          </rPr>
          <t>The date indicated in column BN indicate the "starting date" of need coverage for Refilling Kits, defined for monthly needs. Then, well specified the nb of month provided in Refilling Kits since the date indicated in column BN. The number to should reflectre the number of months realised, not the number of distribution. A distribution can in some case cover 3 months of refieling need</t>
        </r>
      </text>
    </comment>
    <comment ref="AT5" authorId="2">
      <text>
        <r>
          <rPr>
            <b/>
            <sz val="9"/>
            <color indexed="81"/>
            <rFont val="Tahoma"/>
            <charset val="1"/>
          </rPr>
          <t>Than Kyaw Soe:</t>
        </r>
        <r>
          <rPr>
            <sz val="9"/>
            <color indexed="81"/>
            <rFont val="Tahoma"/>
            <charset val="1"/>
          </rPr>
          <t xml:space="preserve">
E12 is now need to desludge to function. If desludge, it will be more cover</t>
        </r>
      </text>
    </comment>
    <comment ref="AU38" authorId="2">
      <text>
        <r>
          <rPr>
            <b/>
            <sz val="9"/>
            <color indexed="81"/>
            <rFont val="Tahoma"/>
            <charset val="1"/>
          </rPr>
          <t>Than Kyaw Soe:</t>
        </r>
        <r>
          <rPr>
            <sz val="9"/>
            <color indexed="81"/>
            <rFont val="Tahoma"/>
            <charset val="1"/>
          </rPr>
          <t xml:space="preserve">
70 latrines start to full the pit. Near future need to desludge </t>
        </r>
      </text>
    </comment>
    <comment ref="AU85" authorId="2">
      <text>
        <r>
          <rPr>
            <b/>
            <sz val="9"/>
            <color indexed="81"/>
            <rFont val="Tahoma"/>
            <charset val="1"/>
          </rPr>
          <t>Than Kyaw Soe:</t>
        </r>
        <r>
          <rPr>
            <sz val="9"/>
            <color indexed="81"/>
            <rFont val="Tahoma"/>
            <charset val="1"/>
          </rPr>
          <t xml:space="preserve">
church committee let them to use 2 church latrines if they need (but not always)</t>
        </r>
      </text>
    </comment>
    <comment ref="J91" authorId="2">
      <text>
        <r>
          <rPr>
            <b/>
            <sz val="9"/>
            <color indexed="81"/>
            <rFont val="Tahoma"/>
            <charset val="1"/>
          </rPr>
          <t>Than Kyaw Soe:</t>
        </r>
        <r>
          <rPr>
            <sz val="9"/>
            <color indexed="81"/>
            <rFont val="Tahoma"/>
            <charset val="1"/>
          </rPr>
          <t xml:space="preserve">
student live in 14 households</t>
        </r>
      </text>
    </comment>
    <comment ref="AT177" authorId="2">
      <text>
        <r>
          <rPr>
            <b/>
            <sz val="9"/>
            <color indexed="81"/>
            <rFont val="Tahoma"/>
            <charset val="1"/>
          </rPr>
          <t>Than Kyaw Soe:</t>
        </r>
        <r>
          <rPr>
            <sz val="9"/>
            <color indexed="81"/>
            <rFont val="Tahoma"/>
            <charset val="1"/>
          </rPr>
          <t xml:space="preserve">
china type latrine</t>
        </r>
      </text>
    </comment>
  </commentList>
</comments>
</file>

<file path=xl/comments2.xml><?xml version="1.0" encoding="utf-8"?>
<comments xmlns="http://schemas.openxmlformats.org/spreadsheetml/2006/main">
  <authors>
    <author>Christian</author>
  </authors>
  <commentList>
    <comment ref="T31" authorId="0">
      <text>
        <r>
          <rPr>
            <b/>
            <sz val="8"/>
            <color indexed="81"/>
            <rFont val="Tahoma"/>
            <family val="2"/>
          </rPr>
          <t>Christian:</t>
        </r>
        <r>
          <rPr>
            <sz val="8"/>
            <color indexed="81"/>
            <rFont val="Tahoma"/>
            <family val="2"/>
          </rPr>
          <t xml:space="preserve">
O&amp;M Mainly. 200 new latrine in NGCA and school latrines in NGCA and GCA</t>
        </r>
      </text>
    </comment>
    <comment ref="U31" authorId="0">
      <text>
        <r>
          <rPr>
            <b/>
            <sz val="8"/>
            <color indexed="81"/>
            <rFont val="Tahoma"/>
            <family val="2"/>
          </rPr>
          <t>Christian:</t>
        </r>
        <r>
          <rPr>
            <sz val="8"/>
            <color indexed="81"/>
            <rFont val="Tahoma"/>
            <family val="2"/>
          </rPr>
          <t xml:space="preserve">
O&amp;M Mainly. New gravity systems and storage in NGCA and a few new wells in exoanded GCA camps</t>
        </r>
      </text>
    </comment>
    <comment ref="V31" authorId="0">
      <text>
        <r>
          <rPr>
            <b/>
            <sz val="8"/>
            <color indexed="81"/>
            <rFont val="Tahoma"/>
            <family val="2"/>
          </rPr>
          <t>Christian:</t>
        </r>
        <r>
          <rPr>
            <sz val="8"/>
            <color indexed="81"/>
            <rFont val="Tahoma"/>
            <family val="2"/>
          </rPr>
          <t xml:space="preserve">
NOTE: Limited funding for hygiene consumables. </t>
        </r>
      </text>
    </comment>
    <comment ref="AG31" authorId="0">
      <text>
        <r>
          <rPr>
            <b/>
            <sz val="8"/>
            <color indexed="81"/>
            <rFont val="Tahoma"/>
            <family val="2"/>
          </rPr>
          <t>Christian:</t>
        </r>
        <r>
          <rPr>
            <sz val="8"/>
            <color indexed="81"/>
            <rFont val="Tahoma"/>
            <family val="2"/>
          </rPr>
          <t xml:space="preserve">
High due to hygiene kit costs</t>
        </r>
      </text>
    </comment>
  </commentList>
</comments>
</file>

<file path=xl/sharedStrings.xml><?xml version="1.0" encoding="utf-8"?>
<sst xmlns="http://schemas.openxmlformats.org/spreadsheetml/2006/main" count="4050" uniqueCount="923">
  <si>
    <t>Township</t>
  </si>
  <si>
    <t>Site</t>
  </si>
  <si>
    <t>Total</t>
  </si>
  <si>
    <t>Location type</t>
  </si>
  <si>
    <t>Type</t>
  </si>
  <si>
    <t>Gap of basic hygiene kit</t>
  </si>
  <si>
    <t>Summary:</t>
  </si>
  <si>
    <t>Focal point Agency</t>
  </si>
  <si>
    <t>IDPs Pop</t>
  </si>
  <si>
    <t>Total PoP</t>
  </si>
  <si>
    <t>Needs coverage</t>
  </si>
  <si>
    <t>Comment</t>
  </si>
  <si>
    <t>Coverage hand wash station %</t>
  </si>
  <si>
    <t>Structure</t>
  </si>
  <si>
    <t>Gap of month covered by refilled</t>
  </si>
  <si>
    <t>Comments</t>
  </si>
  <si>
    <t>Approximative % of household receiving monthly HP senzitisation directly with NGO</t>
  </si>
  <si>
    <t>Camp manager defined by UNHCR</t>
  </si>
  <si>
    <t>Yes</t>
  </si>
  <si>
    <t>No</t>
  </si>
  <si>
    <t>Done</t>
  </si>
  <si>
    <t>Never deployed</t>
  </si>
  <si>
    <t>Coverage Bathing %</t>
  </si>
  <si>
    <r>
      <rPr>
        <b/>
        <sz val="10"/>
        <color indexed="10"/>
        <rFont val="Calibri"/>
        <family val="2"/>
      </rPr>
      <t>%</t>
    </r>
    <r>
      <rPr>
        <b/>
        <sz val="10"/>
        <color indexed="8"/>
        <rFont val="Calibri"/>
        <family val="2"/>
      </rPr>
      <t xml:space="preserve"> Latrine needs coverage</t>
    </r>
  </si>
  <si>
    <r>
      <rPr>
        <b/>
        <sz val="10"/>
        <color indexed="10"/>
        <rFont val="Calibri"/>
        <family val="2"/>
      </rPr>
      <t>#</t>
    </r>
    <r>
      <rPr>
        <b/>
        <sz val="10"/>
        <color indexed="8"/>
        <rFont val="Calibri"/>
        <family val="2"/>
      </rPr>
      <t xml:space="preserve"> Semi permanent latrines missing</t>
    </r>
  </si>
  <si>
    <t>Month reported:</t>
  </si>
  <si>
    <r>
      <rPr>
        <b/>
        <sz val="10"/>
        <color indexed="10"/>
        <rFont val="Calibri"/>
        <family val="2"/>
      </rPr>
      <t>#</t>
    </r>
    <r>
      <rPr>
        <b/>
        <sz val="10"/>
        <color indexed="8"/>
        <rFont val="Calibri"/>
        <family val="2"/>
      </rPr>
      <t xml:space="preserve"> Additional latrines needs identified for community center as TLS, heath center…</t>
    </r>
  </si>
  <si>
    <t>Legend:</t>
  </si>
  <si>
    <t>White cell to be filled by NGO</t>
  </si>
  <si>
    <t>Gray Cell to be filled by UNICEF</t>
  </si>
  <si>
    <t>Colored cell per sector, automatic calculation</t>
  </si>
  <si>
    <t>Unity of the entry mentionned in the colum title in red</t>
  </si>
  <si>
    <t>Focal poing Agency:</t>
  </si>
  <si>
    <t>As mentionned in the Strategic plan, it is wish than one main wash actor per camp is positionned</t>
  </si>
  <si>
    <t>Objectives of the 4W matrix:</t>
  </si>
  <si>
    <t>To identify the geographical positionning of the different intervenants (Who)</t>
  </si>
  <si>
    <t>To deduce the geographical gaps coverage (Where)</t>
  </si>
  <si>
    <t>To produce a basic analysis of the needs covered, and needs remaining (What)</t>
  </si>
  <si>
    <t>To support priority definition</t>
  </si>
  <si>
    <t xml:space="preserve">To offer an synthetic situation overview, a basic, relavant and comparable analysis </t>
  </si>
  <si>
    <t>The 4W excecice cannot replace more complexe and field monitoring tools, and analysis.</t>
  </si>
  <si>
    <t>Geographical reporting coverage</t>
  </si>
  <si>
    <t xml:space="preserve"> It won't analyse much the qualitative aspect of the intervention, while it is pre-condition for any intervention </t>
  </si>
  <si>
    <t>to respect minimum technical standards, shared and contextualised by the cluster</t>
  </si>
  <si>
    <t>However, depending of the needs, two actors can be considered per sub sctor, and different regarding wash sub-sector</t>
  </si>
  <si>
    <t>In a cluster point of view, to facilitate the data collection, the define focal wash agency is reporting for the whole situation per sub-sector, and not only on its own activities</t>
  </si>
  <si>
    <t>The agency focal point is defined on an bilateral agreement between NGO, while the Cluster can accompaign any process difficulties</t>
  </si>
  <si>
    <t>Wash Cluster, through intersectorial coordination with CCCM, is providing a site baseline data. However,  this pre-define list is not closed to new location, if related to the emmergency.</t>
  </si>
  <si>
    <t xml:space="preserve">In case of new location (ex: spontaneous camps not register with CCCM, host communities considered directly affected, isolated villages facing </t>
  </si>
  <si>
    <t>humanitarian risk…), please mark in the data base, and engage exchange with the Wash cluster in order to properly reconized this location, and allow to exchange with CCCM if needed.</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</si>
  <si>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</si>
  <si>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</si>
  <si>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</si>
  <si>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monthly exchange on results finding</t>
  </si>
  <si>
    <t>The 4W should be updated at monthly bases, while all agency are requested to fill the form to offer the more accurate and relevant situation vision</t>
  </si>
  <si>
    <t>To predict at minima the coverage extension or reduction in short term (When)</t>
  </si>
  <si>
    <t>The agency are also welcom to cross check the data and mention major discrpency with field observation. The wash cluster in that case ensure a follow up at the inter-cluster level</t>
  </si>
  <si>
    <t>The 4W and its analysis is shared with the Myanmar autorities</t>
  </si>
  <si>
    <t>The wash cluster is in charge to ensure to gather the information form the State government, in case of technical direct implementation</t>
  </si>
  <si>
    <t>The 4w consolidated by the wash cluster and its analysis will be monthly share through the google wash group, and the internet site</t>
  </si>
  <si>
    <t>Sub-sector remarks:</t>
  </si>
  <si>
    <t>Differenciation between emmergency facilities and semi permanent is done, in order to better forsee the facilities to be developped, further than the immediate coverage</t>
  </si>
  <si>
    <t>Water havest system is mentionned, but not taken in consideration in the calculation of safe water access coverage, due to the water quality</t>
  </si>
  <si>
    <t xml:space="preserve"> and the seasonality of it use, despite considered as a good mitigating technical solution</t>
  </si>
  <si>
    <t>Need for community space, as Temporary Learning School, are not yet clear to mesure, but has to be evaluated on existing structure by Agency</t>
  </si>
  <si>
    <t>Functional and efficient</t>
  </si>
  <si>
    <t>Not yet set up</t>
  </si>
  <si>
    <t>Gender issue is not proposed to be mesure by this tools, considered to be a minimum standard to be respected</t>
  </si>
  <si>
    <t xml:space="preserve">The objective being to mesure the needs remaining, and so the need covered, technical evaluation are not proposed, </t>
  </si>
  <si>
    <t xml:space="preserve">as" # of water point not working" or needed rehabilitation, concentrating on the services effective for the beneficiaries. </t>
  </si>
  <si>
    <t>Social organisation is proposed to be measured on basic effeciency accomplishment</t>
  </si>
  <si>
    <t>Desludging needs monitoring is high, but so high and challenging matter that another separate tools should be developped for a prpper follow up and plan set up</t>
  </si>
  <si>
    <r>
      <rPr>
        <sz val="18"/>
        <color indexed="8"/>
        <rFont val="Calibri"/>
        <family val="2"/>
      </rPr>
      <t>WASH CLUSTER</t>
    </r>
    <r>
      <rPr>
        <b/>
        <sz val="18"/>
        <color indexed="8"/>
        <rFont val="Calibri"/>
        <family val="2"/>
      </rPr>
      <t xml:space="preserve"> 4W MATRIX </t>
    </r>
    <r>
      <rPr>
        <sz val="18"/>
        <color indexed="8"/>
        <rFont val="Calibri"/>
        <family val="2"/>
      </rPr>
      <t>MYANMAR</t>
    </r>
  </si>
  <si>
    <t>Grand Total</t>
  </si>
  <si>
    <t>(All)</t>
  </si>
  <si>
    <t>Data</t>
  </si>
  <si>
    <t>Rank coverage</t>
  </si>
  <si>
    <t>Camps treshold</t>
  </si>
  <si>
    <t>2. Medium</t>
  </si>
  <si>
    <t>1. Small</t>
  </si>
  <si>
    <t>3. Large</t>
  </si>
  <si>
    <t>4. Big</t>
  </si>
  <si>
    <t>5. Massive</t>
  </si>
  <si>
    <t>Agencies involved</t>
  </si>
  <si>
    <t>Complement Agency</t>
  </si>
  <si>
    <t xml:space="preserve">Exit strategy plan from emergency supply </t>
  </si>
  <si>
    <t>Emergency structures</t>
  </si>
  <si>
    <r>
      <t xml:space="preserve">Semi-permanent structures </t>
    </r>
    <r>
      <rPr>
        <b/>
        <sz val="12"/>
        <color indexed="10"/>
        <rFont val="Calibri"/>
        <family val="2"/>
      </rPr>
      <t>functionning</t>
    </r>
  </si>
  <si>
    <t>Actual water needs coverage</t>
  </si>
  <si>
    <t>% Emergency latrines</t>
  </si>
  <si>
    <t>Bathing space gender sperated</t>
  </si>
  <si>
    <t>Not separated yet</t>
  </si>
  <si>
    <t>Latrines gender sperated</t>
  </si>
  <si>
    <t>Count of Bathing space gender sperated</t>
  </si>
  <si>
    <t>Coverage Hygiene kits</t>
  </si>
  <si>
    <t>General comparative Analysis</t>
  </si>
  <si>
    <t>Water access</t>
  </si>
  <si>
    <t>Latrine access</t>
  </si>
  <si>
    <t>Community approach/ Hygiene Promotion</t>
  </si>
  <si>
    <t>% of actual need covered by emergency facilities</t>
  </si>
  <si>
    <r>
      <rPr>
        <b/>
        <sz val="10"/>
        <color indexed="10"/>
        <rFont val="Calibri"/>
        <family val="2"/>
      </rPr>
      <t>#</t>
    </r>
    <r>
      <rPr>
        <b/>
        <sz val="10"/>
        <color indexed="8"/>
        <rFont val="Calibri"/>
        <family val="2"/>
      </rPr>
      <t xml:space="preserve"> Hand pump (on well or borehole)</t>
    </r>
  </si>
  <si>
    <r>
      <rPr>
        <b/>
        <sz val="10"/>
        <color indexed="10"/>
        <rFont val="Calibri"/>
        <family val="2"/>
      </rPr>
      <t>Total #</t>
    </r>
    <r>
      <rPr>
        <b/>
        <sz val="10"/>
        <color indexed="8"/>
        <rFont val="Calibri"/>
        <family val="2"/>
      </rPr>
      <t xml:space="preserve"> Emergency Latrines built since camp opening</t>
    </r>
  </si>
  <si>
    <t>Hygiene promotion</t>
  </si>
  <si>
    <t>GPS x</t>
  </si>
  <si>
    <t>GPS y</t>
  </si>
  <si>
    <t>COMMUNITY MOBILIZATION</t>
  </si>
  <si>
    <t>Nb  community HP trainer trained by NGO</t>
  </si>
  <si>
    <t>Chipwi</t>
  </si>
  <si>
    <t>Chipwi KBC camp</t>
  </si>
  <si>
    <t>Lhaovao Baptist Church (LBC)</t>
  </si>
  <si>
    <t>Hpakan</t>
  </si>
  <si>
    <t>5 Ward Baptist Church(lon Khin)</t>
  </si>
  <si>
    <t>5 Ward RC Church(lon Khin)</t>
  </si>
  <si>
    <t>AG Church, Hmaw Si Sa</t>
  </si>
  <si>
    <t>AG Church, Maw Wan</t>
  </si>
  <si>
    <t>Baptist Church, Hmaw Si Sar(Lon Khin)</t>
  </si>
  <si>
    <t>Baptist Church, Naung Hmee VT</t>
  </si>
  <si>
    <t>Chin Church, Seik Mu</t>
  </si>
  <si>
    <t>Dhama Rakhita, Nyein Chan Tar Yar Ward(Lon Khin)</t>
  </si>
  <si>
    <t>Hmaw Wan, Anglican</t>
  </si>
  <si>
    <t>Lisu Baptist Church, Maw Shan Vil,. Seik Mu</t>
  </si>
  <si>
    <t>Lisu Baptist Church, Maw Wan Ward</t>
  </si>
  <si>
    <t>Maw Wan, Mu-yin Baptist Church</t>
  </si>
  <si>
    <t>Nant Ma Hpit Catholic Church</t>
  </si>
  <si>
    <t>Rawan Baptist Church, Maw Shan Vil., Seik Mu</t>
  </si>
  <si>
    <t>Sai Nai Baptish Church, Maw Shan Vil., Seki Mu</t>
  </si>
  <si>
    <t xml:space="preserve">Ward 2 Sai Taung Baptist Church, Seik Mu </t>
  </si>
  <si>
    <t>Yumar Baptist Church</t>
  </si>
  <si>
    <t>Khaunglanhpu</t>
  </si>
  <si>
    <t>La Ja</t>
  </si>
  <si>
    <t xml:space="preserve">Kyun Taw Baptist Church </t>
  </si>
  <si>
    <t>Mang Hawng Baptist Church</t>
  </si>
  <si>
    <t xml:space="preserve">Nat Gyi Kone Baptist Church </t>
  </si>
  <si>
    <t>Mohnyin</t>
  </si>
  <si>
    <t xml:space="preserve">St. Patrick Catholic Church </t>
  </si>
  <si>
    <t>Myitkyina</t>
  </si>
  <si>
    <t>Du Kahtawng Qtr. 14</t>
  </si>
  <si>
    <t>Du Kahtawng Qtr. 4</t>
  </si>
  <si>
    <t>Du Kahtawng Qtr. 5</t>
  </si>
  <si>
    <t>Jan Mai Kawng Baptist Church</t>
  </si>
  <si>
    <t>Jan Mai Kawng Catholic Church</t>
  </si>
  <si>
    <t>Kyun Pin Thar Baptist Church</t>
  </si>
  <si>
    <t>Le Kone Bethlehem Church</t>
  </si>
  <si>
    <t xml:space="preserve">Le Kone Ziun Baptist Church </t>
  </si>
  <si>
    <t>Maliyang Baptist Church</t>
  </si>
  <si>
    <t>Man Hkring Baptist Church</t>
  </si>
  <si>
    <t>Maw Hpawng Hka Nan Baptist Church</t>
  </si>
  <si>
    <t>Maw Hpawng Lhaovo Baptist Church</t>
  </si>
  <si>
    <t>Pa Dauk Myaing(Pa La Na)</t>
  </si>
  <si>
    <t>Shatapru Sut Ngai Tawng</t>
  </si>
  <si>
    <t>Shatapru Thida Aye Baptist Church</t>
  </si>
  <si>
    <t>Shwe Zet Baptist Church</t>
  </si>
  <si>
    <t>Tat Kone Baptist Church</t>
  </si>
  <si>
    <t>Tat Kone COC Baptist / Tat Kone Htoi San</t>
  </si>
  <si>
    <t>Tat Kone Emanuel Church</t>
  </si>
  <si>
    <t>Tat Kone Galile Baptist Church</t>
  </si>
  <si>
    <t>Tat Kone San Pya Baptist Church</t>
  </si>
  <si>
    <t>Wun Tho Buddhist Monastery</t>
  </si>
  <si>
    <t>Waingmaw</t>
  </si>
  <si>
    <t xml:space="preserve">Hkat Cho </t>
  </si>
  <si>
    <t>Hkau Shau (BP 12)</t>
  </si>
  <si>
    <t>Laiza Market 3 / Laiza Gat</t>
  </si>
  <si>
    <t>Mading Baptist Church</t>
  </si>
  <si>
    <t xml:space="preserve">Maga Yang </t>
  </si>
  <si>
    <t>Maina AG Church</t>
  </si>
  <si>
    <t>Maina Catholic Church (St. Joseph)</t>
  </si>
  <si>
    <t>Maina KBC (Bawng Ring)</t>
  </si>
  <si>
    <t>Maina Lawang Baptist Church</t>
  </si>
  <si>
    <t>Nawng Hee Village</t>
  </si>
  <si>
    <t>Post 6 Camp</t>
  </si>
  <si>
    <t>Qtr. 2 Lhaovo Baptist Church</t>
  </si>
  <si>
    <t>Qtr. 2 Myoma Baptist Church</t>
  </si>
  <si>
    <t>Qtr. 3 Mu-yin  Baptist Church</t>
  </si>
  <si>
    <t>Qtr. 4 Monestry (Thargaya Thayett Taw)</t>
  </si>
  <si>
    <t>Shing Jai</t>
  </si>
  <si>
    <t>Thargaya Lisu Baptist Church</t>
  </si>
  <si>
    <t>Waingmaw AG Church</t>
  </si>
  <si>
    <t>Waingmaw Baptist Zonal Office</t>
  </si>
  <si>
    <t xml:space="preserve">Woi Chyai </t>
  </si>
  <si>
    <t>Zai Awng / Mung Ga Zup</t>
  </si>
  <si>
    <t>Bhamo</t>
  </si>
  <si>
    <t>Aung Thar Church</t>
  </si>
  <si>
    <t>Lisu Boarding-House</t>
  </si>
  <si>
    <t>Nant Hlaing Church</t>
  </si>
  <si>
    <t>Ta Gun Taing Monastery (Shwe Kyi Na)</t>
  </si>
  <si>
    <t>Yoe Kyi Monastery</t>
  </si>
  <si>
    <t>Mansi</t>
  </si>
  <si>
    <t>Manton</t>
  </si>
  <si>
    <t>Momauk</t>
  </si>
  <si>
    <t xml:space="preserve">Dum Bung </t>
  </si>
  <si>
    <t xml:space="preserve">Hpun Lum Yang </t>
  </si>
  <si>
    <t xml:space="preserve">Nhkawng Pa </t>
  </si>
  <si>
    <t>Loi Je Baptist Church</t>
  </si>
  <si>
    <t>Loi Je Catholic Church</t>
  </si>
  <si>
    <t xml:space="preserve">Mai Khat </t>
  </si>
  <si>
    <t xml:space="preserve">Man Nawng </t>
  </si>
  <si>
    <t>Mandalay Monestry</t>
  </si>
  <si>
    <t>Momauk Baptist Church</t>
  </si>
  <si>
    <t xml:space="preserve">Myo Thit </t>
  </si>
  <si>
    <t>Ni Thaw Ka Monestry</t>
  </si>
  <si>
    <t>Lawk Awng Mare D. (Sinbo Area)</t>
  </si>
  <si>
    <t>Shwe Gu Baptist Church</t>
  </si>
  <si>
    <t>Shwe Gu Catholic Church</t>
  </si>
  <si>
    <t xml:space="preserve">Je Yang Hka </t>
  </si>
  <si>
    <t>Pajau / Jan Mai</t>
  </si>
  <si>
    <t>Kutkai</t>
  </si>
  <si>
    <t>Kone Khem Camp</t>
  </si>
  <si>
    <t>Kutkai downtown (KBC Church)</t>
  </si>
  <si>
    <t>Kutkai downtown (RC Church)</t>
  </si>
  <si>
    <t>Mine Yu Lay village</t>
  </si>
  <si>
    <t xml:space="preserve">Mungji Pa Dabang (Baptist Church)         </t>
  </si>
  <si>
    <t xml:space="preserve">Mungji Pa Dabang (RC Church)         </t>
  </si>
  <si>
    <t xml:space="preserve">Nam Hpak Ka Mare </t>
  </si>
  <si>
    <t>Zup Aung Camp</t>
  </si>
  <si>
    <t>Muse</t>
  </si>
  <si>
    <t>Nam Hkam - Nay Win Ni (Palawng)</t>
  </si>
  <si>
    <t>Nam Hkam (KBC Jaw Wang)</t>
  </si>
  <si>
    <t>Nam Hkam Catholic Church ( St. Thomas I)</t>
  </si>
  <si>
    <t>GCA</t>
  </si>
  <si>
    <t xml:space="preserve">Njang Dung Baptist Church </t>
  </si>
  <si>
    <t>Nan Kway St. John Catholic Church</t>
  </si>
  <si>
    <t>Hpare Hkyer - BP6</t>
  </si>
  <si>
    <t>Man Bung Catholic compound</t>
  </si>
  <si>
    <t>Shwegu</t>
  </si>
  <si>
    <t>Puta-O</t>
  </si>
  <si>
    <t>Mogaung</t>
  </si>
  <si>
    <t>NGCA</t>
  </si>
  <si>
    <t>Border Post 8</t>
  </si>
  <si>
    <t>Hlaing Naung Baptist</t>
  </si>
  <si>
    <t>Nam Ma Phyit, COC</t>
  </si>
  <si>
    <t>Khun Sint Village</t>
  </si>
  <si>
    <t>Narte</t>
  </si>
  <si>
    <t>Namtu</t>
  </si>
  <si>
    <r>
      <rPr>
        <b/>
        <sz val="10"/>
        <color indexed="10"/>
        <rFont val="Calibri"/>
        <family val="2"/>
      </rPr>
      <t xml:space="preserve">litres/day produce </t>
    </r>
    <r>
      <rPr>
        <b/>
        <sz val="10"/>
        <color indexed="8"/>
        <rFont val="Calibri"/>
        <family val="2"/>
      </rPr>
      <t xml:space="preserve"> 
Water treatment station </t>
    </r>
  </si>
  <si>
    <r>
      <rPr>
        <b/>
        <sz val="10"/>
        <color indexed="10"/>
        <rFont val="Calibri"/>
        <family val="2"/>
      </rPr>
      <t>litres deliver during the month</t>
    </r>
    <r>
      <rPr>
        <b/>
        <sz val="10"/>
        <color indexed="8"/>
        <rFont val="Calibri"/>
        <family val="2"/>
      </rPr>
      <t xml:space="preserve">
Water/Boat trucking </t>
    </r>
  </si>
  <si>
    <t>KMSS</t>
  </si>
  <si>
    <t>Active</t>
  </si>
  <si>
    <t>Metta</t>
  </si>
  <si>
    <t>SI</t>
  </si>
  <si>
    <t>KBC</t>
  </si>
  <si>
    <t>OXFAM</t>
  </si>
  <si>
    <t>Coverage Hygiene kits * Total PoP</t>
  </si>
  <si>
    <t>Row Labels</t>
  </si>
  <si>
    <t>Sum of Total PoP</t>
  </si>
  <si>
    <t>80-100%</t>
  </si>
  <si>
    <t>0-10%</t>
  </si>
  <si>
    <t>15-30%</t>
  </si>
  <si>
    <t>Household treatment</t>
  </si>
  <si>
    <t>Potential % of actual need coverage including houshold treatment solution</t>
  </si>
  <si>
    <r>
      <rPr>
        <b/>
        <sz val="14"/>
        <color indexed="10"/>
        <rFont val="Calibri"/>
        <family val="2"/>
      </rPr>
      <t>Safe</t>
    </r>
    <r>
      <rPr>
        <b/>
        <sz val="14"/>
        <color indexed="8"/>
        <rFont val="Calibri"/>
        <family val="2"/>
      </rPr>
      <t xml:space="preserve"> Water supply</t>
    </r>
  </si>
  <si>
    <r>
      <t xml:space="preserve">Ending </t>
    </r>
    <r>
      <rPr>
        <b/>
        <sz val="10"/>
        <color indexed="10"/>
        <rFont val="Calibri"/>
        <family val="2"/>
      </rPr>
      <t>date</t>
    </r>
    <r>
      <rPr>
        <b/>
        <sz val="10"/>
        <color indexed="8"/>
        <rFont val="Calibri"/>
        <family val="2"/>
      </rPr>
      <t xml:space="preserve"> funds/project coverage</t>
    </r>
  </si>
  <si>
    <r>
      <t xml:space="preserve">litres/Day </t>
    </r>
    <r>
      <rPr>
        <b/>
        <sz val="10"/>
        <rFont val="Calibri"/>
        <family val="2"/>
      </rPr>
      <t>provided with Overhead or storage tank with reticulation/ Water  gravity system           ( Yield x average running hours)</t>
    </r>
  </si>
  <si>
    <r>
      <rPr>
        <b/>
        <sz val="10"/>
        <color indexed="10"/>
        <rFont val="Calibri"/>
        <family val="2"/>
      </rPr>
      <t>%</t>
    </r>
    <r>
      <rPr>
        <b/>
        <sz val="10"/>
        <color indexed="8"/>
        <rFont val="Calibri"/>
        <family val="2"/>
      </rPr>
      <t xml:space="preserve"> Water harvesting system HH coverage</t>
    </r>
  </si>
  <si>
    <r>
      <rPr>
        <b/>
        <sz val="10"/>
        <color indexed="10"/>
        <rFont val="Calibri"/>
        <family val="2"/>
      </rPr>
      <t>#</t>
    </r>
    <r>
      <rPr>
        <b/>
        <sz val="10"/>
        <color indexed="8"/>
        <rFont val="Calibri"/>
        <family val="2"/>
      </rPr>
      <t xml:space="preserve"> Emergency latrines still </t>
    </r>
    <r>
      <rPr>
        <b/>
        <sz val="10"/>
        <color indexed="10"/>
        <rFont val="Calibri"/>
        <family val="2"/>
      </rPr>
      <t>functional</t>
    </r>
  </si>
  <si>
    <r>
      <rPr>
        <b/>
        <sz val="10"/>
        <color indexed="10"/>
        <rFont val="Calibri"/>
        <family val="2"/>
      </rPr>
      <t>#</t>
    </r>
    <r>
      <rPr>
        <b/>
        <sz val="10"/>
        <color indexed="8"/>
        <rFont val="Calibri"/>
        <family val="2"/>
      </rPr>
      <t xml:space="preserve"> Semi permanent latrine </t>
    </r>
    <r>
      <rPr>
        <b/>
        <sz val="10"/>
        <color indexed="10"/>
        <rFont val="Calibri"/>
        <family val="2"/>
      </rPr>
      <t>functional</t>
    </r>
  </si>
  <si>
    <r>
      <rPr>
        <b/>
        <sz val="10"/>
        <color indexed="10"/>
        <rFont val="Calibri"/>
        <family val="2"/>
      </rPr>
      <t>#</t>
    </r>
    <r>
      <rPr>
        <b/>
        <sz val="10"/>
        <color indexed="8"/>
        <rFont val="Calibri"/>
        <family val="2"/>
      </rPr>
      <t xml:space="preserve"> Hand washing station </t>
    </r>
    <r>
      <rPr>
        <b/>
        <sz val="10"/>
        <color indexed="10"/>
        <rFont val="Calibri"/>
        <family val="2"/>
      </rPr>
      <t>funtional</t>
    </r>
  </si>
  <si>
    <t>Column Labels</t>
  </si>
  <si>
    <t>Hpakant Baptist Church, Nam Ma Hpit</t>
  </si>
  <si>
    <t>Merlin</t>
  </si>
  <si>
    <t>Source of Data</t>
  </si>
  <si>
    <t>Focal NGO</t>
  </si>
  <si>
    <t>UNICEF</t>
  </si>
  <si>
    <t>Not documented</t>
  </si>
  <si>
    <t>Zoning cluster location</t>
  </si>
  <si>
    <t>Cluster 1</t>
  </si>
  <si>
    <t>Cluster 2</t>
  </si>
  <si>
    <t>Cluster 3</t>
  </si>
  <si>
    <t>Cluster 4</t>
  </si>
  <si>
    <t>Cluster 5</t>
  </si>
  <si>
    <t>(Multiple Items)</t>
  </si>
  <si>
    <t>Ratio between population and nb of community HP</t>
  </si>
  <si>
    <t>% Semi permanent latrine</t>
  </si>
  <si>
    <t>Access of safe water drinking permanent water point</t>
  </si>
  <si>
    <t>Cluster 6</t>
  </si>
  <si>
    <t>Cluster 7</t>
  </si>
  <si>
    <t>Cluster 8</t>
  </si>
  <si>
    <t>Cluster 9</t>
  </si>
  <si>
    <t>Estimated coverage of bathroom at the end of project with gender speration</t>
  </si>
  <si>
    <r>
      <rPr>
        <b/>
        <sz val="10"/>
        <color indexed="10"/>
        <rFont val="Calibri"/>
        <family val="2"/>
      </rPr>
      <t>% Estimated</t>
    </r>
    <r>
      <rPr>
        <b/>
        <sz val="10"/>
        <color indexed="8"/>
        <rFont val="Calibri"/>
        <family val="2"/>
      </rPr>
      <t xml:space="preserve"> coverage of latrine need at the end of project</t>
    </r>
  </si>
  <si>
    <t>Estimated coverage need of hand washing station at the end of project</t>
  </si>
  <si>
    <r>
      <rPr>
        <b/>
        <sz val="10"/>
        <color indexed="10"/>
        <rFont val="Calibri"/>
        <family val="2"/>
      </rPr>
      <t>%</t>
    </r>
    <r>
      <rPr>
        <b/>
        <sz val="10"/>
        <color indexed="8"/>
        <rFont val="Calibri"/>
        <family val="2"/>
      </rPr>
      <t xml:space="preserve"> Estimated need coverage at the end of project</t>
    </r>
  </si>
  <si>
    <t>AD-2000 Tharthana Compound*</t>
  </si>
  <si>
    <t>Htoi San Church*</t>
  </si>
  <si>
    <t>Robert Church*</t>
  </si>
  <si>
    <t>Shalom</t>
  </si>
  <si>
    <t>IRRC</t>
  </si>
  <si>
    <t>KMSS- Lashio</t>
  </si>
  <si>
    <t>Lana Zup Ja *</t>
  </si>
  <si>
    <t>Man Wing Baptist Church*</t>
  </si>
  <si>
    <t>Man Wing Catholic Church*</t>
  </si>
  <si>
    <t>Mansi Baptist Church*</t>
  </si>
  <si>
    <t>Church</t>
  </si>
  <si>
    <t>Pan Wa</t>
  </si>
  <si>
    <t>CESVI</t>
  </si>
  <si>
    <t>WPN</t>
  </si>
  <si>
    <t>Documented</t>
  </si>
  <si>
    <t>Community management organise and efficient in camps</t>
  </si>
  <si>
    <t>Count of Community management organise and efficient in camps</t>
  </si>
  <si>
    <t>UNHCR</t>
  </si>
  <si>
    <t>Latrine shared by families , not separated</t>
  </si>
  <si>
    <t>Separate, clearly perceived</t>
  </si>
  <si>
    <t>Separate, but not clearly perceived</t>
  </si>
  <si>
    <t xml:space="preserve">Set up but low results </t>
  </si>
  <si>
    <t>Not yet planned</t>
  </si>
  <si>
    <r>
      <rPr>
        <b/>
        <sz val="10"/>
        <color indexed="10"/>
        <rFont val="Calibri"/>
        <family val="2"/>
      </rPr>
      <t>#</t>
    </r>
    <r>
      <rPr>
        <b/>
        <sz val="10"/>
        <color indexed="8"/>
        <rFont val="Calibri"/>
        <family val="2"/>
      </rPr>
      <t xml:space="preserve"> Open hand Dug wells (without hand pump)</t>
    </r>
  </si>
  <si>
    <r>
      <rPr>
        <b/>
        <sz val="10"/>
        <color rgb="FFFF0000"/>
        <rFont val="Calibri"/>
        <family val="2"/>
      </rPr>
      <t xml:space="preserve">Date </t>
    </r>
    <r>
      <rPr>
        <b/>
        <sz val="10"/>
        <color theme="1"/>
        <rFont val="Calibri"/>
        <family val="2"/>
      </rPr>
      <t>Last Full Hygiene Kit distribution</t>
    </r>
  </si>
  <si>
    <r>
      <rPr>
        <b/>
        <sz val="10"/>
        <color indexed="10"/>
        <rFont val="Calibri"/>
        <family val="2"/>
      </rPr>
      <t>Total #</t>
    </r>
    <r>
      <rPr>
        <b/>
        <sz val="10"/>
        <color indexed="8"/>
        <rFont val="Calibri"/>
        <family val="2"/>
      </rPr>
      <t xml:space="preserve"> of Full Hygiene kit distributed during last distribution</t>
    </r>
  </si>
  <si>
    <r>
      <rPr>
        <b/>
        <sz val="10"/>
        <color indexed="10"/>
        <rFont val="Calibri"/>
        <family val="2"/>
      </rPr>
      <t>#</t>
    </r>
    <r>
      <rPr>
        <b/>
        <sz val="10"/>
        <color indexed="8"/>
        <rFont val="Calibri"/>
        <family val="2"/>
      </rPr>
      <t xml:space="preserve"> of month distributed for Refilling Kits since last full kit distribution</t>
    </r>
  </si>
  <si>
    <t>Next distribution to be done</t>
  </si>
  <si>
    <t>None</t>
  </si>
  <si>
    <t>Population for Actual water needs coverage</t>
  </si>
  <si>
    <t>Population for Estimated need coverage in 2 months</t>
  </si>
  <si>
    <t>Population for of actual need covered by emergency facilities</t>
  </si>
  <si>
    <t>Population for Potential % of actual need coverage including houshold treatment solution</t>
  </si>
  <si>
    <t>Population for access of safe water drinking permanent water point</t>
  </si>
  <si>
    <t>Population for % Emergency latrines</t>
  </si>
  <si>
    <t>Population for % Latrine needs coverage</t>
  </si>
  <si>
    <t>Population for % Semi permanent latrine</t>
  </si>
  <si>
    <t>Population for % Estimated coverage of latrine need at the end of project</t>
  </si>
  <si>
    <t>Population Coverage Bathing %</t>
  </si>
  <si>
    <t>Population for  Estimated coverage of bathroom need at the end of projects  % with gender speration</t>
  </si>
  <si>
    <t>Maing Khaung Baptist Church</t>
  </si>
  <si>
    <t>Maing Khaung Catholic Church</t>
  </si>
  <si>
    <t>Cluster 10</t>
  </si>
  <si>
    <t xml:space="preserve">Nawng Ing (Indawgyi) Baptist Church  </t>
  </si>
  <si>
    <t>Naung Khaing</t>
  </si>
  <si>
    <t>Machanbaw</t>
  </si>
  <si>
    <t>Machanbaw-KBC</t>
  </si>
  <si>
    <t xml:space="preserve">Loi Je Nyaung Na Pin </t>
  </si>
  <si>
    <t xml:space="preserve">Loi Je Seng Ja </t>
  </si>
  <si>
    <t>KACHIN EMERGENCY FUNDS ANALYSIS</t>
  </si>
  <si>
    <t>DONORS FUND PARTICIPATION *</t>
  </si>
  <si>
    <t>Year fund received</t>
  </si>
  <si>
    <t>Sum of Total budget of the project US$. For only WASH related cost (including related support costs)</t>
  </si>
  <si>
    <t>Donor</t>
  </si>
  <si>
    <t>ECHO</t>
  </si>
  <si>
    <t>Germany</t>
  </si>
  <si>
    <t>HMSF</t>
  </si>
  <si>
    <t>OFDA</t>
  </si>
  <si>
    <t>CERF</t>
  </si>
  <si>
    <t>Canada</t>
  </si>
  <si>
    <t>Australian</t>
  </si>
  <si>
    <t>France</t>
  </si>
  <si>
    <t>Sweden</t>
  </si>
  <si>
    <t>CIDA</t>
  </si>
  <si>
    <t>*Unicef should be retriewed in the filter to avoid double counting of UNICEF funds received and PCA with NGO</t>
  </si>
  <si>
    <t>FUND RECEIVED PER YEAR</t>
  </si>
  <si>
    <t>APPROXIMATE FUND USE/ENGAGED PER YEAR*</t>
  </si>
  <si>
    <t>GEOGRAPHIC FUND REPARTITION</t>
  </si>
  <si>
    <t>% fund attributed for Northern Shan</t>
  </si>
  <si>
    <t xml:space="preserve"> % fund attributed for South Kachin</t>
  </si>
  <si>
    <t xml:space="preserve"> % funds attributed for North kachin</t>
  </si>
  <si>
    <t>Average of Approximative % of NGCA beneficiaries</t>
  </si>
  <si>
    <t>Average of Approximative % of GCA beneficiaries</t>
  </si>
  <si>
    <t>BENEFICIARIES REPARTITION</t>
  </si>
  <si>
    <t>Average of Approximate % of beneficiaries in host community</t>
  </si>
  <si>
    <t>Average of Approximate % of beneficiaries in camps</t>
  </si>
  <si>
    <t>FUNDS REPARTITION BY SUB-SECTOR</t>
  </si>
  <si>
    <t>Average of Approximate % of fund dedicated to sanitation</t>
  </si>
  <si>
    <t>Average of Approximate % fund dedicated to Water access</t>
  </si>
  <si>
    <t>Average of Approximate % of fund dedicated to HP</t>
  </si>
  <si>
    <t>NB OF BENEFICIARIES PER SUB-SECTOR IN CAMPS</t>
  </si>
  <si>
    <t>Number of sanitation beneficiaries</t>
  </si>
  <si>
    <t>Number of water access beneficiaries</t>
  </si>
  <si>
    <t xml:space="preserve"> Number of beneficiairies for HE</t>
  </si>
  <si>
    <t>NB OF BENEFICIARIES IN HOST COMMUNITIES</t>
  </si>
  <si>
    <t>Agency leading the project</t>
  </si>
  <si>
    <t xml:space="preserve"> Nb of sanitation beneficiaries</t>
  </si>
  <si>
    <t>Nb of water access beneficiaries</t>
  </si>
  <si>
    <t>Nb of beneficiairies for HE in host</t>
  </si>
  <si>
    <t>Last update:</t>
  </si>
  <si>
    <t>KACHIN EMMERGENCY FUNDING MATRIX</t>
  </si>
  <si>
    <t>Beneficiaries target  detail by type and sub-sector</t>
  </si>
  <si>
    <t>General</t>
  </si>
  <si>
    <t>Details</t>
  </si>
  <si>
    <t>Beneficiaries</t>
  </si>
  <si>
    <t>Camps</t>
  </si>
  <si>
    <t>Other than camp 
(Host communities, villages...)</t>
  </si>
  <si>
    <t>Budget details</t>
  </si>
  <si>
    <t xml:space="preserve">Implementing or consortium partner  </t>
  </si>
  <si>
    <t>cofunding donors</t>
  </si>
  <si>
    <t>Name of the project</t>
  </si>
  <si>
    <t>Project start date 
 dd/mm/yy</t>
  </si>
  <si>
    <t>Project end date  dd/mm/yy</t>
  </si>
  <si>
    <t>Status of the project</t>
  </si>
  <si>
    <t>Total Nb of wash beneficiaries</t>
  </si>
  <si>
    <t>Approximative % of NGCA beneficiaries</t>
  </si>
  <si>
    <t>Approximative % of GCA beneficiaries</t>
  </si>
  <si>
    <t>% Northern Shan</t>
  </si>
  <si>
    <t>%South Kachin</t>
  </si>
  <si>
    <t>%North kachin</t>
  </si>
  <si>
    <t>Approximate % of beneficiaries in camps</t>
  </si>
  <si>
    <t>Approximate % of beneficiaries in host community</t>
  </si>
  <si>
    <t>Nb of sanitation beneficiaries plan</t>
  </si>
  <si>
    <t>Nb of water access beneficiaries plan</t>
  </si>
  <si>
    <t>Nb of beneficiairies for HE</t>
  </si>
  <si>
    <t>Total budget of the project US$. For only WASH related cost (including related support costs)</t>
  </si>
  <si>
    <t>Approximate fund before 2014 regarding project date implementation</t>
  </si>
  <si>
    <t>Approximate fund 2014 regarding project date implementation</t>
  </si>
  <si>
    <t>Approximate fund % dedicated to camps population only</t>
  </si>
  <si>
    <t>Approximate % of fund dedicated to sanitation</t>
  </si>
  <si>
    <t>Approximate % fund dedicated to Water access</t>
  </si>
  <si>
    <t>Approximate % of fund dedicated to HP</t>
  </si>
  <si>
    <t>Miscellaneous Comments on project</t>
  </si>
  <si>
    <t>Provision of Hygiene and Sanitation facilities for IDPs at Khaung Doke Khar, Say Tha Mar Gyi and Ohn Taw Gyi 2 camps at Sittwe Township in Rakhine State</t>
  </si>
  <si>
    <t>Emergency support for people displaced by the conflict in Kachin State, Myanmar</t>
  </si>
  <si>
    <t>DWHH</t>
  </si>
  <si>
    <t xml:space="preserve"> Improvement of Community Drinking Water Supply and Strengthening of Communal Structures of Marginalised Population in Northern Shan State as well as Humanitarian Assistance to IDP due to the armed conflict in Kachin State (PN: 20121882.5)</t>
  </si>
  <si>
    <t>HIDA</t>
  </si>
  <si>
    <t>Provision of water and sanitation facilities, and non-food relief items - IDPs in Kachin State (M013859)</t>
  </si>
  <si>
    <t>Humanitarian Assistance to Internally Dispalced Persons in Kachin
Addendum</t>
  </si>
  <si>
    <t xml:space="preserve">Humanitarian Assistance to Internally Dispalced Persons in Kachin
</t>
  </si>
  <si>
    <t>Humanitarian Assistance to Internally Dispalced Persons in Kachin</t>
  </si>
  <si>
    <t>OCHA</t>
  </si>
  <si>
    <t>ERF</t>
  </si>
  <si>
    <t>Humanitarian assitance to internally displaced persons in Kachin State</t>
  </si>
  <si>
    <t>Supporting life saving health interventions in conflict affected populations in Northern Shan State, Myanmar</t>
  </si>
  <si>
    <t>Oxfam GB</t>
  </si>
  <si>
    <t>KBC/Shalom</t>
  </si>
  <si>
    <t>Australian
CIDA</t>
  </si>
  <si>
    <t>Emergency Response for Conflict-Affected Population in Kachin and Northern Shan</t>
  </si>
  <si>
    <t>Data input on 17/10/2013</t>
  </si>
  <si>
    <t>ECHO/CIDA</t>
  </si>
  <si>
    <t>Same project than previous one, co-financing</t>
  </si>
  <si>
    <t>ECHO/Australian</t>
  </si>
  <si>
    <t>Plan</t>
  </si>
  <si>
    <t>SCI</t>
  </si>
  <si>
    <t>Emergency Assistance to Conflict Affected Populations in Myanmar</t>
  </si>
  <si>
    <t>active</t>
  </si>
  <si>
    <t>Solidarities</t>
  </si>
  <si>
    <t>Emergency WASH support for the affected population in Southern Kachin State</t>
  </si>
  <si>
    <t>Water, Sanitation and Hygiene assistance for IDPs affected by the conflict in Southern Kachin State (ECHO/-XA/BUD/2012/91023)</t>
  </si>
  <si>
    <t>Part of global project including Rakhines. For activities the 58% remaining are for Winter kits and assesment of new sites.</t>
  </si>
  <si>
    <t xml:space="preserve"> WASH activities and distribution of non-food items in the Bhamo camps</t>
  </si>
  <si>
    <t>Completed</t>
  </si>
  <si>
    <t>UNICEF/OFDA</t>
  </si>
  <si>
    <t>Cofi-UNICEF-CERF//ECHO The reported beneficiaries are under the ECHO Project for both of those project // ----------------------------------------------------------------the remaining 35% for the distribution of Winter Kits</t>
  </si>
  <si>
    <t>Water, Sanitation and Hygiene rapid response to internal displacements in Kachin and Northern Shan States</t>
  </si>
  <si>
    <t>Integrated WaSH assistance to IDPs affected by conflict
 in Kachin State</t>
  </si>
  <si>
    <t>Trocaire</t>
  </si>
  <si>
    <t>Irland</t>
  </si>
  <si>
    <t>DIFID</t>
  </si>
  <si>
    <t>WASH activity and distribution of Hygiene Kits in Myitkyina and Lashio</t>
  </si>
  <si>
    <t>Secondment of a WASH emergency officer to UNICEF for work in Kachin</t>
  </si>
  <si>
    <t>Secondment of a WASH emergency Capacity building to UNICEF for work in Kachin</t>
  </si>
  <si>
    <t>List status</t>
  </si>
  <si>
    <t>In soumission</t>
  </si>
  <si>
    <t>Rajouter CERF recu et difference commited</t>
  </si>
  <si>
    <t>WASH CLUSTER STRATEGY QUANTITATIVE OBJECTIVE FOLLOW UP</t>
  </si>
  <si>
    <t>Target population</t>
  </si>
  <si>
    <t>Strategy target:</t>
  </si>
  <si>
    <t>Presently targetted</t>
  </si>
  <si>
    <t>% Targetted</t>
  </si>
  <si>
    <t>Remarks</t>
  </si>
  <si>
    <t>Target review in consideration of population update in 4W</t>
  </si>
  <si>
    <t>*Considered IDPs in CCCM matrix, but in fact living in their village of origin, with habitation destroyed</t>
  </si>
  <si>
    <r>
      <t xml:space="preserve">Indicators Follow up </t>
    </r>
    <r>
      <rPr>
        <b/>
        <i/>
        <sz val="11"/>
        <color theme="0"/>
        <rFont val="Calibri"/>
        <family val="2"/>
        <scheme val="minor"/>
      </rPr>
      <t>(only quantativally measurable, taken form cluster strategy)</t>
    </r>
  </si>
  <si>
    <t>Objective 1, indicators:</t>
  </si>
  <si>
    <t>Target</t>
  </si>
  <si>
    <t>Achieved</t>
  </si>
  <si>
    <t>Achieved with durable solution (excluding household treatment and emergency facilities)</t>
  </si>
  <si>
    <t>Verification sources</t>
  </si>
  <si>
    <r>
      <t xml:space="preserve">Percentage of targeted people whose safe drinking water needs are met
</t>
    </r>
    <r>
      <rPr>
        <i/>
        <sz val="11"/>
        <color theme="1"/>
        <rFont val="Calibri"/>
        <family val="2"/>
        <scheme val="minor"/>
      </rPr>
      <t>(Minimum 15 liter/persons; 0 coliforms)</t>
    </r>
  </si>
  <si>
    <t>4W</t>
  </si>
  <si>
    <t>Activity indicator (main one)</t>
  </si>
  <si>
    <t>Revised indicator measurement</t>
  </si>
  <si>
    <t>Upgraded water point by rehabilitation</t>
  </si>
  <si>
    <t>100% water point  respect Minimum standart</t>
  </si>
  <si>
    <t>Assessement</t>
  </si>
  <si>
    <t>New water point to be constructed</t>
  </si>
  <si>
    <t>Home water treatment in camps</t>
  </si>
  <si>
    <t>10,000 have access</t>
  </si>
  <si>
    <t>-</t>
  </si>
  <si>
    <t>Bathroom development</t>
  </si>
  <si>
    <t>Water harvesting</t>
  </si>
  <si>
    <t>Objective 2, indicators:</t>
  </si>
  <si>
    <t>Achieved with Sustanaible solution</t>
  </si>
  <si>
    <r>
      <t>Percentage of IDP population with access to semi-permanent safe excreta disposal, based on 1 latrine for 20 persons</t>
    </r>
    <r>
      <rPr>
        <b/>
        <sz val="11"/>
        <color theme="1"/>
        <rFont val="Calibri"/>
        <family val="2"/>
        <scheme val="minor"/>
      </rPr>
      <t xml:space="preserve"> in camps</t>
    </r>
  </si>
  <si>
    <t>Latrine construction in camps</t>
  </si>
  <si>
    <t>Hand Washing construction</t>
  </si>
  <si>
    <t>Incinerator</t>
  </si>
  <si>
    <t>To be added in 4W as indicator</t>
  </si>
  <si>
    <t>Latrine in TLS in camps</t>
  </si>
  <si>
    <t>100% need covered</t>
  </si>
  <si>
    <t>To better define the actual needs</t>
  </si>
  <si>
    <t>Objective 3, indicators:</t>
  </si>
  <si>
    <t>Percentage of population receiving regularly HP session</t>
  </si>
  <si>
    <t>N/A</t>
  </si>
  <si>
    <t>Percentage of population targetted receiving HK</t>
  </si>
  <si>
    <t>?</t>
  </si>
  <si>
    <t>HK distribution</t>
  </si>
  <si>
    <t>157,057 kit distributed</t>
  </si>
  <si>
    <t>Next month 4W should better precise</t>
  </si>
  <si>
    <t>Objective 4, indicators:</t>
  </si>
  <si>
    <t>Number of additional beneficiaries from surrounding communities who benefit from expanded services</t>
  </si>
  <si>
    <t xml:space="preserve">Develop WASH in schools approach in host communities </t>
  </si>
  <si>
    <t>Objective 5, indicators:</t>
  </si>
  <si>
    <t>Percentage of water points that are managed after six months by trained and properly equipped community water committee</t>
  </si>
  <si>
    <t>4W ajustment to realised</t>
  </si>
  <si>
    <t xml:space="preserve">Percentage of dysfunctional water points </t>
  </si>
  <si>
    <t xml:space="preserve"> remains below 15% of total points</t>
  </si>
  <si>
    <t>To include in monitoring tools</t>
  </si>
  <si>
    <t>Technical and organizational training to committees established</t>
  </si>
  <si>
    <t>100% of comitte strained and created</t>
  </si>
  <si>
    <t>To better develope 4W to adress that measurement</t>
  </si>
  <si>
    <t xml:space="preserve">IDP in GCA camps </t>
  </si>
  <si>
    <t>IDP in NGCA camps</t>
  </si>
  <si>
    <t>Student</t>
  </si>
  <si>
    <t>Small Scale emergency</t>
  </si>
  <si>
    <t>Camp</t>
  </si>
  <si>
    <t>School</t>
  </si>
  <si>
    <t>108 water point respecting minimum technical standart</t>
  </si>
  <si>
    <t>118 sustainale  water point missing</t>
  </si>
  <si>
    <t>1161 bathroom to be built</t>
  </si>
  <si>
    <t>1161 bathrom missing</t>
  </si>
  <si>
    <t xml:space="preserve">5,362 storage functional </t>
  </si>
  <si>
    <t>80% IDP in camp has Water Harvesting</t>
  </si>
  <si>
    <t>Potential Number permanent water point missing</t>
  </si>
  <si>
    <t>Number family having ceramic filter</t>
  </si>
  <si>
    <t>nb of persons having rain harvest acess</t>
  </si>
  <si>
    <t>Nb of missing bathing space</t>
  </si>
  <si>
    <t>2702 latrine to be built</t>
  </si>
  <si>
    <t>803 station to be built</t>
  </si>
  <si>
    <t>50 incinerators</t>
  </si>
  <si>
    <t>Nb of missing hand washing station</t>
  </si>
  <si>
    <t>10,000 studient</t>
  </si>
  <si>
    <t>Master 4W WASH  ANALYSIS</t>
  </si>
  <si>
    <t>Master 4W WASH KACHIN</t>
  </si>
  <si>
    <t>Namtu Baptist</t>
  </si>
  <si>
    <t>Doke Htan Ward</t>
  </si>
  <si>
    <t>Village</t>
  </si>
  <si>
    <t>Mu-yin Baptist Church</t>
  </si>
  <si>
    <t>Agritural Compound (KBC)</t>
  </si>
  <si>
    <t>Kachin Su Baptist Church (ECCD)</t>
  </si>
  <si>
    <t>Khar Nan (1) Baptist Church</t>
  </si>
  <si>
    <t>Man Bung Edin Baptist Church</t>
  </si>
  <si>
    <t xml:space="preserve">Tarli </t>
  </si>
  <si>
    <t>SC and Metta will organize for WASH committee forming</t>
  </si>
  <si>
    <t>Namkham</t>
  </si>
  <si>
    <t>Bang Lung</t>
  </si>
  <si>
    <t>Jaw 2</t>
  </si>
  <si>
    <t xml:space="preserve">these IDPs are using nearest water sources </t>
  </si>
  <si>
    <t>Chipwi (School coumpound)</t>
  </si>
  <si>
    <t>NA</t>
  </si>
  <si>
    <t>Japan</t>
  </si>
  <si>
    <t>Emergency WASH assistance and Food Security and Livelihood support to vulnerable populations affected by conflicts in Rakhine and Kachin States</t>
  </si>
  <si>
    <t>SC seed funding</t>
  </si>
  <si>
    <t>MMR Kachin  Humanitarian Response</t>
  </si>
  <si>
    <t>Humanitarian assistance to populations affected by vioence in Rakhine &amp; Kachin States</t>
  </si>
  <si>
    <t>SIDA</t>
  </si>
  <si>
    <t>MMR Emergency assistance to populations affected by displacement and violence in Kachin State</t>
  </si>
  <si>
    <t>Muse KBC Church</t>
  </si>
  <si>
    <t>Muse RC Church</t>
  </si>
  <si>
    <t>Loi Je RC Boarding School</t>
  </si>
  <si>
    <t>Camp_P_Code</t>
  </si>
  <si>
    <t>MMR001CMP001</t>
  </si>
  <si>
    <t>MMR001CMP002</t>
  </si>
  <si>
    <t>MMR001CMP003</t>
  </si>
  <si>
    <t>MMR001CMP004</t>
  </si>
  <si>
    <t>MMR001CMP005</t>
  </si>
  <si>
    <t>MMR001CMP006</t>
  </si>
  <si>
    <t>MMR001CMP007</t>
  </si>
  <si>
    <t>MMR001CMP009</t>
  </si>
  <si>
    <t>MMR001CMP008</t>
  </si>
  <si>
    <t>MMR001CMP010</t>
  </si>
  <si>
    <t>MMR001CMP011</t>
  </si>
  <si>
    <t>MMR001CMP012</t>
  </si>
  <si>
    <t>MMR001CMP013</t>
  </si>
  <si>
    <t>MMR001CMP014</t>
  </si>
  <si>
    <t>MMR001CMP015</t>
  </si>
  <si>
    <t>MMR001CMP016</t>
  </si>
  <si>
    <t>MMR001CMP018</t>
  </si>
  <si>
    <t>MMR001CMP019</t>
  </si>
  <si>
    <t>MMR001CMP020</t>
  </si>
  <si>
    <t>MMR001CMP021</t>
  </si>
  <si>
    <t>MMR001CMP022</t>
  </si>
  <si>
    <t>MMR001CMP023</t>
  </si>
  <si>
    <t>MMR001CMP024</t>
  </si>
  <si>
    <t>MMR001CMP162</t>
  </si>
  <si>
    <t>MMR001CMP050</t>
  </si>
  <si>
    <t>MMR001CMP194</t>
  </si>
  <si>
    <t>MMR001CMP052</t>
  </si>
  <si>
    <t>MMR001CMP049</t>
  </si>
  <si>
    <t>MMR001CMP051</t>
  </si>
  <si>
    <t>MMR001CMP054</t>
  </si>
  <si>
    <t>MMR001CMP193</t>
  </si>
  <si>
    <t>MMR001CMP047</t>
  </si>
  <si>
    <t>MMR001CMP055</t>
  </si>
  <si>
    <t>MMR001CMP053</t>
  </si>
  <si>
    <t>MMR001CMP042</t>
  </si>
  <si>
    <t>MMR001CMP043</t>
  </si>
  <si>
    <t>MMR001CMP195</t>
  </si>
  <si>
    <t>MMR001CMP210</t>
  </si>
  <si>
    <t>MMR001CMP179</t>
  </si>
  <si>
    <t>MMR001CMP168</t>
  </si>
  <si>
    <t>MMR001CMP176</t>
  </si>
  <si>
    <t>MMR001CMP190</t>
  </si>
  <si>
    <t>MMR001CMP169</t>
  </si>
  <si>
    <t>MMR001CMP188</t>
  </si>
  <si>
    <t>MMR001CMP109</t>
  </si>
  <si>
    <t>MMR001CMP174</t>
  </si>
  <si>
    <t>MMR001CMP148</t>
  </si>
  <si>
    <t>MMR001CMP191</t>
  </si>
  <si>
    <t>MMR001CMP181</t>
  </si>
  <si>
    <t>MMR001CMP167</t>
  </si>
  <si>
    <t>MMR001CMP091</t>
  </si>
  <si>
    <t>MMR001CMP192</t>
  </si>
  <si>
    <t>MMR001CMP103</t>
  </si>
  <si>
    <t>MMR001CMP182</t>
  </si>
  <si>
    <t>MMR001CMP183</t>
  </si>
  <si>
    <t>MMR001CMP184</t>
  </si>
  <si>
    <t>MMR001CMP105</t>
  </si>
  <si>
    <t>MMR001CMP074</t>
  </si>
  <si>
    <t>MMR015CMP015</t>
  </si>
  <si>
    <t>MMR015CMP016</t>
  </si>
  <si>
    <t>MMR015CMP017</t>
  </si>
  <si>
    <t>MMR015CMP018</t>
  </si>
  <si>
    <t>MMR015CMP006</t>
  </si>
  <si>
    <t>MMR015CMP019</t>
  </si>
  <si>
    <t>MMR015CMP007</t>
  </si>
  <si>
    <t>MMR015CMP020</t>
  </si>
  <si>
    <t>MMR001CMP221</t>
  </si>
  <si>
    <t>MMR001CMP129</t>
  </si>
  <si>
    <t>MMR001CMP202</t>
  </si>
  <si>
    <t>MMR001CMP128</t>
  </si>
  <si>
    <t>MMR001CMP212</t>
  </si>
  <si>
    <t>MMR001CMP213</t>
  </si>
  <si>
    <t>MMR001CMP133</t>
  </si>
  <si>
    <t>MMR001CMP132</t>
  </si>
  <si>
    <t>MMR001CMP066</t>
  </si>
  <si>
    <t>MMR001CMP077</t>
  </si>
  <si>
    <t>MMR001CMP079</t>
  </si>
  <si>
    <t>MMR001CMP078</t>
  </si>
  <si>
    <t>MMR001CMP080</t>
  </si>
  <si>
    <t>MMR001CMP152</t>
  </si>
  <si>
    <t>MMR001CMP123</t>
  </si>
  <si>
    <t>MMR001CMP197</t>
  </si>
  <si>
    <t>MMR001CMP122</t>
  </si>
  <si>
    <t>MMR001CMP121</t>
  </si>
  <si>
    <t>MMR001CMP200</t>
  </si>
  <si>
    <t>MMR001CMP071</t>
  </si>
  <si>
    <t>MMR001CMP069</t>
  </si>
  <si>
    <t>MMR001CMP070</t>
  </si>
  <si>
    <t>MMR001CMP064</t>
  </si>
  <si>
    <t>MMR001CMP062</t>
  </si>
  <si>
    <t>MMR001CMP063</t>
  </si>
  <si>
    <t>MMR001CMP058</t>
  </si>
  <si>
    <t>MMR001CMP056</t>
  </si>
  <si>
    <t>MMR001CMP061</t>
  </si>
  <si>
    <t>MMR001CMP059</t>
  </si>
  <si>
    <t>MMR001CMP060</t>
  </si>
  <si>
    <t>MMR015CMP004</t>
  </si>
  <si>
    <t>MMR015CMP001</t>
  </si>
  <si>
    <t>MMR015CMP003</t>
  </si>
  <si>
    <t>MMR001CMP075</t>
  </si>
  <si>
    <t>MMR001CMP220</t>
  </si>
  <si>
    <t>MMR001CMP067</t>
  </si>
  <si>
    <t>MMR001CMP068</t>
  </si>
  <si>
    <t>MMR001CMP199</t>
  </si>
  <si>
    <t>MMR001CMP113</t>
  </si>
  <si>
    <t>MMR001CMP028</t>
  </si>
  <si>
    <t>MMR001CMP115</t>
  </si>
  <si>
    <t>MMR001CMP208</t>
  </si>
  <si>
    <t>MMR001CMP117</t>
  </si>
  <si>
    <t>MMR001CMP027</t>
  </si>
  <si>
    <t>MMR001CMP119</t>
  </si>
  <si>
    <t>MMR001CMP031</t>
  </si>
  <si>
    <t>MMR001CMP029</t>
  </si>
  <si>
    <t>MMR001CMP040</t>
  </si>
  <si>
    <t>MMR001CMP039</t>
  </si>
  <si>
    <t>MMR001CMP033</t>
  </si>
  <si>
    <t>MMR001CMP120</t>
  </si>
  <si>
    <t>MMR001CMP160</t>
  </si>
  <si>
    <t>MMR001CMP032</t>
  </si>
  <si>
    <t>MMR001CMP025</t>
  </si>
  <si>
    <t>MMR001CMP030</t>
  </si>
  <si>
    <t>MMR001CMP026</t>
  </si>
  <si>
    <t>MMR001CMP041</t>
  </si>
  <si>
    <t>MMR001CMP037</t>
  </si>
  <si>
    <t>MMR001CMP038</t>
  </si>
  <si>
    <t>MMR001CMP036</t>
  </si>
  <si>
    <t>MMR001CMP116</t>
  </si>
  <si>
    <t>MMR001CMP111</t>
  </si>
  <si>
    <t>MMR015CMP014</t>
  </si>
  <si>
    <t>MMR015CMP207</t>
  </si>
  <si>
    <t>Start fund</t>
  </si>
  <si>
    <t>Oxfam</t>
  </si>
  <si>
    <t>DFAT (AusAID)</t>
  </si>
  <si>
    <t>Emergency Response for Conflict-Affected Population in Kachin and Northern Shan 14/15</t>
  </si>
  <si>
    <t xml:space="preserve">Data input on 09/06/2014. Note this funding does not enable full coverage with hygiene kits in GCA camps. Oxfam will submit to UNICEF a proposal to cover the gap, but targeting will also be established this year due to increasing livlihoods and decreasing donor funds. </t>
  </si>
  <si>
    <t>Population</t>
  </si>
  <si>
    <r>
      <rPr>
        <b/>
        <sz val="12"/>
        <color theme="1"/>
        <rFont val="Cambria"/>
        <family val="1"/>
        <scheme val="major"/>
      </rPr>
      <t xml:space="preserve">UNICEF break down funds received </t>
    </r>
    <r>
      <rPr>
        <sz val="10"/>
        <color theme="1"/>
        <rFont val="Cambria"/>
        <family val="1"/>
        <scheme val="major"/>
      </rPr>
      <t>(Should not be double counted with UNICEF commited funds with PCA)</t>
    </r>
  </si>
  <si>
    <t>Tat Kone (Ra Da Kawng)</t>
  </si>
  <si>
    <t>Girl Boarding house, A Len Bum</t>
  </si>
  <si>
    <t>Boys Boarding house, A Len Bum</t>
  </si>
  <si>
    <t>Bum Tsit Pa * (1)</t>
  </si>
  <si>
    <t>Bum Tsit Pa * (2)</t>
  </si>
  <si>
    <t xml:space="preserve">Pa Kahtawng Boarding Middle School </t>
  </si>
  <si>
    <t xml:space="preserve">Pa Kahtawng Boarding High School </t>
  </si>
  <si>
    <t>Pa Kahtawng 2</t>
  </si>
  <si>
    <t>Pa Kahtawng 1B</t>
  </si>
  <si>
    <t>Pa Kahtawng 1 A</t>
  </si>
  <si>
    <t>Pa Kahtawng Host Families</t>
  </si>
  <si>
    <t>MWG -RC2</t>
  </si>
  <si>
    <t>Nam Hkawng/Manaung kaung</t>
  </si>
  <si>
    <t>Mandung - Jinghpaw</t>
  </si>
  <si>
    <t>Mandung - RC</t>
  </si>
  <si>
    <t>(Nam Hoi) Host families</t>
  </si>
  <si>
    <t>Gap</t>
  </si>
  <si>
    <t>Cesvi</t>
  </si>
  <si>
    <t>Desagregated GCA</t>
  </si>
  <si>
    <t>Desagregated NGCA</t>
  </si>
  <si>
    <r>
      <rPr>
        <b/>
        <sz val="10"/>
        <color rgb="FFFF0000"/>
        <rFont val="Calibri"/>
        <family val="2"/>
        <scheme val="minor"/>
      </rPr>
      <t>%</t>
    </r>
    <r>
      <rPr>
        <b/>
        <sz val="10"/>
        <color theme="1"/>
        <rFont val="Calibri"/>
        <family val="2"/>
        <scheme val="minor"/>
      </rPr>
      <t xml:space="preserve"> Household covered with Household filtration </t>
    </r>
  </si>
  <si>
    <t>Incinerator operational</t>
  </si>
  <si>
    <t xml:space="preserve">Development of Lifesaving WASH Facilities in tandem with New Shelter Construction for IDPs
</t>
  </si>
  <si>
    <t>DONORS FUNDS PARTICIPATION</t>
  </si>
  <si>
    <t>Sum of Approximate fund 2014 regarding project date implementation</t>
  </si>
  <si>
    <t>AD-2000 Extension camp</t>
  </si>
  <si>
    <t>Loi Je Lisu  (1) Camp</t>
  </si>
  <si>
    <t>Loi Je Lisu  (2) Camp</t>
  </si>
  <si>
    <t>Loi Je Lisu  (3) Camp</t>
  </si>
  <si>
    <t>MMR015CMP009</t>
  </si>
  <si>
    <t>HWS is not functioning, 1 SP was closed becoz of demage concrect ring</t>
  </si>
  <si>
    <t>have limited spaces to construct more latrines</t>
  </si>
  <si>
    <t>now all of HWS don't use , they wash their hands only in the Bathing Spaces</t>
  </si>
  <si>
    <t>lack of space in the camp for additional  latrine construction</t>
  </si>
  <si>
    <t>it has been planned 10 Semi permanent</t>
  </si>
  <si>
    <t>SCI have plan for hand washing</t>
  </si>
  <si>
    <t>SCI not yet plan (semi-permanent)</t>
  </si>
  <si>
    <t>MDCG supported WASH-Shelter as HH level (no need to construct semi-parmanent)</t>
  </si>
  <si>
    <t>MDCG + Metta supported WASH-Shelter as HH level (no need to construct semi-parmanent)</t>
  </si>
  <si>
    <t xml:space="preserve">community have practice as wash their hand at bathing space near the latrines </t>
  </si>
  <si>
    <t>MDCG supported WASH-Shelter as HH level (no need to construct semi-parmanent)/ bathing space was ongoing activities by Metta</t>
  </si>
  <si>
    <t>SCI will deal with NSS partners for basic HK distribution to cover the whole area</t>
  </si>
  <si>
    <t>information gap  (hard access)</t>
  </si>
  <si>
    <t>Sum of # Semi permanent latrines missing</t>
  </si>
  <si>
    <t>Sum of Coverage Full HK %</t>
  </si>
  <si>
    <t>Population receiving HP at HH level</t>
  </si>
  <si>
    <t>(blank)</t>
  </si>
  <si>
    <t>Count of Latrines gender sperated</t>
  </si>
  <si>
    <t>Targetted</t>
  </si>
  <si>
    <t>Count of Targetted</t>
  </si>
  <si>
    <t>Covered</t>
  </si>
  <si>
    <t>Not covered</t>
  </si>
  <si>
    <t>Count of Documented</t>
  </si>
  <si>
    <t>% Water Need coverage</t>
  </si>
  <si>
    <t>% Latrine need coverage</t>
  </si>
  <si>
    <t>% Bathroom need coverage</t>
  </si>
  <si>
    <t>%  Latrine need coverage</t>
  </si>
  <si>
    <t>Count of Rank coverage</t>
  </si>
  <si>
    <t>% Coverage Permanent Latrine</t>
  </si>
  <si>
    <t>% Coverage Emergency latrine</t>
  </si>
  <si>
    <t>%Coverage Permanent Latrine</t>
  </si>
  <si>
    <t>Nb of Familly affected</t>
  </si>
  <si>
    <t>% Coverage Full HK</t>
  </si>
  <si>
    <t>% Coverage HP session at HH level</t>
  </si>
  <si>
    <t>% Coverage projection end of project</t>
  </si>
  <si>
    <t>% Projection latrine need coverage EOP</t>
  </si>
  <si>
    <t>% Projection Bathrrom coverage EOP</t>
  </si>
  <si>
    <t>%  Coverage Emergency latrine</t>
  </si>
  <si>
    <r>
      <t xml:space="preserve"># of Bathing space </t>
    </r>
    <r>
      <rPr>
        <b/>
        <sz val="10"/>
        <color rgb="FFFF0000"/>
        <rFont val="Calibri"/>
        <family val="2"/>
        <scheme val="minor"/>
      </rPr>
      <t>(1 unit for 100 persons)</t>
    </r>
  </si>
  <si>
    <t>MMR001CMP172</t>
  </si>
  <si>
    <t>Baptist Church, Sai Ra village</t>
  </si>
  <si>
    <t>N-Lwe Yan</t>
  </si>
  <si>
    <t>Phan Khar Kone*</t>
  </si>
  <si>
    <t>Pa Kahtawng Primary House</t>
  </si>
  <si>
    <t>Clutural Compound</t>
  </si>
  <si>
    <t>separated</t>
  </si>
  <si>
    <t>Separated, clearly perceived</t>
  </si>
  <si>
    <t>small HH</t>
  </si>
  <si>
    <t>% Water coverage</t>
  </si>
  <si>
    <t>% Latrine coverage</t>
  </si>
  <si>
    <t>% Bathroom coverage</t>
  </si>
  <si>
    <t>DFAT</t>
  </si>
  <si>
    <t>Before 2014</t>
  </si>
  <si>
    <t>2014</t>
  </si>
  <si>
    <t>Visualisation for Snapshot</t>
  </si>
  <si>
    <t>Total targetted population</t>
  </si>
  <si>
    <t>Graph set up</t>
  </si>
  <si>
    <t>Target population reach</t>
  </si>
  <si>
    <t>Target population not reah</t>
  </si>
  <si>
    <t>Objective 1: water access</t>
  </si>
  <si>
    <t>Objective 2: sanitation access</t>
  </si>
  <si>
    <t>Objective 3: Hysgiene promotion</t>
  </si>
  <si>
    <t>Japanese</t>
  </si>
  <si>
    <t xml:space="preserve">OFDA </t>
  </si>
  <si>
    <t>WaSH assistance to IDPs affected by conflict
 in Kachin State</t>
  </si>
  <si>
    <t>MMR001CMP229</t>
  </si>
  <si>
    <t>MMR001CMP147</t>
  </si>
  <si>
    <t>Woi Chyai (Mong Lai)</t>
  </si>
  <si>
    <t>Woi Chyai  host families</t>
  </si>
  <si>
    <t>MMR001CMP227</t>
  </si>
  <si>
    <t>MMR001CMP072</t>
  </si>
  <si>
    <t>MMR001CMP073</t>
  </si>
  <si>
    <t>MMR001CMP131</t>
  </si>
  <si>
    <t>MMR001CMP126</t>
  </si>
  <si>
    <t>MMR001CMP196</t>
  </si>
  <si>
    <t>MMR001CMP163</t>
  </si>
  <si>
    <t>MMR001CMP230</t>
  </si>
  <si>
    <t>MMR001CMP228</t>
  </si>
  <si>
    <t>MMR015CMP213</t>
  </si>
  <si>
    <t>MMR015CMP216</t>
  </si>
  <si>
    <t>MMR015CMP139</t>
  </si>
  <si>
    <t>MMR015CMP215</t>
  </si>
  <si>
    <t>MMR015CMP214</t>
  </si>
  <si>
    <t>MMR015CMP209</t>
  </si>
  <si>
    <t>Not reachable location</t>
  </si>
  <si>
    <t>HH need more filter to coverage</t>
  </si>
  <si>
    <t>inforamtion gap</t>
  </si>
  <si>
    <t xml:space="preserve">inforamtion gap </t>
  </si>
  <si>
    <t>information gap</t>
  </si>
  <si>
    <t>have limited spaces to construct more latrines and WASH facilities</t>
  </si>
  <si>
    <t>Water Container 22 Gallon for 73HH  distributed, Rubbish Bin for 73 HH distributed,  Provided new Water tank for Water treatment.</t>
  </si>
  <si>
    <t>already set up</t>
  </si>
  <si>
    <t>SANITATION</t>
  </si>
  <si>
    <t>HYGIENE KIT</t>
  </si>
  <si>
    <t>Project Analysis</t>
  </si>
  <si>
    <t>Approximate Fund 2015 regarding project date implementation</t>
  </si>
  <si>
    <t>2015</t>
  </si>
  <si>
    <t>Improving water access, hygiene and sanitation conditions of the conflict affected population in Kachin and Rakhine States</t>
  </si>
  <si>
    <t>Solidarites</t>
  </si>
  <si>
    <t>Part of global project including Rakhine State</t>
  </si>
  <si>
    <t>Water, Sanitation and Hygiene rapid response for people affected by conflict induced displacements and natural disasters in Kachin and Northern Shan States</t>
  </si>
  <si>
    <t>The targeting of beneifciaries cannot be detailed as this project aims at answering to new emergency following displacement or natural hazards</t>
  </si>
  <si>
    <t>IDP in host community</t>
  </si>
  <si>
    <t>To be measured through partner EP&amp;R action, cumulative</t>
  </si>
  <si>
    <t>Population targetted</t>
  </si>
  <si>
    <t>Nb of sites</t>
  </si>
  <si>
    <t>Emergency support for displaced and hosting communities affected by the Kachin conflict, Myanmar</t>
  </si>
  <si>
    <t>Lone Sut</t>
  </si>
  <si>
    <t>Bum Tsit Pa * (3)</t>
  </si>
  <si>
    <t>Momauk Host Families</t>
  </si>
  <si>
    <t>Bhamo Host Families</t>
  </si>
  <si>
    <t>Currently, according to water frozen KBC and Oxfam distributed a drinking water distribution, it was started in february 15.</t>
  </si>
  <si>
    <t>this place have a plan to relocate into Lone Sut camp</t>
  </si>
  <si>
    <t>106 CWF distributed on 27th February 15</t>
  </si>
  <si>
    <t>74 CWF distributed on 27th February 15 (with ICRC)</t>
  </si>
  <si>
    <t>28 CWF distri buted on 27th February 15</t>
  </si>
  <si>
    <t>240 CWF diistributed within 26th February 15</t>
  </si>
  <si>
    <t>CWF coverage changed due to SI ' KAP survey</t>
  </si>
  <si>
    <t>due to land owner filled the land the bathing sapce construction have removed</t>
  </si>
  <si>
    <t>HWS is not functioning/ due to land limited the bathing space construction have hard to implement</t>
  </si>
  <si>
    <t xml:space="preserve">due to IDPs make and sued individual bathing space, no need to construct more. And also land limited. </t>
  </si>
  <si>
    <t xml:space="preserve">have limited spaces to construct more sanitation facilities. </t>
  </si>
  <si>
    <t>7 SPL to be constructed by March/April 2015</t>
  </si>
  <si>
    <t>3 SPL to be constructed by March/April 2015</t>
  </si>
  <si>
    <t>8SPL to be constructed by March/April 2015</t>
  </si>
  <si>
    <t>the 20 semi-permanent latrine are constructed by KBC</t>
  </si>
  <si>
    <t>project gap</t>
  </si>
  <si>
    <t>temporary  incinerator not functioning</t>
  </si>
  <si>
    <t>temporary incinerator have implemented as pilot by Oxfam but it was not functioning now</t>
  </si>
  <si>
    <t xml:space="preserve">6 temporary  incinerator was not functioning </t>
  </si>
  <si>
    <t>need to follow up WASH committee situation within coming cluster meeting</t>
  </si>
  <si>
    <t>60-80%</t>
  </si>
  <si>
    <t>Review target HRP 2015</t>
  </si>
  <si>
    <t>Nb of affected household</t>
  </si>
  <si>
    <t>Separated</t>
  </si>
  <si>
    <t>due to lack of running cost, the HWS facilities have not functioing, hard to construct SPL bcoz of materials not easily availiable</t>
  </si>
  <si>
    <t>2 Hygiene promoter assigned by KMSS gap from Jan 2015, although they have enough latrine, some go outside for open defecation mainly on children (Hygiene Promotion) still need to implement</t>
  </si>
  <si>
    <t>no spaces to construct more latrines and bathing spaces/ now church committee let them to use only in 5 latrines, if they wish, they can go to the church student hostel latrine/ /they have a plan to shilft to the Lal Pyin Qtr of Hpakant,</t>
  </si>
  <si>
    <t xml:space="preserve">land spaces are limited, due to lack of running cost, the HWS facilities have not functioing,  if repair  and dig pit. 2-3 latrines can be used, </t>
  </si>
  <si>
    <t>1 tube well is not functioning</t>
  </si>
  <si>
    <t>small HH, wash their hand on the bathing space</t>
  </si>
  <si>
    <t>IDPs can fetach a water from 1 well that situated outside of a camp</t>
  </si>
  <si>
    <t xml:space="preserve">Not have enough space to construct more bathing spaces </t>
  </si>
  <si>
    <t>land limited for more semi-permanent latrine construciton, 6 semi permanent latrine already existed, church committee let them to use in 3, but if trouble, they church committee can share</t>
  </si>
  <si>
    <t>information gap (hard access)</t>
  </si>
  <si>
    <t>1 SPL already closed bcoz of nearing the dining room (can move to other place)</t>
  </si>
  <si>
    <t>HWS is not functioning, 1 latrien pit already exised , just to move the frame</t>
  </si>
  <si>
    <t>start water shortage (start to water turbid)/CWF already distributed</t>
  </si>
  <si>
    <t>have limited spaces to construct more latrines, 1 BS can be repair by updating water supply system</t>
  </si>
  <si>
    <t>KBC didn't have plan to construct sanitation facilities</t>
  </si>
  <si>
    <t>KBC contacted with SI to disbtirubte HK</t>
  </si>
  <si>
    <t>will move to lone sut camp</t>
  </si>
  <si>
    <t>hard to implement due to rocky, logistic issues</t>
  </si>
  <si>
    <t xml:space="preserve"> all hand washing not functioning due to tap broken, bottle moved out. </t>
  </si>
  <si>
    <t xml:space="preserve"> all hand washing not functioning due to tap broken, bottle moved out.</t>
  </si>
  <si>
    <t xml:space="preserve">due to lack of running cost, the HWS facilities have not functioing/ 4 bathing space have constructed but all are not functioning currently/8-10 latrines closeed due to near shelter/need to renovate in some latrine </t>
  </si>
  <si>
    <t>all hand washing not functioning due to tap broken, bottle moved out.</t>
  </si>
  <si>
    <t>Please note that due to a lack of space in the camps, KBC cannot construct additional latrines. all hand washing not functioning due to tap broken, bottle moved out, under replacement. IDPs from Masat 3 are due to be relocated in May 2015.</t>
  </si>
  <si>
    <t>Need to Check update with SCI, Semi permanent lateins could not construction cause of land Issue</t>
  </si>
  <si>
    <t>No Plan for Semi permanent latrines construction</t>
  </si>
  <si>
    <t>Land issuse for latrines coverage</t>
  </si>
  <si>
    <t>Emergency Latrines need to renovate</t>
  </si>
  <si>
    <t xml:space="preserve"> KMSS will distribute Hugiene kit</t>
  </si>
  <si>
    <t>Hseni</t>
  </si>
  <si>
    <t>MMR001CMP231</t>
  </si>
  <si>
    <t>Ku Day Maw KBC</t>
  </si>
  <si>
    <t>Loi Je Lisu  (4) Camp</t>
  </si>
  <si>
    <t>Nam Ja Rap</t>
  </si>
  <si>
    <t>45-60%</t>
  </si>
  <si>
    <t>MMR001CMP225</t>
  </si>
  <si>
    <t xml:space="preserve">Pan Wa (Saw Zam) camp </t>
  </si>
  <si>
    <t>Mansi Host Families</t>
  </si>
  <si>
    <t>Shwegu Host Families</t>
  </si>
  <si>
    <t>31.Mar.2016</t>
  </si>
  <si>
    <t>68 chinese water filter distrubuted in 2014</t>
  </si>
  <si>
    <t>118 chinese water filter  distributed in 2014</t>
  </si>
  <si>
    <t>No space to dig up more hand dug well</t>
  </si>
  <si>
    <t>180 chinese water filter  distributed in 2014</t>
  </si>
  <si>
    <t>KBC not distributed CWF in this camp</t>
  </si>
  <si>
    <t>120 chinese water filter  distributed in 2014</t>
  </si>
  <si>
    <t>14 chinese water filter distributed 2014</t>
  </si>
  <si>
    <t>Currently, IDPs fetching a water from near wells inside from village. KBC will be install GFS and it will finish in May 15</t>
  </si>
  <si>
    <t>no information yet for water access</t>
  </si>
  <si>
    <t>30 chinese water filter distrubuted in 2014</t>
  </si>
  <si>
    <t>land space limited</t>
  </si>
  <si>
    <t xml:space="preserve">although 15 hand washing station on this camp, they do not use all of these HWS now. </t>
  </si>
  <si>
    <t>No spaces to construct more latrines and bathing spaces/ now church committee.</t>
  </si>
  <si>
    <t xml:space="preserve">And also land limited for new sanitation facitlies construction. But Church committee have a plan to relocate some people from this camp to another place. </t>
  </si>
  <si>
    <t xml:space="preserve"> all hand washing not functioning due to tap broken, bottle moved out. HPA also filled the latrines gap as emergency latrines construction consulted with KBC.</t>
  </si>
  <si>
    <t xml:space="preserve">due to IDPs make and used individual bathing space, no need to construct more. </t>
  </si>
  <si>
    <t xml:space="preserve">have limited spaces to construct more sanitation facilities. Some household has alaready moved to new location (have a plan to move all HHs to this new site. </t>
  </si>
  <si>
    <t>every host families HH have a latrine</t>
  </si>
  <si>
    <t>land limited for more semi-permanent latrine construciton and also for other sanitation facilities, they more preferred to take a bath near their  shelter.</t>
  </si>
  <si>
    <t xml:space="preserve"> all hand washing not functioning due to tap broken, bottle moved out. HPA also filled the latrines gap as emergency latrines construction consulted with KBC.  </t>
  </si>
  <si>
    <t xml:space="preserve">danitation data filling due to CESVI host families assessment </t>
  </si>
  <si>
    <t>some semi-latrines have closed by CMC to manage latrines usage</t>
  </si>
  <si>
    <t>Metta only distributed refill HK in 2015</t>
  </si>
  <si>
    <t>to follow up HK planning of CESVI</t>
  </si>
  <si>
    <t xml:space="preserve">Latest distribution of HK refill in April 15 </t>
  </si>
  <si>
    <t>Previously WASH team Myitkyina arrive to this camp to take HE 1 time per 3 month</t>
  </si>
  <si>
    <t xml:space="preserve">Functional and efficient. The number of people actually leaving in the camp is 93 HH (so around 500 people)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</si>
</sst>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_);_(* \(#,##0\);_(* &quot;-&quot;??_);_(@_)"/>
    <numFmt numFmtId="165" formatCode="[$-409]d/mmm/yy;@"/>
    <numFmt numFmtId="166" formatCode="dd/mm/yyyy"/>
    <numFmt numFmtId="167" formatCode="_-* #,##0.00_-;\-* #,##0.00_-;_-* &quot;-&quot;??_-;_-@_-"/>
    <numFmt numFmtId="168" formatCode="[$-409]dd\-mmm\-yy;@"/>
    <numFmt numFmtId="169" formatCode="[$-409]d\-mmm\-yy;@"/>
  </numFmts>
  <fonts count="75" x14ac:knownFonts="1">
    <font>
      <sz val="11"/>
      <color theme="1"/>
      <name val="Calibri"/>
      <family val="2"/>
      <scheme val="minor"/>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0"/>
      <name val="Arial"/>
      <family val="2"/>
    </font>
    <font>
      <sz val="9"/>
      <color indexed="81"/>
      <name val="Tahoma"/>
      <family val="2"/>
    </font>
    <font>
      <b/>
      <sz val="9"/>
      <color indexed="81"/>
      <name val="Tahoma"/>
      <family val="2"/>
    </font>
    <font>
      <b/>
      <sz val="10"/>
      <color indexed="8"/>
      <name val="Calibri"/>
      <family val="2"/>
    </font>
    <font>
      <b/>
      <sz val="12"/>
      <color indexed="10"/>
      <name val="Calibri"/>
      <family val="2"/>
    </font>
    <font>
      <b/>
      <sz val="10"/>
      <color indexed="10"/>
      <name val="Calibri"/>
      <family val="2"/>
    </font>
    <font>
      <sz val="18"/>
      <color indexed="8"/>
      <name val="Calibri"/>
      <family val="2"/>
    </font>
    <font>
      <b/>
      <sz val="18"/>
      <color indexed="8"/>
      <name val="Calibri"/>
      <family val="2"/>
    </font>
    <font>
      <sz val="11"/>
      <color theme="1"/>
      <name val="Calibri"/>
      <family val="2"/>
      <scheme val="minor"/>
    </font>
    <font>
      <b/>
      <sz val="11"/>
      <color theme="1"/>
      <name val="Calibri"/>
      <family val="2"/>
      <scheme val="minor"/>
    </font>
    <font>
      <sz val="10"/>
      <color theme="1"/>
      <name val="Arial Narrow"/>
      <family val="2"/>
    </font>
    <font>
      <b/>
      <sz val="12"/>
      <color theme="1"/>
      <name val="Calibri"/>
      <family val="2"/>
      <scheme val="minor"/>
    </font>
    <font>
      <b/>
      <sz val="10"/>
      <color theme="1"/>
      <name val="Calibri"/>
      <family val="2"/>
      <scheme val="minor"/>
    </font>
    <font>
      <sz val="10"/>
      <color theme="1"/>
      <name val="Calibri"/>
      <family val="2"/>
      <scheme val="minor"/>
    </font>
    <font>
      <b/>
      <sz val="14"/>
      <color theme="1"/>
      <name val="Calibri"/>
      <family val="2"/>
      <scheme val="minor"/>
    </font>
    <font>
      <b/>
      <sz val="12"/>
      <color theme="3" tint="0.39997558519241921"/>
      <name val="Calibri"/>
      <family val="2"/>
      <scheme val="minor"/>
    </font>
    <font>
      <sz val="12"/>
      <color theme="3" tint="0.39997558519241921"/>
      <name val="Calibri"/>
      <family val="2"/>
      <scheme val="minor"/>
    </font>
    <font>
      <sz val="10"/>
      <name val="Calibri"/>
      <family val="2"/>
      <scheme val="minor"/>
    </font>
    <font>
      <b/>
      <sz val="18"/>
      <color theme="1"/>
      <name val="Calibri"/>
      <family val="2"/>
      <scheme val="minor"/>
    </font>
    <font>
      <b/>
      <sz val="16"/>
      <color theme="3" tint="0.39997558519241921"/>
      <name val="Calibri"/>
      <family val="2"/>
      <scheme val="minor"/>
    </font>
    <font>
      <b/>
      <sz val="10"/>
      <color theme="1"/>
      <name val="Calibri"/>
      <family val="2"/>
    </font>
    <font>
      <b/>
      <sz val="20"/>
      <color theme="1"/>
      <name val="Calibri"/>
      <family val="2"/>
      <scheme val="minor"/>
    </font>
    <font>
      <b/>
      <sz val="14"/>
      <color theme="3" tint="0.39997558519241921"/>
      <name val="Calibri"/>
      <family val="2"/>
      <scheme val="minor"/>
    </font>
    <font>
      <i/>
      <sz val="11"/>
      <color theme="1"/>
      <name val="Calibri"/>
      <family val="2"/>
      <scheme val="minor"/>
    </font>
    <font>
      <b/>
      <sz val="10"/>
      <name val="Calibri"/>
      <family val="2"/>
    </font>
    <font>
      <b/>
      <sz val="14"/>
      <color indexed="10"/>
      <name val="Calibri"/>
      <family val="2"/>
    </font>
    <font>
      <b/>
      <sz val="14"/>
      <color indexed="8"/>
      <name val="Calibri"/>
      <family val="2"/>
    </font>
    <font>
      <b/>
      <sz val="12"/>
      <name val="Calibri"/>
      <family val="2"/>
      <scheme val="minor"/>
    </font>
    <font>
      <b/>
      <sz val="10"/>
      <color rgb="FFFF0000"/>
      <name val="Calibri"/>
      <family val="2"/>
      <scheme val="minor"/>
    </font>
    <font>
      <b/>
      <sz val="10"/>
      <name val="Calibri"/>
      <family val="2"/>
      <scheme val="minor"/>
    </font>
    <font>
      <b/>
      <sz val="11"/>
      <color rgb="FFFF0000"/>
      <name val="Calibri"/>
      <family val="2"/>
      <scheme val="minor"/>
    </font>
    <font>
      <i/>
      <sz val="11"/>
      <color rgb="FFFF0000"/>
      <name val="Calibri"/>
      <family val="2"/>
      <scheme val="minor"/>
    </font>
    <font>
      <sz val="10"/>
      <color rgb="FF0070C0"/>
      <name val="Arial Narrow"/>
      <family val="2"/>
    </font>
    <font>
      <b/>
      <sz val="10"/>
      <color rgb="FFFF0000"/>
      <name val="Calibri"/>
      <family val="2"/>
    </font>
    <font>
      <b/>
      <sz val="20"/>
      <color theme="0"/>
      <name val="Calibri"/>
      <family val="2"/>
      <scheme val="minor"/>
    </font>
    <font>
      <b/>
      <sz val="16"/>
      <color theme="0"/>
      <name val="Calibri"/>
      <family val="2"/>
      <scheme val="minor"/>
    </font>
    <font>
      <b/>
      <sz val="16"/>
      <color theme="1"/>
      <name val="Calibri"/>
      <family val="2"/>
      <scheme val="minor"/>
    </font>
    <font>
      <sz val="11"/>
      <color rgb="FFFF0000"/>
      <name val="Calibri"/>
      <family val="2"/>
      <scheme val="minor"/>
    </font>
    <font>
      <sz val="11"/>
      <name val="Calibri"/>
      <family val="2"/>
      <scheme val="minor"/>
    </font>
    <font>
      <i/>
      <sz val="10"/>
      <color theme="1"/>
      <name val="Calibri"/>
      <family val="2"/>
      <scheme val="minor"/>
    </font>
    <font>
      <b/>
      <i/>
      <sz val="11"/>
      <color theme="0"/>
      <name val="Calibri"/>
      <family val="2"/>
      <scheme val="minor"/>
    </font>
    <font>
      <sz val="12"/>
      <color theme="1"/>
      <name val="Calibri"/>
      <family val="2"/>
      <scheme val="minor"/>
    </font>
    <font>
      <i/>
      <sz val="12"/>
      <color theme="1"/>
      <name val="Calibri"/>
      <family val="2"/>
      <scheme val="minor"/>
    </font>
    <font>
      <i/>
      <sz val="9"/>
      <color theme="1"/>
      <name val="Calibri"/>
      <family val="2"/>
      <scheme val="minor"/>
    </font>
    <font>
      <sz val="12"/>
      <color rgb="FFFF0000"/>
      <name val="Calibri"/>
      <family val="2"/>
      <scheme val="minor"/>
    </font>
    <font>
      <b/>
      <sz val="14"/>
      <color rgb="FF000000"/>
      <name val="Calibri"/>
      <family val="2"/>
      <scheme val="minor"/>
    </font>
    <font>
      <sz val="10"/>
      <color theme="1"/>
      <name val="Cambria"/>
      <family val="1"/>
      <scheme val="major"/>
    </font>
    <font>
      <b/>
      <sz val="12"/>
      <color theme="1"/>
      <name val="Cambria"/>
      <family val="1"/>
      <scheme val="major"/>
    </font>
    <font>
      <b/>
      <sz val="14"/>
      <color theme="3" tint="0.39997558519241921"/>
      <name val="Cambria"/>
      <family val="1"/>
      <scheme val="major"/>
    </font>
    <font>
      <b/>
      <sz val="14"/>
      <name val="Cambria"/>
      <family val="1"/>
      <scheme val="major"/>
    </font>
    <font>
      <b/>
      <sz val="14"/>
      <color theme="1"/>
      <name val="Cambria"/>
      <family val="1"/>
      <scheme val="major"/>
    </font>
    <font>
      <b/>
      <sz val="10"/>
      <name val="Cambria"/>
      <family val="1"/>
      <scheme val="major"/>
    </font>
    <font>
      <b/>
      <sz val="10"/>
      <color theme="1"/>
      <name val="Cambria"/>
      <family val="1"/>
      <scheme val="major"/>
    </font>
    <font>
      <sz val="10"/>
      <name val="Cambria"/>
      <family val="1"/>
      <scheme val="major"/>
    </font>
    <font>
      <i/>
      <sz val="10"/>
      <color theme="1"/>
      <name val="Cambria"/>
      <family val="1"/>
      <scheme val="major"/>
    </font>
    <font>
      <sz val="10"/>
      <name val="MS Sans Serif"/>
      <family val="2"/>
    </font>
    <font>
      <b/>
      <sz val="8"/>
      <color indexed="81"/>
      <name val="Tahoma"/>
      <family val="2"/>
    </font>
    <font>
      <sz val="8"/>
      <color indexed="81"/>
      <name val="Tahoma"/>
      <family val="2"/>
    </font>
    <font>
      <sz val="11"/>
      <color theme="0" tint="-0.499984740745262"/>
      <name val="Calibri"/>
      <family val="2"/>
      <scheme val="minor"/>
    </font>
    <font>
      <i/>
      <sz val="11"/>
      <color theme="0" tint="-0.499984740745262"/>
      <name val="Calibri"/>
      <family val="2"/>
      <scheme val="minor"/>
    </font>
    <font>
      <b/>
      <sz val="11"/>
      <name val="Calibri"/>
      <family val="2"/>
      <scheme val="minor"/>
    </font>
    <font>
      <sz val="16"/>
      <color theme="1"/>
      <name val="Calibri"/>
      <family val="2"/>
      <scheme val="minor"/>
    </font>
    <font>
      <sz val="11"/>
      <color theme="0" tint="-0.249977111117893"/>
      <name val="Calibri"/>
      <family val="2"/>
      <scheme val="minor"/>
    </font>
    <font>
      <b/>
      <i/>
      <sz val="12"/>
      <color theme="1"/>
      <name val="Calibri"/>
      <family val="2"/>
      <scheme val="minor"/>
    </font>
    <font>
      <sz val="10"/>
      <color rgb="FFFF0000"/>
      <name val="Arial Narrow"/>
      <family val="2"/>
    </font>
    <font>
      <b/>
      <sz val="16"/>
      <color rgb="FFFF0000"/>
      <name val="Calibri"/>
      <family val="2"/>
      <scheme val="minor"/>
    </font>
    <font>
      <b/>
      <sz val="12"/>
      <color rgb="FFFF0000"/>
      <name val="Calibri"/>
      <family val="2"/>
      <scheme val="minor"/>
    </font>
    <font>
      <b/>
      <sz val="9"/>
      <color indexed="81"/>
      <name val="Tahoma"/>
      <charset val="1"/>
    </font>
    <font>
      <sz val="9"/>
      <color indexed="81"/>
      <name val="Tahoma"/>
      <charset val="1"/>
    </font>
    <font>
      <sz val="11"/>
      <color theme="1"/>
      <name val="Calibri"/>
      <scheme val="minor"/>
    </font>
  </fonts>
  <fills count="14">
    <fill>
      <patternFill patternType="none"/>
    </fill>
    <fill>
      <patternFill patternType="gray125"/>
    </fill>
    <fill>
      <patternFill patternType="solid">
        <fgColor theme="0"/>
        <bgColor indexed="64"/>
      </patternFill>
    </fill>
    <fill>
      <patternFill patternType="solid">
        <fgColor rgb="FFCCFFCC"/>
        <bgColor indexed="64"/>
      </patternFill>
    </fill>
    <fill>
      <patternFill patternType="solid">
        <fgColor rgb="FFCCCCFF"/>
        <bgColor indexed="64"/>
      </patternFill>
    </fill>
    <fill>
      <patternFill patternType="solid">
        <fgColor theme="0" tint="-0.249977111117893"/>
        <bgColor indexed="64"/>
      </patternFill>
    </fill>
    <fill>
      <patternFill patternType="solid">
        <fgColor rgb="FFFFFFCC"/>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92D050"/>
        <bgColor indexed="64"/>
      </patternFill>
    </fill>
  </fills>
  <borders count="146">
    <border>
      <left/>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ck">
        <color indexed="64"/>
      </left>
      <right style="thin">
        <color indexed="64"/>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diagonal/>
    </border>
    <border>
      <left style="thick">
        <color indexed="64"/>
      </left>
      <right/>
      <top/>
      <bottom style="thick">
        <color indexed="64"/>
      </bottom>
      <diagonal/>
    </border>
    <border>
      <left/>
      <right/>
      <top/>
      <bottom style="thick">
        <color indexed="64"/>
      </bottom>
      <diagonal/>
    </border>
    <border>
      <left style="thick">
        <color indexed="64"/>
      </left>
      <right/>
      <top/>
      <bottom/>
      <diagonal/>
    </border>
    <border>
      <left/>
      <right style="thick">
        <color indexed="64"/>
      </right>
      <top/>
      <bottom/>
      <diagonal/>
    </border>
    <border>
      <left/>
      <right style="thick">
        <color indexed="64"/>
      </right>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ck">
        <color indexed="64"/>
      </top>
      <bottom style="medium">
        <color indexed="64"/>
      </bottom>
      <diagonal/>
    </border>
    <border>
      <left style="medium">
        <color indexed="64"/>
      </left>
      <right/>
      <top style="medium">
        <color indexed="64"/>
      </top>
      <bottom/>
      <diagonal/>
    </border>
    <border>
      <left style="thick">
        <color indexed="64"/>
      </left>
      <right style="thin">
        <color indexed="64"/>
      </right>
      <top style="medium">
        <color indexed="64"/>
      </top>
      <bottom/>
      <diagonal/>
    </border>
    <border>
      <left style="thin">
        <color indexed="64"/>
      </left>
      <right style="thick">
        <color indexed="64"/>
      </right>
      <top/>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style="thin">
        <color rgb="FFABABAB"/>
      </left>
      <right/>
      <top/>
      <bottom/>
      <diagonal/>
    </border>
    <border>
      <left style="thin">
        <color rgb="FFABABAB"/>
      </left>
      <right style="thin">
        <color rgb="FFABABAB"/>
      </right>
      <top style="thin">
        <color rgb="FFABABAB"/>
      </top>
      <bottom style="thin">
        <color rgb="FFABABAB"/>
      </bottom>
      <diagonal/>
    </border>
    <border>
      <left style="thin">
        <color rgb="FFABABAB"/>
      </left>
      <right style="thin">
        <color rgb="FFABABAB"/>
      </right>
      <top style="thin">
        <color rgb="FFABABAB"/>
      </top>
      <bottom/>
      <diagonal/>
    </border>
    <border>
      <left style="thin">
        <color rgb="FFABABAB"/>
      </left>
      <right style="thin">
        <color rgb="FFABABAB"/>
      </right>
      <top/>
      <bottom/>
      <diagonal/>
    </border>
    <border>
      <left style="thin">
        <color rgb="FFABABAB"/>
      </left>
      <right/>
      <top style="thin">
        <color rgb="FFABABAB"/>
      </top>
      <bottom style="thin">
        <color rgb="FFABABAB"/>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thin">
        <color rgb="FFABABAB"/>
      </left>
      <right/>
      <top/>
      <bottom style="thin">
        <color rgb="FFABABAB"/>
      </bottom>
      <diagonal/>
    </border>
    <border>
      <left style="thin">
        <color rgb="FFABABAB"/>
      </left>
      <right style="thin">
        <color rgb="FFABABAB"/>
      </right>
      <top/>
      <bottom style="thin">
        <color rgb="FFABABAB"/>
      </bottom>
      <diagonal/>
    </border>
    <border>
      <left/>
      <right/>
      <top/>
      <bottom style="thin">
        <color rgb="FFABABAB"/>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thin">
        <color indexed="64"/>
      </right>
      <top/>
      <bottom/>
      <diagonal/>
    </border>
    <border>
      <left style="medium">
        <color indexed="64"/>
      </left>
      <right style="medium">
        <color indexed="64"/>
      </right>
      <top style="hair">
        <color indexed="64"/>
      </top>
      <bottom style="hair">
        <color indexed="64"/>
      </bottom>
      <diagonal/>
    </border>
    <border>
      <left/>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diagonal/>
    </border>
    <border>
      <left style="hair">
        <color indexed="64"/>
      </left>
      <right style="medium">
        <color indexed="64"/>
      </right>
      <top/>
      <bottom/>
      <diagonal/>
    </border>
    <border>
      <left style="thin">
        <color indexed="64"/>
      </left>
      <right style="hair">
        <color indexed="64"/>
      </right>
      <top/>
      <bottom/>
      <diagonal/>
    </border>
    <border>
      <left style="medium">
        <color indexed="64"/>
      </left>
      <right style="medium">
        <color indexed="64"/>
      </right>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style="thin">
        <color auto="1"/>
      </right>
      <top style="hair">
        <color indexed="64"/>
      </top>
      <bottom style="medium">
        <color indexed="64"/>
      </bottom>
      <diagonal/>
    </border>
    <border>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medium">
        <color indexed="64"/>
      </left>
      <right style="medium">
        <color indexed="64"/>
      </right>
      <top style="hair">
        <color indexed="64"/>
      </top>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medium">
        <color indexed="64"/>
      </left>
      <right style="medium">
        <color indexed="64"/>
      </right>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theme="0" tint="-0.24994659260841701"/>
      </left>
      <right style="thin">
        <color theme="0" tint="-0.24994659260841701"/>
      </right>
      <top style="thin">
        <color theme="0" tint="-0.24994659260841701"/>
      </top>
      <bottom style="hair">
        <color theme="0" tint="-0.24994659260841701"/>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theme="0" tint="-0.24994659260841701"/>
      </left>
      <right style="thin">
        <color theme="0" tint="-0.24994659260841701"/>
      </right>
      <top style="hair">
        <color theme="0" tint="-0.24994659260841701"/>
      </top>
      <bottom style="hair">
        <color theme="0" tint="-0.24994659260841701"/>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hair">
        <color theme="0" tint="-0.24994659260841701"/>
      </left>
      <right style="thin">
        <color theme="0" tint="-0.24994659260841701"/>
      </right>
      <top style="hair">
        <color theme="0" tint="-0.24994659260841701"/>
      </top>
      <bottom style="thin">
        <color theme="0"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bottom style="hair">
        <color theme="0" tint="-0.499984740745262"/>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s>
  <cellStyleXfs count="25">
    <xf numFmtId="0" fontId="0" fillId="0" borderId="0"/>
    <xf numFmtId="43" fontId="13" fillId="0" borderId="0" applyFont="0" applyFill="0" applyBorder="0" applyAlignment="0" applyProtection="0"/>
    <xf numFmtId="0" fontId="5" fillId="0" borderId="0"/>
    <xf numFmtId="9" fontId="13" fillId="0" borderId="0" applyFont="0" applyFill="0" applyBorder="0" applyAlignment="0" applyProtection="0"/>
    <xf numFmtId="165" fontId="13"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60" fillId="0" borderId="0" applyFont="0" applyFill="0" applyBorder="0" applyAlignment="0" applyProtection="0"/>
    <xf numFmtId="0" fontId="13" fillId="0" borderId="0"/>
    <xf numFmtId="0" fontId="13" fillId="0" borderId="0"/>
    <xf numFmtId="0" fontId="13" fillId="0" borderId="0"/>
    <xf numFmtId="0" fontId="5" fillId="0" borderId="0"/>
    <xf numFmtId="168" fontId="13"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722">
    <xf numFmtId="0" fontId="0" fillId="0" borderId="0" xfId="0"/>
    <xf numFmtId="0" fontId="0" fillId="2" borderId="0" xfId="0" applyFill="1"/>
    <xf numFmtId="0" fontId="0" fillId="5" borderId="15" xfId="0" applyFill="1" applyBorder="1"/>
    <xf numFmtId="0" fontId="0" fillId="5" borderId="0" xfId="0" applyFill="1" applyBorder="1"/>
    <xf numFmtId="0" fontId="0" fillId="5" borderId="16" xfId="0" applyFill="1" applyBorder="1"/>
    <xf numFmtId="0" fontId="14" fillId="5" borderId="0" xfId="0" applyFont="1" applyFill="1" applyBorder="1"/>
    <xf numFmtId="0" fontId="0" fillId="5" borderId="13" xfId="0" applyFill="1" applyBorder="1"/>
    <xf numFmtId="0" fontId="0" fillId="5" borderId="14" xfId="0" applyFill="1" applyBorder="1"/>
    <xf numFmtId="0" fontId="0" fillId="5" borderId="17" xfId="0" applyFill="1" applyBorder="1"/>
    <xf numFmtId="0" fontId="0" fillId="2" borderId="0" xfId="0" applyFill="1" applyAlignment="1">
      <alignment horizontal="center" vertical="center"/>
    </xf>
    <xf numFmtId="14" fontId="0" fillId="0" borderId="0" xfId="0" applyNumberFormat="1"/>
    <xf numFmtId="0" fontId="0" fillId="2" borderId="0" xfId="0" applyFill="1" applyAlignment="1">
      <alignment vertical="center" wrapText="1"/>
    </xf>
    <xf numFmtId="0" fontId="0" fillId="2" borderId="0" xfId="0" applyFill="1" applyBorder="1" applyAlignment="1">
      <alignment vertical="center" wrapText="1"/>
    </xf>
    <xf numFmtId="9" fontId="0" fillId="2" borderId="0" xfId="0" applyNumberFormat="1" applyFill="1" applyBorder="1" applyAlignment="1">
      <alignment vertical="center" wrapText="1"/>
    </xf>
    <xf numFmtId="0" fontId="0" fillId="2" borderId="0" xfId="0" applyFill="1" applyAlignment="1">
      <alignment horizontal="center" vertical="center" wrapText="1"/>
    </xf>
    <xf numFmtId="0" fontId="0" fillId="2" borderId="0" xfId="0" applyFill="1" applyBorder="1" applyAlignment="1">
      <alignment horizontal="center" vertical="center" wrapText="1"/>
    </xf>
    <xf numFmtId="9" fontId="0" fillId="2" borderId="0" xfId="0" applyNumberFormat="1" applyFill="1" applyBorder="1" applyAlignment="1">
      <alignment horizontal="center" vertical="center" wrapText="1"/>
    </xf>
    <xf numFmtId="0" fontId="0" fillId="2" borderId="0" xfId="0" applyNumberFormat="1" applyFill="1" applyBorder="1" applyAlignment="1">
      <alignment horizontal="center" vertical="center" wrapText="1"/>
    </xf>
    <xf numFmtId="0" fontId="15" fillId="2" borderId="0" xfId="0" applyFont="1" applyFill="1" applyBorder="1" applyAlignment="1" applyProtection="1">
      <alignment horizontal="left"/>
      <protection locked="0"/>
    </xf>
    <xf numFmtId="0" fontId="15" fillId="2" borderId="0" xfId="0" applyFont="1" applyFill="1" applyBorder="1" applyAlignment="1" applyProtection="1">
      <alignment horizontal="left"/>
    </xf>
    <xf numFmtId="0" fontId="20" fillId="5" borderId="9" xfId="0" applyFont="1" applyFill="1" applyBorder="1" applyAlignment="1" applyProtection="1">
      <alignment horizontal="right" vertical="center"/>
      <protection locked="0"/>
    </xf>
    <xf numFmtId="17" fontId="20" fillId="5" borderId="12" xfId="0" applyNumberFormat="1" applyFont="1" applyFill="1" applyBorder="1" applyAlignment="1" applyProtection="1">
      <alignment horizontal="center" vertical="center"/>
      <protection locked="0"/>
    </xf>
    <xf numFmtId="0" fontId="21" fillId="2" borderId="0" xfId="0" applyFont="1" applyFill="1" applyBorder="1" applyAlignment="1" applyProtection="1">
      <alignment horizontal="left" vertical="center"/>
      <protection locked="0"/>
    </xf>
    <xf numFmtId="164" fontId="20" fillId="2" borderId="0" xfId="1" applyNumberFormat="1" applyFont="1" applyFill="1" applyBorder="1" applyAlignment="1" applyProtection="1">
      <alignment horizontal="center" vertical="center"/>
      <protection locked="0"/>
    </xf>
    <xf numFmtId="0" fontId="15" fillId="2" borderId="0" xfId="0" applyFont="1" applyFill="1" applyBorder="1" applyAlignment="1" applyProtection="1">
      <alignment horizontal="center"/>
      <protection locked="0"/>
    </xf>
    <xf numFmtId="0" fontId="15" fillId="2" borderId="0" xfId="0" applyFont="1" applyFill="1" applyBorder="1" applyAlignment="1" applyProtection="1">
      <alignment horizontal="left" vertical="center"/>
      <protection locked="0"/>
    </xf>
    <xf numFmtId="0" fontId="0" fillId="0" borderId="0" xfId="0" applyAlignment="1">
      <alignment horizontal="left"/>
    </xf>
    <xf numFmtId="9" fontId="0" fillId="0" borderId="0" xfId="0" applyNumberFormat="1"/>
    <xf numFmtId="0" fontId="0" fillId="0" borderId="0" xfId="0" applyBorder="1"/>
    <xf numFmtId="0" fontId="0" fillId="0" borderId="0" xfId="0" pivotButton="1"/>
    <xf numFmtId="9" fontId="0" fillId="2" borderId="0" xfId="3" applyFont="1" applyFill="1" applyBorder="1" applyAlignment="1">
      <alignment vertical="center" wrapText="1"/>
    </xf>
    <xf numFmtId="0" fontId="20" fillId="5" borderId="25" xfId="0" applyFont="1" applyFill="1" applyBorder="1" applyAlignment="1" applyProtection="1">
      <alignment horizontal="right" vertical="center"/>
      <protection locked="0"/>
    </xf>
    <xf numFmtId="0" fontId="20" fillId="5" borderId="7" xfId="0" applyFont="1" applyFill="1" applyBorder="1" applyAlignment="1" applyProtection="1">
      <alignment horizontal="center" vertical="center"/>
      <protection locked="0"/>
    </xf>
    <xf numFmtId="0" fontId="19" fillId="3" borderId="5" xfId="0" applyFont="1" applyFill="1" applyBorder="1" applyAlignment="1" applyProtection="1">
      <alignment vertical="center"/>
      <protection locked="0"/>
    </xf>
    <xf numFmtId="0" fontId="20" fillId="5" borderId="12" xfId="0" applyFont="1" applyFill="1" applyBorder="1" applyAlignment="1" applyProtection="1">
      <alignment horizontal="right" vertical="center"/>
      <protection locked="0"/>
    </xf>
    <xf numFmtId="0" fontId="20" fillId="5" borderId="3" xfId="0" applyFont="1" applyFill="1" applyBorder="1" applyAlignment="1" applyProtection="1">
      <alignment horizontal="right" vertical="center"/>
      <protection locked="0"/>
    </xf>
    <xf numFmtId="0" fontId="27" fillId="5" borderId="21" xfId="0" applyFont="1" applyFill="1" applyBorder="1" applyAlignment="1">
      <alignment horizontal="left" vertical="center"/>
    </xf>
    <xf numFmtId="0" fontId="27" fillId="5" borderId="22" xfId="0" applyFont="1" applyFill="1" applyBorder="1" applyAlignment="1">
      <alignment horizontal="left" vertical="center"/>
    </xf>
    <xf numFmtId="0" fontId="35" fillId="2" borderId="0" xfId="0" applyFont="1" applyFill="1" applyBorder="1" applyAlignment="1">
      <alignment horizontal="right" vertical="center" wrapText="1"/>
    </xf>
    <xf numFmtId="0" fontId="36" fillId="2" borderId="0" xfId="0" applyFont="1" applyFill="1" applyBorder="1" applyAlignment="1">
      <alignment horizontal="left" vertical="center"/>
    </xf>
    <xf numFmtId="0" fontId="37" fillId="2" borderId="0" xfId="0" applyFont="1" applyFill="1" applyBorder="1" applyAlignment="1" applyProtection="1">
      <alignment horizontal="left"/>
      <protection locked="0"/>
    </xf>
    <xf numFmtId="165" fontId="13" fillId="2" borderId="0" xfId="4" applyFill="1" applyAlignment="1">
      <alignment vertical="center"/>
    </xf>
    <xf numFmtId="165" fontId="40" fillId="11" borderId="0" xfId="4" applyFont="1" applyFill="1" applyAlignment="1">
      <alignment vertical="center"/>
    </xf>
    <xf numFmtId="165" fontId="41" fillId="11" borderId="0" xfId="4" applyFont="1" applyFill="1" applyAlignment="1">
      <alignment vertical="center"/>
    </xf>
    <xf numFmtId="165" fontId="41" fillId="2" borderId="0" xfId="4" applyFont="1" applyFill="1" applyAlignment="1">
      <alignment vertical="center"/>
    </xf>
    <xf numFmtId="165" fontId="14" fillId="5" borderId="88" xfId="4" applyFont="1" applyFill="1" applyBorder="1" applyAlignment="1">
      <alignment horizontal="center" vertical="center"/>
    </xf>
    <xf numFmtId="165" fontId="14" fillId="5" borderId="89" xfId="4" applyFont="1" applyFill="1" applyBorder="1" applyAlignment="1">
      <alignment horizontal="center" vertical="center"/>
    </xf>
    <xf numFmtId="165" fontId="14" fillId="5" borderId="90" xfId="4" applyFont="1" applyFill="1" applyBorder="1" applyAlignment="1">
      <alignment horizontal="center" vertical="center"/>
    </xf>
    <xf numFmtId="165" fontId="0" fillId="2" borderId="63" xfId="4" applyFont="1" applyFill="1" applyBorder="1" applyAlignment="1">
      <alignment vertical="center"/>
    </xf>
    <xf numFmtId="3" fontId="13" fillId="2" borderId="59" xfId="4" applyNumberFormat="1" applyFill="1" applyBorder="1" applyAlignment="1">
      <alignment horizontal="center" vertical="center"/>
    </xf>
    <xf numFmtId="9" fontId="13" fillId="2" borderId="61" xfId="4" applyNumberFormat="1" applyFill="1" applyBorder="1" applyAlignment="1">
      <alignment horizontal="center" vertical="center"/>
    </xf>
    <xf numFmtId="9" fontId="13" fillId="2" borderId="62" xfId="4" applyNumberFormat="1" applyFill="1" applyBorder="1" applyAlignment="1">
      <alignment horizontal="left" vertical="center"/>
    </xf>
    <xf numFmtId="165" fontId="13" fillId="2" borderId="63" xfId="4" applyFill="1" applyBorder="1" applyAlignment="1">
      <alignment vertical="center"/>
    </xf>
    <xf numFmtId="9" fontId="13" fillId="2" borderId="62" xfId="4" applyNumberFormat="1" applyFill="1" applyBorder="1" applyAlignment="1">
      <alignment horizontal="left" vertical="center" wrapText="1"/>
    </xf>
    <xf numFmtId="3" fontId="43" fillId="2" borderId="59" xfId="4" applyNumberFormat="1" applyFont="1" applyFill="1" applyBorder="1" applyAlignment="1">
      <alignment horizontal="center" vertical="center"/>
    </xf>
    <xf numFmtId="165" fontId="13" fillId="2" borderId="91" xfId="4" applyFill="1" applyBorder="1" applyAlignment="1">
      <alignment vertical="center"/>
    </xf>
    <xf numFmtId="3" fontId="13" fillId="2" borderId="92" xfId="4" applyNumberFormat="1" applyFill="1" applyBorder="1" applyAlignment="1">
      <alignment horizontal="center" vertical="center"/>
    </xf>
    <xf numFmtId="165" fontId="13" fillId="2" borderId="92" xfId="4" applyFill="1" applyBorder="1" applyAlignment="1">
      <alignment horizontal="center" vertical="center"/>
    </xf>
    <xf numFmtId="3" fontId="13" fillId="2" borderId="0" xfId="4" applyNumberFormat="1" applyFill="1" applyAlignment="1">
      <alignment vertical="center"/>
    </xf>
    <xf numFmtId="165" fontId="44" fillId="2" borderId="0" xfId="4" applyFont="1" applyFill="1" applyAlignment="1">
      <alignment vertical="center"/>
    </xf>
    <xf numFmtId="165" fontId="40" fillId="2" borderId="0" xfId="4" applyFont="1" applyFill="1" applyAlignment="1">
      <alignment vertical="center"/>
    </xf>
    <xf numFmtId="165" fontId="35" fillId="5" borderId="87" xfId="4" applyFont="1" applyFill="1" applyBorder="1" applyAlignment="1">
      <alignment horizontal="center" vertical="center"/>
    </xf>
    <xf numFmtId="3" fontId="14" fillId="5" borderId="88" xfId="4" applyNumberFormat="1" applyFont="1" applyFill="1" applyBorder="1" applyAlignment="1">
      <alignment horizontal="center" vertical="center"/>
    </xf>
    <xf numFmtId="165" fontId="14" fillId="5" borderId="88" xfId="4" applyFont="1" applyFill="1" applyBorder="1" applyAlignment="1">
      <alignment horizontal="center" vertical="center" wrapText="1"/>
    </xf>
    <xf numFmtId="165" fontId="13" fillId="2" borderId="91" xfId="4" applyFill="1" applyBorder="1" applyAlignment="1">
      <alignment vertical="center" wrapText="1"/>
    </xf>
    <xf numFmtId="9" fontId="13" fillId="2" borderId="92" xfId="4" applyNumberFormat="1" applyFill="1" applyBorder="1" applyAlignment="1">
      <alignment horizontal="center" vertical="center"/>
    </xf>
    <xf numFmtId="165" fontId="13" fillId="2" borderId="27" xfId="4" applyFill="1" applyBorder="1" applyAlignment="1">
      <alignment horizontal="center" vertical="center"/>
    </xf>
    <xf numFmtId="165" fontId="13" fillId="2" borderId="95" xfId="4" applyFill="1" applyBorder="1" applyAlignment="1">
      <alignment vertical="center" wrapText="1"/>
    </xf>
    <xf numFmtId="165" fontId="14" fillId="5" borderId="87" xfId="4" applyFont="1" applyFill="1" applyBorder="1" applyAlignment="1">
      <alignment horizontal="center" vertical="center"/>
    </xf>
    <xf numFmtId="165" fontId="14" fillId="2" borderId="0" xfId="4" applyFont="1" applyFill="1" applyBorder="1" applyAlignment="1">
      <alignment horizontal="center" vertical="center"/>
    </xf>
    <xf numFmtId="0" fontId="13" fillId="2" borderId="59" xfId="4" applyNumberFormat="1" applyFill="1" applyBorder="1" applyAlignment="1">
      <alignment horizontal="center" vertical="center" wrapText="1"/>
    </xf>
    <xf numFmtId="165" fontId="13" fillId="2" borderId="59" xfId="4" applyFill="1" applyBorder="1" applyAlignment="1">
      <alignment horizontal="center" vertical="center" wrapText="1"/>
    </xf>
    <xf numFmtId="165" fontId="13" fillId="2" borderId="62" xfId="4" applyFill="1" applyBorder="1" applyAlignment="1">
      <alignment vertical="center" wrapText="1"/>
    </xf>
    <xf numFmtId="165" fontId="13" fillId="2" borderId="92" xfId="4" applyFill="1" applyBorder="1" applyAlignment="1">
      <alignment horizontal="center" vertical="center" wrapText="1"/>
    </xf>
    <xf numFmtId="165" fontId="13" fillId="2" borderId="94" xfId="4" applyFill="1" applyBorder="1" applyAlignment="1">
      <alignment vertical="center" wrapText="1"/>
    </xf>
    <xf numFmtId="165" fontId="13" fillId="2" borderId="75" xfId="4" applyFill="1" applyBorder="1" applyAlignment="1">
      <alignment vertical="center" wrapText="1"/>
    </xf>
    <xf numFmtId="9" fontId="13" fillId="2" borderId="47" xfId="4" applyNumberFormat="1" applyFill="1" applyBorder="1" applyAlignment="1">
      <alignment horizontal="center" vertical="center"/>
    </xf>
    <xf numFmtId="165" fontId="13" fillId="2" borderId="47" xfId="4" applyFill="1" applyBorder="1" applyAlignment="1">
      <alignment horizontal="center" vertical="center"/>
    </xf>
    <xf numFmtId="165" fontId="13" fillId="2" borderId="66" xfId="4" applyFill="1" applyBorder="1" applyAlignment="1">
      <alignment vertical="center" wrapText="1"/>
    </xf>
    <xf numFmtId="165" fontId="13" fillId="2" borderId="59" xfId="4" applyFill="1" applyBorder="1" applyAlignment="1">
      <alignment vertical="center" wrapText="1"/>
    </xf>
    <xf numFmtId="0" fontId="13" fillId="2" borderId="92" xfId="4" applyNumberFormat="1" applyFill="1" applyBorder="1" applyAlignment="1">
      <alignment vertical="center" wrapText="1"/>
    </xf>
    <xf numFmtId="165" fontId="13" fillId="2" borderId="92" xfId="4" applyFill="1" applyBorder="1" applyAlignment="1">
      <alignment vertical="center" wrapText="1"/>
    </xf>
    <xf numFmtId="165" fontId="13" fillId="2" borderId="93" xfId="4" applyFill="1" applyBorder="1" applyAlignment="1">
      <alignment vertical="center" wrapText="1"/>
    </xf>
    <xf numFmtId="165" fontId="13" fillId="2" borderId="0" xfId="4" applyFill="1" applyBorder="1" applyAlignment="1">
      <alignment vertical="center" wrapText="1"/>
    </xf>
    <xf numFmtId="165" fontId="13" fillId="2" borderId="27" xfId="4" applyFill="1" applyBorder="1" applyAlignment="1">
      <alignment vertical="center"/>
    </xf>
    <xf numFmtId="165" fontId="35" fillId="2" borderId="47" xfId="4" applyFont="1" applyFill="1" applyBorder="1" applyAlignment="1">
      <alignment horizontal="center" vertical="center"/>
    </xf>
    <xf numFmtId="165" fontId="13" fillId="2" borderId="47" xfId="4" applyFill="1" applyBorder="1" applyAlignment="1">
      <alignment vertical="center"/>
    </xf>
    <xf numFmtId="0" fontId="13" fillId="2" borderId="0" xfId="4" applyNumberFormat="1" applyFill="1" applyAlignment="1">
      <alignment vertical="center"/>
    </xf>
    <xf numFmtId="165" fontId="13" fillId="2" borderId="0" xfId="4" applyFill="1" applyAlignment="1">
      <alignment horizontal="center" vertical="center"/>
    </xf>
    <xf numFmtId="3" fontId="13" fillId="2" borderId="92" xfId="4" applyNumberFormat="1" applyFill="1" applyBorder="1" applyAlignment="1">
      <alignment horizontal="center" vertical="center" wrapText="1"/>
    </xf>
    <xf numFmtId="9" fontId="13" fillId="2" borderId="47" xfId="4" applyNumberFormat="1" applyFill="1" applyBorder="1" applyAlignment="1">
      <alignment horizontal="center" vertical="center" wrapText="1"/>
    </xf>
    <xf numFmtId="3" fontId="13" fillId="2" borderId="92" xfId="4" applyNumberFormat="1" applyFill="1" applyBorder="1" applyAlignment="1">
      <alignment vertical="center" wrapText="1"/>
    </xf>
    <xf numFmtId="0" fontId="46" fillId="2" borderId="0" xfId="5" applyFont="1" applyFill="1"/>
    <xf numFmtId="0" fontId="46" fillId="2" borderId="0" xfId="5" applyFont="1" applyFill="1" applyAlignment="1">
      <alignment wrapText="1"/>
    </xf>
    <xf numFmtId="0" fontId="46" fillId="2" borderId="0" xfId="5" applyFont="1" applyFill="1" applyAlignment="1">
      <alignment horizontal="center" vertical="center"/>
    </xf>
    <xf numFmtId="0" fontId="46" fillId="0" borderId="0" xfId="5" applyFont="1"/>
    <xf numFmtId="0" fontId="47" fillId="0" borderId="0" xfId="5" applyFont="1" applyAlignment="1">
      <alignment wrapText="1"/>
    </xf>
    <xf numFmtId="0" fontId="48" fillId="2" borderId="0" xfId="5" applyFont="1" applyFill="1" applyAlignment="1">
      <alignment vertical="center" wrapText="1"/>
    </xf>
    <xf numFmtId="0" fontId="49" fillId="0" borderId="0" xfId="5" applyFont="1"/>
    <xf numFmtId="0" fontId="46" fillId="0" borderId="0" xfId="5" applyFont="1" applyAlignment="1">
      <alignment wrapText="1"/>
    </xf>
    <xf numFmtId="0" fontId="46" fillId="0" borderId="0" xfId="5" applyFont="1" applyAlignment="1">
      <alignment horizontal="center" vertical="center"/>
    </xf>
    <xf numFmtId="0" fontId="50" fillId="0" borderId="0" xfId="5" applyFont="1" applyAlignment="1">
      <alignment horizontal="center" vertical="center" readingOrder="1"/>
    </xf>
    <xf numFmtId="3" fontId="42" fillId="2" borderId="59" xfId="4" applyNumberFormat="1" applyFont="1" applyFill="1" applyBorder="1" applyAlignment="1">
      <alignment horizontal="center" vertical="center"/>
    </xf>
    <xf numFmtId="9" fontId="0" fillId="2" borderId="62" xfId="4" applyNumberFormat="1" applyFont="1" applyFill="1" applyBorder="1" applyAlignment="1">
      <alignment horizontal="left" vertical="center"/>
    </xf>
    <xf numFmtId="0" fontId="0" fillId="2" borderId="59" xfId="4" applyNumberFormat="1" applyFont="1" applyFill="1" applyBorder="1" applyAlignment="1">
      <alignment horizontal="center" vertical="center" wrapText="1"/>
    </xf>
    <xf numFmtId="165" fontId="0" fillId="2" borderId="59" xfId="4" applyFont="1" applyFill="1" applyBorder="1" applyAlignment="1">
      <alignment horizontal="center" vertical="center" wrapText="1"/>
    </xf>
    <xf numFmtId="165" fontId="42" fillId="2" borderId="59" xfId="4" applyFont="1" applyFill="1" applyBorder="1" applyAlignment="1">
      <alignment horizontal="center" vertical="center" wrapText="1"/>
    </xf>
    <xf numFmtId="0" fontId="0" fillId="2" borderId="92" xfId="4" applyNumberFormat="1" applyFont="1" applyFill="1" applyBorder="1" applyAlignment="1">
      <alignment horizontal="center" vertical="center" wrapText="1"/>
    </xf>
    <xf numFmtId="165" fontId="0" fillId="2" borderId="92" xfId="4" applyFont="1" applyFill="1" applyBorder="1" applyAlignment="1">
      <alignment horizontal="center" vertical="center" wrapText="1"/>
    </xf>
    <xf numFmtId="1" fontId="13" fillId="2" borderId="59" xfId="4" applyNumberFormat="1" applyFill="1" applyBorder="1" applyAlignment="1">
      <alignment horizontal="center" vertical="center" wrapText="1"/>
    </xf>
    <xf numFmtId="9" fontId="13" fillId="2" borderId="92" xfId="4" applyNumberFormat="1" applyFill="1" applyBorder="1" applyAlignment="1">
      <alignment horizontal="center" vertical="center" wrapText="1"/>
    </xf>
    <xf numFmtId="0" fontId="0" fillId="2" borderId="59" xfId="4" applyNumberFormat="1" applyFont="1" applyFill="1" applyBorder="1" applyAlignment="1">
      <alignment vertical="center" wrapText="1"/>
    </xf>
    <xf numFmtId="1" fontId="42" fillId="2" borderId="59" xfId="4" applyNumberFormat="1" applyFont="1" applyFill="1" applyBorder="1" applyAlignment="1">
      <alignment horizontal="center" vertical="center" wrapText="1"/>
    </xf>
    <xf numFmtId="1" fontId="42" fillId="2" borderId="92" xfId="4" applyNumberFormat="1" applyFont="1" applyFill="1" applyBorder="1" applyAlignment="1">
      <alignment horizontal="center" vertical="center" wrapText="1"/>
    </xf>
    <xf numFmtId="9" fontId="0" fillId="2" borderId="92" xfId="4" applyNumberFormat="1" applyFont="1" applyFill="1" applyBorder="1" applyAlignment="1">
      <alignment horizontal="center" vertical="center"/>
    </xf>
    <xf numFmtId="3" fontId="0" fillId="2" borderId="92" xfId="4" applyNumberFormat="1" applyFont="1" applyFill="1" applyBorder="1" applyAlignment="1">
      <alignment horizontal="center" vertical="center"/>
    </xf>
    <xf numFmtId="0" fontId="17" fillId="6" borderId="49" xfId="0" applyFont="1" applyFill="1" applyBorder="1" applyAlignment="1" applyProtection="1">
      <alignment horizontal="center" vertical="center" wrapText="1"/>
    </xf>
    <xf numFmtId="0" fontId="22" fillId="5" borderId="96" xfId="0" applyFont="1" applyFill="1" applyBorder="1" applyAlignment="1" applyProtection="1">
      <alignment horizontal="center" vertical="center" wrapText="1"/>
      <protection locked="0"/>
    </xf>
    <xf numFmtId="2" fontId="13" fillId="2" borderId="59" xfId="4" applyNumberFormat="1" applyFill="1" applyBorder="1" applyAlignment="1">
      <alignment horizontal="center" vertical="center" wrapText="1"/>
    </xf>
    <xf numFmtId="0" fontId="14" fillId="0" borderId="0" xfId="0" applyFont="1"/>
    <xf numFmtId="165" fontId="63" fillId="2" borderId="94" xfId="4" applyFont="1" applyFill="1" applyBorder="1" applyAlignment="1">
      <alignment vertical="center" wrapText="1"/>
    </xf>
    <xf numFmtId="165" fontId="64" fillId="2" borderId="91" xfId="4" applyFont="1" applyFill="1" applyBorder="1" applyAlignment="1">
      <alignment vertical="center" wrapText="1"/>
    </xf>
    <xf numFmtId="165" fontId="64" fillId="2" borderId="107" xfId="4" applyFont="1" applyFill="1" applyBorder="1" applyAlignment="1">
      <alignment vertical="center" wrapText="1"/>
    </xf>
    <xf numFmtId="165" fontId="63" fillId="2" borderId="106" xfId="4" applyFont="1" applyFill="1" applyBorder="1" applyAlignment="1">
      <alignment vertical="center" wrapText="1"/>
    </xf>
    <xf numFmtId="165" fontId="13" fillId="2" borderId="63" xfId="4" applyFill="1" applyBorder="1" applyAlignment="1">
      <alignment vertical="center" wrapText="1"/>
    </xf>
    <xf numFmtId="9" fontId="13" fillId="2" borderId="59" xfId="4" applyNumberFormat="1" applyFill="1" applyBorder="1" applyAlignment="1">
      <alignment horizontal="center" vertical="center"/>
    </xf>
    <xf numFmtId="165" fontId="13" fillId="2" borderId="59" xfId="4" applyFill="1" applyBorder="1" applyAlignment="1">
      <alignment horizontal="center" vertical="center"/>
    </xf>
    <xf numFmtId="0" fontId="51" fillId="2" borderId="0" xfId="21" applyFont="1" applyFill="1" applyProtection="1">
      <protection locked="0"/>
    </xf>
    <xf numFmtId="3" fontId="51" fillId="2" borderId="0" xfId="21" applyNumberFormat="1" applyFont="1" applyFill="1" applyProtection="1">
      <protection locked="0"/>
    </xf>
    <xf numFmtId="3" fontId="51" fillId="2" borderId="46" xfId="21" applyNumberFormat="1" applyFont="1" applyFill="1" applyBorder="1" applyProtection="1">
      <protection locked="0"/>
    </xf>
    <xf numFmtId="3" fontId="51" fillId="2" borderId="48" xfId="21" applyNumberFormat="1" applyFont="1" applyFill="1" applyBorder="1" applyProtection="1">
      <protection locked="0"/>
    </xf>
    <xf numFmtId="0" fontId="51" fillId="2" borderId="0" xfId="21" applyFont="1" applyFill="1"/>
    <xf numFmtId="0" fontId="52" fillId="5" borderId="113" xfId="21" applyFont="1" applyFill="1" applyBorder="1" applyAlignment="1" applyProtection="1">
      <alignment horizontal="right" vertical="center"/>
      <protection locked="0"/>
    </xf>
    <xf numFmtId="15" fontId="53" fillId="5" borderId="113" xfId="21" applyNumberFormat="1" applyFont="1" applyFill="1" applyBorder="1" applyAlignment="1" applyProtection="1">
      <alignment horizontal="left" vertical="center"/>
      <protection locked="0"/>
    </xf>
    <xf numFmtId="0" fontId="51" fillId="5" borderId="114" xfId="21" applyFont="1" applyFill="1" applyBorder="1" applyProtection="1">
      <protection locked="0"/>
    </xf>
    <xf numFmtId="0" fontId="51" fillId="5" borderId="115" xfId="21" applyFont="1" applyFill="1" applyBorder="1" applyProtection="1">
      <protection locked="0"/>
    </xf>
    <xf numFmtId="0" fontId="52" fillId="8" borderId="115" xfId="21" applyFont="1" applyFill="1" applyBorder="1" applyAlignment="1" applyProtection="1">
      <alignment horizontal="center" vertical="center"/>
      <protection locked="0"/>
    </xf>
    <xf numFmtId="0" fontId="55" fillId="2" borderId="0" xfId="21" applyFont="1" applyFill="1" applyAlignment="1">
      <alignment horizontal="center" vertical="center"/>
    </xf>
    <xf numFmtId="0" fontId="56" fillId="4" borderId="50" xfId="21" applyFont="1" applyFill="1" applyBorder="1" applyAlignment="1">
      <alignment horizontal="center" vertical="center" wrapText="1"/>
    </xf>
    <xf numFmtId="0" fontId="56" fillId="4" borderId="51" xfId="21" applyFont="1" applyFill="1" applyBorder="1" applyAlignment="1">
      <alignment horizontal="center" vertical="center" wrapText="1"/>
    </xf>
    <xf numFmtId="0" fontId="56" fillId="4" borderId="52" xfId="21" applyFont="1" applyFill="1" applyBorder="1" applyAlignment="1">
      <alignment horizontal="center" vertical="center" wrapText="1"/>
    </xf>
    <xf numFmtId="0" fontId="56" fillId="4" borderId="53" xfId="21" applyFont="1" applyFill="1" applyBorder="1" applyAlignment="1">
      <alignment horizontal="center" vertical="center" wrapText="1"/>
    </xf>
    <xf numFmtId="10" fontId="56" fillId="4" borderId="51" xfId="21" applyNumberFormat="1" applyFont="1" applyFill="1" applyBorder="1" applyAlignment="1">
      <alignment horizontal="center" vertical="center" wrapText="1"/>
    </xf>
    <xf numFmtId="10" fontId="56" fillId="4" borderId="54" xfId="21" applyNumberFormat="1" applyFont="1" applyFill="1" applyBorder="1" applyAlignment="1">
      <alignment horizontal="center" vertical="center" wrapText="1"/>
    </xf>
    <xf numFmtId="3" fontId="56" fillId="4" borderId="55" xfId="21" applyNumberFormat="1" applyFont="1" applyFill="1" applyBorder="1" applyAlignment="1">
      <alignment horizontal="center" vertical="center" wrapText="1"/>
    </xf>
    <xf numFmtId="0" fontId="56" fillId="4" borderId="55" xfId="21" applyFont="1" applyFill="1" applyBorder="1" applyAlignment="1">
      <alignment horizontal="center" vertical="center" wrapText="1"/>
    </xf>
    <xf numFmtId="0" fontId="56" fillId="4" borderId="54" xfId="21" applyFont="1" applyFill="1" applyBorder="1" applyAlignment="1">
      <alignment horizontal="center" vertical="center" wrapText="1"/>
    </xf>
    <xf numFmtId="0" fontId="56" fillId="4" borderId="56" xfId="21" applyFont="1" applyFill="1" applyBorder="1" applyAlignment="1">
      <alignment horizontal="center" vertical="center" wrapText="1"/>
    </xf>
    <xf numFmtId="3" fontId="56" fillId="4" borderId="50" xfId="21" applyNumberFormat="1" applyFont="1" applyFill="1" applyBorder="1" applyAlignment="1">
      <alignment horizontal="center" vertical="center" wrapText="1"/>
    </xf>
    <xf numFmtId="3" fontId="56" fillId="4" borderId="56" xfId="21" applyNumberFormat="1" applyFont="1" applyFill="1" applyBorder="1" applyAlignment="1">
      <alignment horizontal="center" vertical="center" wrapText="1"/>
    </xf>
    <xf numFmtId="3" fontId="56" fillId="4" borderId="51" xfId="21" applyNumberFormat="1" applyFont="1" applyFill="1" applyBorder="1" applyAlignment="1">
      <alignment horizontal="center" vertical="center" wrapText="1"/>
    </xf>
    <xf numFmtId="3" fontId="56" fillId="4" borderId="52" xfId="21" applyNumberFormat="1" applyFont="1" applyFill="1" applyBorder="1" applyAlignment="1">
      <alignment horizontal="center" vertical="center" wrapText="1"/>
    </xf>
    <xf numFmtId="0" fontId="56" fillId="4" borderId="57" xfId="21" applyFont="1" applyFill="1" applyBorder="1" applyAlignment="1">
      <alignment horizontal="center" vertical="center" wrapText="1"/>
    </xf>
    <xf numFmtId="0" fontId="57" fillId="6" borderId="58" xfId="21" applyFont="1" applyFill="1" applyBorder="1" applyAlignment="1" applyProtection="1">
      <alignment horizontal="left" vertical="center" wrapText="1"/>
      <protection locked="0"/>
    </xf>
    <xf numFmtId="0" fontId="51" fillId="6" borderId="59" xfId="21" applyFont="1" applyFill="1" applyBorder="1" applyAlignment="1" applyProtection="1">
      <alignment horizontal="center" vertical="center" wrapText="1"/>
      <protection locked="0"/>
    </xf>
    <xf numFmtId="0" fontId="57" fillId="6" borderId="59" xfId="21" applyFont="1" applyFill="1" applyBorder="1" applyAlignment="1" applyProtection="1">
      <alignment horizontal="center" vertical="center" wrapText="1"/>
      <protection locked="0"/>
    </xf>
    <xf numFmtId="0" fontId="51" fillId="2" borderId="60" xfId="21" applyFont="1" applyFill="1" applyBorder="1" applyAlignment="1" applyProtection="1">
      <alignment horizontal="left" vertical="center" wrapText="1"/>
      <protection locked="0"/>
    </xf>
    <xf numFmtId="14" fontId="51" fillId="2" borderId="58" xfId="21" applyNumberFormat="1" applyFont="1" applyFill="1" applyBorder="1" applyAlignment="1">
      <alignment horizontal="center" vertical="center" wrapText="1"/>
    </xf>
    <xf numFmtId="14" fontId="51" fillId="2" borderId="59" xfId="21" applyNumberFormat="1" applyFont="1" applyFill="1" applyBorder="1" applyAlignment="1">
      <alignment horizontal="center" vertical="center" wrapText="1"/>
    </xf>
    <xf numFmtId="0" fontId="51" fillId="2" borderId="61" xfId="21" applyFont="1" applyFill="1" applyBorder="1" applyAlignment="1" applyProtection="1">
      <alignment horizontal="center" vertical="center" wrapText="1"/>
      <protection locked="0"/>
    </xf>
    <xf numFmtId="0" fontId="51" fillId="2" borderId="60" xfId="21" applyFont="1" applyFill="1" applyBorder="1" applyAlignment="1" applyProtection="1">
      <alignment horizontal="center" vertical="center" wrapText="1"/>
      <protection locked="0"/>
    </xf>
    <xf numFmtId="0" fontId="51" fillId="2" borderId="58" xfId="21" applyFont="1" applyFill="1" applyBorder="1" applyAlignment="1" applyProtection="1">
      <alignment horizontal="center" vertical="center" wrapText="1"/>
      <protection locked="0"/>
    </xf>
    <xf numFmtId="9" fontId="51" fillId="2" borderId="59" xfId="22" applyNumberFormat="1" applyFont="1" applyFill="1" applyBorder="1" applyAlignment="1">
      <alignment horizontal="center" vertical="center"/>
    </xf>
    <xf numFmtId="9" fontId="51" fillId="2" borderId="62" xfId="22" applyNumberFormat="1" applyFont="1" applyFill="1" applyBorder="1" applyAlignment="1">
      <alignment horizontal="center" vertical="center"/>
    </xf>
    <xf numFmtId="9" fontId="51" fillId="2" borderId="63" xfId="21" applyNumberFormat="1" applyFont="1" applyFill="1" applyBorder="1" applyAlignment="1" applyProtection="1">
      <alignment horizontal="center" vertical="center" wrapText="1"/>
      <protection locked="0"/>
    </xf>
    <xf numFmtId="9" fontId="51" fillId="2" borderId="62" xfId="21" applyNumberFormat="1" applyFont="1" applyFill="1" applyBorder="1" applyAlignment="1" applyProtection="1">
      <alignment horizontal="center" vertical="center" wrapText="1"/>
      <protection locked="0"/>
    </xf>
    <xf numFmtId="0" fontId="51" fillId="2" borderId="63" xfId="21" applyFont="1" applyFill="1" applyBorder="1" applyAlignment="1" applyProtection="1">
      <alignment horizontal="center" vertical="center" wrapText="1"/>
      <protection locked="0"/>
    </xf>
    <xf numFmtId="0" fontId="51" fillId="2" borderId="59" xfId="21" applyFont="1" applyFill="1" applyBorder="1" applyAlignment="1" applyProtection="1">
      <alignment horizontal="center" vertical="center" wrapText="1"/>
      <protection locked="0"/>
    </xf>
    <xf numFmtId="0" fontId="51" fillId="2" borderId="62" xfId="21" applyFont="1" applyFill="1" applyBorder="1" applyAlignment="1" applyProtection="1">
      <alignment horizontal="center" vertical="center" wrapText="1"/>
      <protection locked="0"/>
    </xf>
    <xf numFmtId="0" fontId="51" fillId="2" borderId="64" xfId="21" applyFont="1" applyFill="1" applyBorder="1" applyAlignment="1" applyProtection="1">
      <alignment horizontal="center" vertical="center" wrapText="1"/>
      <protection locked="0"/>
    </xf>
    <xf numFmtId="3" fontId="51" fillId="6" borderId="58" xfId="21" applyNumberFormat="1" applyFont="1" applyFill="1" applyBorder="1" applyAlignment="1" applyProtection="1">
      <alignment horizontal="center" vertical="center" wrapText="1"/>
      <protection locked="0"/>
    </xf>
    <xf numFmtId="3" fontId="51" fillId="6" borderId="64" xfId="21" applyNumberFormat="1" applyFont="1" applyFill="1" applyBorder="1" applyAlignment="1" applyProtection="1">
      <alignment horizontal="center" vertical="center" wrapText="1"/>
      <protection locked="0"/>
    </xf>
    <xf numFmtId="9" fontId="51" fillId="2" borderId="59" xfId="21" applyNumberFormat="1" applyFont="1" applyFill="1" applyBorder="1" applyAlignment="1" applyProtection="1">
      <alignment horizontal="center" vertical="center" wrapText="1"/>
      <protection locked="0"/>
    </xf>
    <xf numFmtId="9" fontId="51" fillId="2" borderId="60" xfId="21" applyNumberFormat="1" applyFont="1" applyFill="1" applyBorder="1" applyAlignment="1" applyProtection="1">
      <alignment horizontal="center" vertical="center" wrapText="1"/>
      <protection locked="0"/>
    </xf>
    <xf numFmtId="0" fontId="51" fillId="2" borderId="65" xfId="21" applyFont="1" applyFill="1" applyBorder="1" applyAlignment="1" applyProtection="1">
      <alignment horizontal="center" vertical="center" wrapText="1"/>
      <protection locked="0"/>
    </xf>
    <xf numFmtId="166" fontId="51" fillId="2" borderId="58" xfId="21" applyNumberFormat="1" applyFont="1" applyFill="1" applyBorder="1" applyAlignment="1" applyProtection="1">
      <alignment horizontal="center" vertical="center" wrapText="1"/>
      <protection locked="0"/>
    </xf>
    <xf numFmtId="166" fontId="51" fillId="2" borderId="59" xfId="21" applyNumberFormat="1" applyFont="1" applyFill="1" applyBorder="1" applyAlignment="1" applyProtection="1">
      <alignment horizontal="center" vertical="center" wrapText="1"/>
      <protection locked="0"/>
    </xf>
    <xf numFmtId="9" fontId="51" fillId="2" borderId="63" xfId="22" applyNumberFormat="1" applyFont="1" applyFill="1" applyBorder="1" applyAlignment="1">
      <alignment horizontal="center" vertical="center"/>
    </xf>
    <xf numFmtId="3" fontId="51" fillId="6" borderId="58" xfId="22" applyNumberFormat="1" applyFont="1" applyFill="1" applyBorder="1" applyAlignment="1">
      <alignment horizontal="center" vertical="center"/>
    </xf>
    <xf numFmtId="3" fontId="51" fillId="6" borderId="64" xfId="22" applyNumberFormat="1" applyFont="1" applyFill="1" applyBorder="1" applyAlignment="1">
      <alignment horizontal="center" vertical="center"/>
    </xf>
    <xf numFmtId="9" fontId="51" fillId="2" borderId="60" xfId="22" applyNumberFormat="1" applyFont="1" applyFill="1" applyBorder="1" applyAlignment="1">
      <alignment horizontal="center" vertical="center"/>
    </xf>
    <xf numFmtId="14" fontId="51" fillId="2" borderId="58" xfId="21" applyNumberFormat="1" applyFont="1" applyFill="1" applyBorder="1" applyAlignment="1" applyProtection="1">
      <alignment horizontal="center" vertical="center" wrapText="1"/>
      <protection locked="0"/>
    </xf>
    <xf numFmtId="14" fontId="51" fillId="2" borderId="59" xfId="21" applyNumberFormat="1" applyFont="1" applyFill="1" applyBorder="1" applyAlignment="1" applyProtection="1">
      <alignment horizontal="center" vertical="center" wrapText="1"/>
      <protection locked="0"/>
    </xf>
    <xf numFmtId="3" fontId="51" fillId="2" borderId="58" xfId="21" applyNumberFormat="1" applyFont="1" applyFill="1" applyBorder="1" applyAlignment="1" applyProtection="1">
      <alignment horizontal="center" vertical="center" wrapText="1"/>
      <protection locked="0"/>
    </xf>
    <xf numFmtId="3" fontId="51" fillId="2" borderId="63" xfId="21" applyNumberFormat="1" applyFont="1" applyFill="1" applyBorder="1" applyAlignment="1" applyProtection="1">
      <alignment horizontal="center" vertical="center" wrapText="1"/>
      <protection locked="0"/>
    </xf>
    <xf numFmtId="3" fontId="51" fillId="2" borderId="59" xfId="21" applyNumberFormat="1" applyFont="1" applyFill="1" applyBorder="1" applyAlignment="1" applyProtection="1">
      <alignment horizontal="center" vertical="center" wrapText="1"/>
      <protection locked="0"/>
    </xf>
    <xf numFmtId="3" fontId="51" fillId="2" borderId="62" xfId="21" applyNumberFormat="1" applyFont="1" applyFill="1" applyBorder="1" applyAlignment="1" applyProtection="1">
      <alignment horizontal="center" vertical="center" wrapText="1"/>
      <protection locked="0"/>
    </xf>
    <xf numFmtId="3" fontId="51" fillId="2" borderId="64" xfId="21" applyNumberFormat="1" applyFont="1" applyFill="1" applyBorder="1" applyAlignment="1" applyProtection="1">
      <alignment horizontal="center" vertical="center" wrapText="1"/>
      <protection locked="0"/>
    </xf>
    <xf numFmtId="3" fontId="51" fillId="2" borderId="61" xfId="21" applyNumberFormat="1" applyFont="1" applyFill="1" applyBorder="1" applyAlignment="1" applyProtection="1">
      <alignment horizontal="center" vertical="center" wrapText="1"/>
      <protection locked="0"/>
    </xf>
    <xf numFmtId="0" fontId="58" fillId="6" borderId="59" xfId="21" applyFont="1" applyFill="1" applyBorder="1" applyAlignment="1" applyProtection="1">
      <alignment horizontal="center" vertical="center" wrapText="1"/>
      <protection locked="0"/>
    </xf>
    <xf numFmtId="0" fontId="51" fillId="2" borderId="0" xfId="21" applyFont="1" applyFill="1" applyAlignment="1">
      <alignment wrapText="1"/>
    </xf>
    <xf numFmtId="9" fontId="51" fillId="2" borderId="59" xfId="23" applyNumberFormat="1" applyFont="1" applyFill="1" applyBorder="1" applyAlignment="1" applyProtection="1">
      <alignment horizontal="center" vertical="center" wrapText="1"/>
      <protection locked="0"/>
    </xf>
    <xf numFmtId="9" fontId="51" fillId="2" borderId="62" xfId="23" applyNumberFormat="1" applyFont="1" applyFill="1" applyBorder="1" applyAlignment="1" applyProtection="1">
      <alignment horizontal="center" vertical="center" wrapText="1"/>
      <protection locked="0"/>
    </xf>
    <xf numFmtId="9" fontId="51" fillId="2" borderId="47" xfId="21" applyNumberFormat="1" applyFont="1" applyFill="1" applyBorder="1" applyAlignment="1">
      <alignment horizontal="center" vertical="center" wrapText="1"/>
    </xf>
    <xf numFmtId="9" fontId="51" fillId="2" borderId="66" xfId="21" applyNumberFormat="1" applyFont="1" applyFill="1" applyBorder="1" applyAlignment="1">
      <alignment horizontal="center" vertical="center" wrapText="1"/>
    </xf>
    <xf numFmtId="9" fontId="51" fillId="2" borderId="61" xfId="22" applyNumberFormat="1" applyFont="1" applyFill="1" applyBorder="1" applyAlignment="1">
      <alignment horizontal="center" vertical="center"/>
    </xf>
    <xf numFmtId="0" fontId="51" fillId="2" borderId="67" xfId="21" applyFont="1" applyFill="1" applyBorder="1" applyAlignment="1" applyProtection="1">
      <alignment horizontal="center" vertical="center" wrapText="1"/>
      <protection locked="0"/>
    </xf>
    <xf numFmtId="14" fontId="51" fillId="0" borderId="58" xfId="21" applyNumberFormat="1" applyFont="1" applyFill="1" applyBorder="1" applyAlignment="1">
      <alignment horizontal="center" vertical="center" wrapText="1"/>
    </xf>
    <xf numFmtId="14" fontId="51" fillId="0" borderId="59" xfId="21" applyNumberFormat="1" applyFont="1" applyFill="1" applyBorder="1" applyAlignment="1">
      <alignment horizontal="center" vertical="center" wrapText="1"/>
    </xf>
    <xf numFmtId="3" fontId="51" fillId="6" borderId="68" xfId="21" applyNumberFormat="1" applyFont="1" applyFill="1" applyBorder="1" applyAlignment="1" applyProtection="1">
      <alignment horizontal="center" vertical="center" wrapText="1"/>
      <protection locked="0"/>
    </xf>
    <xf numFmtId="9" fontId="51" fillId="2" borderId="61" xfId="21" applyNumberFormat="1" applyFont="1" applyFill="1" applyBorder="1" applyAlignment="1" applyProtection="1">
      <alignment horizontal="center" vertical="center" wrapText="1"/>
      <protection locked="0"/>
    </xf>
    <xf numFmtId="9" fontId="51" fillId="2" borderId="68" xfId="21" applyNumberFormat="1" applyFont="1" applyFill="1" applyBorder="1" applyAlignment="1" applyProtection="1">
      <alignment horizontal="center" vertical="center" wrapText="1"/>
      <protection locked="0"/>
    </xf>
    <xf numFmtId="0" fontId="51" fillId="2" borderId="67" xfId="21" applyFont="1" applyFill="1" applyBorder="1" applyAlignment="1" applyProtection="1">
      <alignment horizontal="left" vertical="center" wrapText="1"/>
      <protection locked="0"/>
    </xf>
    <xf numFmtId="1" fontId="51" fillId="2" borderId="64" xfId="21" applyNumberFormat="1" applyFont="1" applyFill="1" applyBorder="1" applyAlignment="1" applyProtection="1">
      <alignment horizontal="center" vertical="center" wrapText="1"/>
      <protection locked="0"/>
    </xf>
    <xf numFmtId="14" fontId="58" fillId="2" borderId="69" xfId="21" applyNumberFormat="1" applyFont="1" applyFill="1" applyBorder="1" applyAlignment="1" applyProtection="1">
      <alignment horizontal="center" vertical="center" wrapText="1"/>
      <protection locked="0"/>
    </xf>
    <xf numFmtId="14" fontId="58" fillId="2" borderId="70" xfId="21" applyNumberFormat="1" applyFont="1" applyFill="1" applyBorder="1" applyAlignment="1" applyProtection="1">
      <alignment horizontal="center" vertical="center" wrapText="1"/>
      <protection locked="0"/>
    </xf>
    <xf numFmtId="0" fontId="58" fillId="2" borderId="71" xfId="21" applyFont="1" applyFill="1" applyBorder="1" applyAlignment="1" applyProtection="1">
      <alignment horizontal="center" vertical="center" wrapText="1"/>
      <protection locked="0"/>
    </xf>
    <xf numFmtId="0" fontId="58" fillId="2" borderId="72" xfId="21" applyFont="1" applyFill="1" applyBorder="1" applyAlignment="1" applyProtection="1">
      <alignment horizontal="center" vertical="center" wrapText="1"/>
      <protection locked="0"/>
    </xf>
    <xf numFmtId="14" fontId="58" fillId="2" borderId="58" xfId="21" applyNumberFormat="1" applyFont="1" applyFill="1" applyBorder="1" applyAlignment="1" applyProtection="1">
      <alignment horizontal="center" vertical="center" wrapText="1"/>
      <protection locked="0"/>
    </xf>
    <xf numFmtId="14" fontId="58" fillId="2" borderId="59" xfId="21" applyNumberFormat="1" applyFont="1" applyFill="1" applyBorder="1" applyAlignment="1" applyProtection="1">
      <alignment horizontal="center" vertical="center" wrapText="1"/>
      <protection locked="0"/>
    </xf>
    <xf numFmtId="0" fontId="58" fillId="2" borderId="61" xfId="21" applyFont="1" applyFill="1" applyBorder="1" applyAlignment="1" applyProtection="1">
      <alignment horizontal="center" vertical="center" wrapText="1"/>
      <protection locked="0"/>
    </xf>
    <xf numFmtId="0" fontId="58" fillId="2" borderId="60" xfId="21" applyFont="1" applyFill="1" applyBorder="1" applyAlignment="1" applyProtection="1">
      <alignment horizontal="center" vertical="center" wrapText="1"/>
      <protection locked="0"/>
    </xf>
    <xf numFmtId="0" fontId="57" fillId="6" borderId="69" xfId="21" applyFont="1" applyFill="1" applyBorder="1" applyAlignment="1" applyProtection="1">
      <alignment horizontal="left" vertical="center" wrapText="1"/>
      <protection locked="0"/>
    </xf>
    <xf numFmtId="0" fontId="51" fillId="6" borderId="70" xfId="21" applyFont="1" applyFill="1" applyBorder="1" applyAlignment="1" applyProtection="1">
      <alignment horizontal="center" vertical="center" wrapText="1"/>
      <protection locked="0"/>
    </xf>
    <xf numFmtId="0" fontId="57" fillId="6" borderId="70" xfId="21" applyFont="1" applyFill="1" applyBorder="1" applyAlignment="1" applyProtection="1">
      <alignment horizontal="center" vertical="center" wrapText="1"/>
      <protection locked="0"/>
    </xf>
    <xf numFmtId="0" fontId="51" fillId="2" borderId="72" xfId="21" applyFont="1" applyFill="1" applyBorder="1" applyAlignment="1" applyProtection="1">
      <alignment horizontal="left" vertical="center" wrapText="1"/>
      <protection locked="0"/>
    </xf>
    <xf numFmtId="14" fontId="51" fillId="2" borderId="69" xfId="21" applyNumberFormat="1" applyFont="1" applyFill="1" applyBorder="1" applyAlignment="1" applyProtection="1">
      <alignment horizontal="center" vertical="center" wrapText="1"/>
      <protection locked="0"/>
    </xf>
    <xf numFmtId="14" fontId="51" fillId="2" borderId="70" xfId="21" applyNumberFormat="1" applyFont="1" applyFill="1" applyBorder="1" applyAlignment="1" applyProtection="1">
      <alignment horizontal="center" vertical="center" wrapText="1"/>
      <protection locked="0"/>
    </xf>
    <xf numFmtId="0" fontId="51" fillId="2" borderId="71" xfId="21" applyFont="1" applyFill="1" applyBorder="1" applyAlignment="1" applyProtection="1">
      <alignment horizontal="center" vertical="center" wrapText="1"/>
      <protection locked="0"/>
    </xf>
    <xf numFmtId="0" fontId="51" fillId="2" borderId="72" xfId="21" applyFont="1" applyFill="1" applyBorder="1" applyAlignment="1" applyProtection="1">
      <alignment horizontal="center" vertical="center" wrapText="1"/>
      <protection locked="0"/>
    </xf>
    <xf numFmtId="3" fontId="51" fillId="2" borderId="69" xfId="21" applyNumberFormat="1" applyFont="1" applyFill="1" applyBorder="1" applyAlignment="1" applyProtection="1">
      <alignment horizontal="center" vertical="center" wrapText="1"/>
      <protection locked="0"/>
    </xf>
    <xf numFmtId="9" fontId="51" fillId="2" borderId="70" xfId="21" applyNumberFormat="1" applyFont="1" applyFill="1" applyBorder="1" applyAlignment="1" applyProtection="1">
      <alignment horizontal="center" vertical="center" wrapText="1"/>
      <protection locked="0"/>
    </xf>
    <xf numFmtId="9" fontId="51" fillId="2" borderId="97" xfId="21" applyNumberFormat="1" applyFont="1" applyFill="1" applyBorder="1" applyAlignment="1" applyProtection="1">
      <alignment horizontal="center" vertical="center" wrapText="1"/>
      <protection locked="0"/>
    </xf>
    <xf numFmtId="9" fontId="51" fillId="2" borderId="98" xfId="21" applyNumberFormat="1" applyFont="1" applyFill="1" applyBorder="1" applyAlignment="1" applyProtection="1">
      <alignment horizontal="center" vertical="center" wrapText="1"/>
      <protection locked="0"/>
    </xf>
    <xf numFmtId="3" fontId="51" fillId="2" borderId="98" xfId="21" applyNumberFormat="1" applyFont="1" applyFill="1" applyBorder="1" applyAlignment="1" applyProtection="1">
      <alignment horizontal="center" vertical="center" wrapText="1"/>
      <protection locked="0"/>
    </xf>
    <xf numFmtId="3" fontId="51" fillId="2" borderId="70" xfId="21" applyNumberFormat="1" applyFont="1" applyFill="1" applyBorder="1" applyAlignment="1" applyProtection="1">
      <alignment horizontal="center" vertical="center" wrapText="1"/>
      <protection locked="0"/>
    </xf>
    <xf numFmtId="3" fontId="51" fillId="2" borderId="97" xfId="21" applyNumberFormat="1" applyFont="1" applyFill="1" applyBorder="1" applyAlignment="1" applyProtection="1">
      <alignment horizontal="center" vertical="center" wrapText="1"/>
      <protection locked="0"/>
    </xf>
    <xf numFmtId="3" fontId="51" fillId="2" borderId="99" xfId="21" applyNumberFormat="1" applyFont="1" applyFill="1" applyBorder="1" applyAlignment="1" applyProtection="1">
      <alignment horizontal="center" vertical="center" wrapText="1"/>
      <protection locked="0"/>
    </xf>
    <xf numFmtId="3" fontId="51" fillId="2" borderId="71" xfId="21" applyNumberFormat="1" applyFont="1" applyFill="1" applyBorder="1" applyAlignment="1" applyProtection="1">
      <alignment horizontal="center" vertical="center" wrapText="1"/>
      <protection locked="0"/>
    </xf>
    <xf numFmtId="3" fontId="51" fillId="6" borderId="69" xfId="21" applyNumberFormat="1" applyFont="1" applyFill="1" applyBorder="1" applyAlignment="1" applyProtection="1">
      <alignment horizontal="center" vertical="center" wrapText="1"/>
      <protection locked="0"/>
    </xf>
    <xf numFmtId="3" fontId="51" fillId="6" borderId="99" xfId="21" applyNumberFormat="1" applyFont="1" applyFill="1" applyBorder="1" applyAlignment="1" applyProtection="1">
      <alignment horizontal="center" vertical="center" wrapText="1"/>
      <protection locked="0"/>
    </xf>
    <xf numFmtId="9" fontId="51" fillId="2" borderId="71" xfId="21" applyNumberFormat="1" applyFont="1" applyFill="1" applyBorder="1" applyAlignment="1" applyProtection="1">
      <alignment horizontal="center" vertical="center" wrapText="1"/>
      <protection locked="0"/>
    </xf>
    <xf numFmtId="0" fontId="51" fillId="2" borderId="100" xfId="21" applyFont="1" applyFill="1" applyBorder="1" applyAlignment="1" applyProtection="1">
      <alignment horizontal="center" vertical="center" wrapText="1"/>
      <protection locked="0"/>
    </xf>
    <xf numFmtId="0" fontId="57" fillId="9" borderId="50" xfId="21" applyFont="1" applyFill="1" applyBorder="1" applyAlignment="1" applyProtection="1">
      <alignment horizontal="left" vertical="center" wrapText="1"/>
      <protection locked="0"/>
    </xf>
    <xf numFmtId="0" fontId="51" fillId="9" borderId="51" xfId="21" applyFont="1" applyFill="1" applyBorder="1" applyAlignment="1" applyProtection="1">
      <alignment horizontal="center" vertical="center" wrapText="1"/>
      <protection locked="0"/>
    </xf>
    <xf numFmtId="0" fontId="57" fillId="9" borderId="51" xfId="21" applyFont="1" applyFill="1" applyBorder="1" applyAlignment="1" applyProtection="1">
      <alignment horizontal="center" vertical="center" wrapText="1"/>
      <protection locked="0"/>
    </xf>
    <xf numFmtId="0" fontId="51" fillId="9" borderId="52" xfId="21" applyFont="1" applyFill="1" applyBorder="1" applyAlignment="1" applyProtection="1">
      <alignment horizontal="left" vertical="center" wrapText="1"/>
      <protection locked="0"/>
    </xf>
    <xf numFmtId="14" fontId="51" fillId="9" borderId="50" xfId="21" applyNumberFormat="1" applyFont="1" applyFill="1" applyBorder="1" applyAlignment="1" applyProtection="1">
      <alignment horizontal="center" vertical="center" wrapText="1"/>
      <protection locked="0"/>
    </xf>
    <xf numFmtId="14" fontId="51" fillId="9" borderId="51" xfId="21" applyNumberFormat="1" applyFont="1" applyFill="1" applyBorder="1" applyAlignment="1" applyProtection="1">
      <alignment horizontal="center" vertical="center" wrapText="1"/>
      <protection locked="0"/>
    </xf>
    <xf numFmtId="0" fontId="51" fillId="9" borderId="53" xfId="21" applyFont="1" applyFill="1" applyBorder="1" applyAlignment="1" applyProtection="1">
      <alignment horizontal="center" vertical="center" wrapText="1"/>
      <protection locked="0"/>
    </xf>
    <xf numFmtId="0" fontId="51" fillId="9" borderId="52" xfId="21" applyFont="1" applyFill="1" applyBorder="1" applyAlignment="1" applyProtection="1">
      <alignment horizontal="center" vertical="center" wrapText="1"/>
      <protection locked="0"/>
    </xf>
    <xf numFmtId="3" fontId="51" fillId="9" borderId="50" xfId="21" applyNumberFormat="1" applyFont="1" applyFill="1" applyBorder="1" applyAlignment="1" applyProtection="1">
      <alignment horizontal="center" vertical="center" wrapText="1"/>
      <protection locked="0"/>
    </xf>
    <xf numFmtId="9" fontId="51" fillId="9" borderId="51" xfId="21" applyNumberFormat="1" applyFont="1" applyFill="1" applyBorder="1" applyAlignment="1" applyProtection="1">
      <alignment horizontal="center" vertical="center" wrapText="1"/>
      <protection locked="0"/>
    </xf>
    <xf numFmtId="9" fontId="51" fillId="9" borderId="54" xfId="21" applyNumberFormat="1" applyFont="1" applyFill="1" applyBorder="1" applyAlignment="1" applyProtection="1">
      <alignment horizontal="center" vertical="center" wrapText="1"/>
      <protection locked="0"/>
    </xf>
    <xf numFmtId="9" fontId="51" fillId="9" borderId="55" xfId="21" applyNumberFormat="1" applyFont="1" applyFill="1" applyBorder="1" applyAlignment="1" applyProtection="1">
      <alignment horizontal="center" vertical="center" wrapText="1"/>
      <protection locked="0"/>
    </xf>
    <xf numFmtId="3" fontId="51" fillId="9" borderId="55" xfId="21" applyNumberFormat="1" applyFont="1" applyFill="1" applyBorder="1" applyAlignment="1" applyProtection="1">
      <alignment horizontal="center" vertical="center" wrapText="1"/>
      <protection locked="0"/>
    </xf>
    <xf numFmtId="3" fontId="51" fillId="9" borderId="51" xfId="21" applyNumberFormat="1" applyFont="1" applyFill="1" applyBorder="1" applyAlignment="1" applyProtection="1">
      <alignment horizontal="center" vertical="center" wrapText="1"/>
      <protection locked="0"/>
    </xf>
    <xf numFmtId="3" fontId="51" fillId="9" borderId="54" xfId="21" applyNumberFormat="1" applyFont="1" applyFill="1" applyBorder="1" applyAlignment="1" applyProtection="1">
      <alignment horizontal="center" vertical="center" wrapText="1"/>
      <protection locked="0"/>
    </xf>
    <xf numFmtId="3" fontId="51" fillId="9" borderId="56" xfId="21" applyNumberFormat="1" applyFont="1" applyFill="1" applyBorder="1" applyAlignment="1" applyProtection="1">
      <alignment horizontal="center" vertical="center" wrapText="1"/>
      <protection locked="0"/>
    </xf>
    <xf numFmtId="3" fontId="51" fillId="9" borderId="53" xfId="21" applyNumberFormat="1" applyFont="1" applyFill="1" applyBorder="1" applyAlignment="1" applyProtection="1">
      <alignment horizontal="center" vertical="center" wrapText="1"/>
      <protection locked="0"/>
    </xf>
    <xf numFmtId="3" fontId="51" fillId="6" borderId="50" xfId="21" applyNumberFormat="1" applyFont="1" applyFill="1" applyBorder="1" applyAlignment="1" applyProtection="1">
      <alignment horizontal="center" vertical="center" wrapText="1"/>
      <protection locked="0"/>
    </xf>
    <xf numFmtId="3" fontId="51" fillId="6" borderId="56" xfId="21" applyNumberFormat="1" applyFont="1" applyFill="1" applyBorder="1" applyAlignment="1" applyProtection="1">
      <alignment horizontal="center" vertical="center" wrapText="1"/>
      <protection locked="0"/>
    </xf>
    <xf numFmtId="9" fontId="51" fillId="9" borderId="53" xfId="21" applyNumberFormat="1" applyFont="1" applyFill="1" applyBorder="1" applyAlignment="1" applyProtection="1">
      <alignment horizontal="center" vertical="center" wrapText="1"/>
      <protection locked="0"/>
    </xf>
    <xf numFmtId="0" fontId="51" fillId="9" borderId="101" xfId="21" applyFont="1" applyFill="1" applyBorder="1" applyAlignment="1" applyProtection="1">
      <alignment horizontal="center" vertical="center" wrapText="1"/>
      <protection locked="0"/>
    </xf>
    <xf numFmtId="0" fontId="57" fillId="9" borderId="58" xfId="21" applyFont="1" applyFill="1" applyBorder="1" applyAlignment="1" applyProtection="1">
      <alignment horizontal="left" vertical="center" wrapText="1"/>
      <protection locked="0"/>
    </xf>
    <xf numFmtId="0" fontId="51" fillId="9" borderId="59" xfId="21" applyFont="1" applyFill="1" applyBorder="1" applyAlignment="1" applyProtection="1">
      <alignment horizontal="center" vertical="center" wrapText="1"/>
      <protection locked="0"/>
    </xf>
    <xf numFmtId="0" fontId="57" fillId="9" borderId="59" xfId="21" applyFont="1" applyFill="1" applyBorder="1" applyAlignment="1" applyProtection="1">
      <alignment horizontal="center" vertical="center" wrapText="1"/>
      <protection locked="0"/>
    </xf>
    <xf numFmtId="0" fontId="51" fillId="9" borderId="60" xfId="21" applyFont="1" applyFill="1" applyBorder="1" applyAlignment="1" applyProtection="1">
      <alignment horizontal="left" vertical="center" wrapText="1"/>
      <protection locked="0"/>
    </xf>
    <xf numFmtId="14" fontId="51" fillId="9" borderId="58" xfId="21" applyNumberFormat="1" applyFont="1" applyFill="1" applyBorder="1" applyAlignment="1" applyProtection="1">
      <alignment horizontal="center" vertical="center" wrapText="1"/>
      <protection locked="0"/>
    </xf>
    <xf numFmtId="14" fontId="51" fillId="9" borderId="59" xfId="21" applyNumberFormat="1" applyFont="1" applyFill="1" applyBorder="1" applyAlignment="1" applyProtection="1">
      <alignment horizontal="center" vertical="center" wrapText="1"/>
      <protection locked="0"/>
    </xf>
    <xf numFmtId="0" fontId="51" fillId="9" borderId="61" xfId="21" applyFont="1" applyFill="1" applyBorder="1" applyAlignment="1" applyProtection="1">
      <alignment horizontal="center" vertical="center" wrapText="1"/>
      <protection locked="0"/>
    </xf>
    <xf numFmtId="0" fontId="51" fillId="9" borderId="60" xfId="21" applyFont="1" applyFill="1" applyBorder="1" applyAlignment="1" applyProtection="1">
      <alignment horizontal="center" vertical="center" wrapText="1"/>
      <protection locked="0"/>
    </xf>
    <xf numFmtId="3" fontId="51" fillId="9" borderId="58" xfId="21" applyNumberFormat="1" applyFont="1" applyFill="1" applyBorder="1" applyAlignment="1" applyProtection="1">
      <alignment horizontal="center" vertical="center" wrapText="1"/>
      <protection locked="0"/>
    </xf>
    <xf numFmtId="9" fontId="51" fillId="9" borderId="59" xfId="21" applyNumberFormat="1" applyFont="1" applyFill="1" applyBorder="1" applyAlignment="1" applyProtection="1">
      <alignment horizontal="center" vertical="center" wrapText="1"/>
      <protection locked="0"/>
    </xf>
    <xf numFmtId="9" fontId="51" fillId="9" borderId="62" xfId="21" applyNumberFormat="1" applyFont="1" applyFill="1" applyBorder="1" applyAlignment="1" applyProtection="1">
      <alignment horizontal="center" vertical="center" wrapText="1"/>
      <protection locked="0"/>
    </xf>
    <xf numFmtId="9" fontId="51" fillId="9" borderId="63" xfId="21" applyNumberFormat="1" applyFont="1" applyFill="1" applyBorder="1" applyAlignment="1" applyProtection="1">
      <alignment horizontal="center" vertical="center" wrapText="1"/>
      <protection locked="0"/>
    </xf>
    <xf numFmtId="3" fontId="51" fillId="9" borderId="63" xfId="21" applyNumberFormat="1" applyFont="1" applyFill="1" applyBorder="1" applyAlignment="1" applyProtection="1">
      <alignment horizontal="center" vertical="center" wrapText="1"/>
      <protection locked="0"/>
    </xf>
    <xf numFmtId="3" fontId="51" fillId="9" borderId="59" xfId="21" applyNumberFormat="1" applyFont="1" applyFill="1" applyBorder="1" applyAlignment="1" applyProtection="1">
      <alignment horizontal="center" vertical="center" wrapText="1"/>
      <protection locked="0"/>
    </xf>
    <xf numFmtId="3" fontId="51" fillId="9" borderId="62" xfId="21" applyNumberFormat="1" applyFont="1" applyFill="1" applyBorder="1" applyAlignment="1" applyProtection="1">
      <alignment horizontal="center" vertical="center" wrapText="1"/>
      <protection locked="0"/>
    </xf>
    <xf numFmtId="3" fontId="51" fillId="9" borderId="64" xfId="21" applyNumberFormat="1" applyFont="1" applyFill="1" applyBorder="1" applyAlignment="1" applyProtection="1">
      <alignment horizontal="center" vertical="center" wrapText="1"/>
      <protection locked="0"/>
    </xf>
    <xf numFmtId="3" fontId="51" fillId="9" borderId="61" xfId="21" applyNumberFormat="1" applyFont="1" applyFill="1" applyBorder="1" applyAlignment="1" applyProtection="1">
      <alignment horizontal="center" vertical="center" wrapText="1"/>
      <protection locked="0"/>
    </xf>
    <xf numFmtId="9" fontId="51" fillId="9" borderId="61" xfId="21" applyNumberFormat="1" applyFont="1" applyFill="1" applyBorder="1" applyAlignment="1" applyProtection="1">
      <alignment horizontal="center" vertical="center" wrapText="1"/>
      <protection locked="0"/>
    </xf>
    <xf numFmtId="0" fontId="51" fillId="9" borderId="67" xfId="21" applyFont="1" applyFill="1" applyBorder="1" applyAlignment="1" applyProtection="1">
      <alignment horizontal="center" vertical="center" wrapText="1"/>
      <protection locked="0"/>
    </xf>
    <xf numFmtId="0" fontId="51" fillId="9" borderId="58" xfId="21" applyFont="1" applyFill="1" applyBorder="1" applyAlignment="1" applyProtection="1">
      <alignment horizontal="center" vertical="center" wrapText="1"/>
      <protection locked="0"/>
    </xf>
    <xf numFmtId="0" fontId="51" fillId="9" borderId="64" xfId="21" applyFont="1" applyFill="1" applyBorder="1" applyAlignment="1" applyProtection="1">
      <alignment horizontal="center" vertical="center" wrapText="1"/>
      <protection locked="0"/>
    </xf>
    <xf numFmtId="0" fontId="57" fillId="9" borderId="102" xfId="21" applyFont="1" applyFill="1" applyBorder="1" applyAlignment="1" applyProtection="1">
      <alignment horizontal="left" vertical="center" wrapText="1"/>
      <protection locked="0"/>
    </xf>
    <xf numFmtId="0" fontId="51" fillId="9" borderId="103" xfId="21" applyFont="1" applyFill="1" applyBorder="1" applyAlignment="1" applyProtection="1">
      <alignment horizontal="center" vertical="center" wrapText="1"/>
      <protection locked="0"/>
    </xf>
    <xf numFmtId="0" fontId="57" fillId="9" borderId="103" xfId="21" applyFont="1" applyFill="1" applyBorder="1" applyAlignment="1" applyProtection="1">
      <alignment horizontal="center" vertical="center" wrapText="1"/>
      <protection locked="0"/>
    </xf>
    <xf numFmtId="0" fontId="51" fillId="9" borderId="104" xfId="21" applyFont="1" applyFill="1" applyBorder="1" applyAlignment="1" applyProtection="1">
      <alignment horizontal="left" vertical="center" wrapText="1"/>
      <protection locked="0"/>
    </xf>
    <xf numFmtId="14" fontId="51" fillId="9" borderId="102" xfId="21" applyNumberFormat="1" applyFont="1" applyFill="1" applyBorder="1" applyAlignment="1" applyProtection="1">
      <alignment horizontal="center" vertical="center" wrapText="1"/>
      <protection locked="0"/>
    </xf>
    <xf numFmtId="14" fontId="51" fillId="9" borderId="103" xfId="21" applyNumberFormat="1" applyFont="1" applyFill="1" applyBorder="1" applyAlignment="1" applyProtection="1">
      <alignment horizontal="center" vertical="center" wrapText="1"/>
      <protection locked="0"/>
    </xf>
    <xf numFmtId="0" fontId="51" fillId="9" borderId="105" xfId="21" applyFont="1" applyFill="1" applyBorder="1" applyAlignment="1" applyProtection="1">
      <alignment horizontal="center" vertical="center" wrapText="1"/>
      <protection locked="0"/>
    </xf>
    <xf numFmtId="0" fontId="51" fillId="9" borderId="104" xfId="21" applyFont="1" applyFill="1" applyBorder="1" applyAlignment="1" applyProtection="1">
      <alignment horizontal="center" vertical="center" wrapText="1"/>
      <protection locked="0"/>
    </xf>
    <xf numFmtId="0" fontId="51" fillId="9" borderId="102" xfId="21" applyFont="1" applyFill="1" applyBorder="1" applyAlignment="1" applyProtection="1">
      <alignment horizontal="center" vertical="center" wrapText="1"/>
      <protection locked="0"/>
    </xf>
    <xf numFmtId="9" fontId="51" fillId="9" borderId="103" xfId="21" applyNumberFormat="1" applyFont="1" applyFill="1" applyBorder="1" applyAlignment="1" applyProtection="1">
      <alignment horizontal="center" vertical="center" wrapText="1"/>
      <protection locked="0"/>
    </xf>
    <xf numFmtId="9" fontId="51" fillId="9" borderId="106" xfId="21" applyNumberFormat="1" applyFont="1" applyFill="1" applyBorder="1" applyAlignment="1" applyProtection="1">
      <alignment horizontal="center" vertical="center" wrapText="1"/>
      <protection locked="0"/>
    </xf>
    <xf numFmtId="9" fontId="51" fillId="9" borderId="107" xfId="21" applyNumberFormat="1" applyFont="1" applyFill="1" applyBorder="1" applyAlignment="1" applyProtection="1">
      <alignment horizontal="center" vertical="center" wrapText="1"/>
      <protection locked="0"/>
    </xf>
    <xf numFmtId="0" fontId="51" fillId="9" borderId="108" xfId="21" applyFont="1" applyFill="1" applyBorder="1" applyAlignment="1" applyProtection="1">
      <alignment horizontal="center" vertical="center" wrapText="1"/>
      <protection locked="0"/>
    </xf>
    <xf numFmtId="3" fontId="51" fillId="6" borderId="102" xfId="21" applyNumberFormat="1" applyFont="1" applyFill="1" applyBorder="1" applyAlignment="1" applyProtection="1">
      <alignment horizontal="center" vertical="center" wrapText="1"/>
      <protection locked="0"/>
    </xf>
    <xf numFmtId="3" fontId="51" fillId="6" borderId="108" xfId="21" applyNumberFormat="1" applyFont="1" applyFill="1" applyBorder="1" applyAlignment="1" applyProtection="1">
      <alignment horizontal="center" vertical="center" wrapText="1"/>
      <protection locked="0"/>
    </xf>
    <xf numFmtId="9" fontId="51" fillId="9" borderId="105" xfId="21" applyNumberFormat="1" applyFont="1" applyFill="1" applyBorder="1" applyAlignment="1" applyProtection="1">
      <alignment horizontal="center" vertical="center" wrapText="1"/>
      <protection locked="0"/>
    </xf>
    <xf numFmtId="0" fontId="51" fillId="9" borderId="109" xfId="21" applyFont="1" applyFill="1" applyBorder="1" applyAlignment="1" applyProtection="1">
      <alignment horizontal="center" vertical="center" wrapText="1"/>
      <protection locked="0"/>
    </xf>
    <xf numFmtId="0" fontId="51" fillId="9" borderId="62" xfId="21" applyFont="1" applyFill="1" applyBorder="1" applyAlignment="1" applyProtection="1">
      <alignment horizontal="center" vertical="center" wrapText="1"/>
      <protection locked="0"/>
    </xf>
    <xf numFmtId="3" fontId="51" fillId="6" borderId="59" xfId="21" applyNumberFormat="1" applyFont="1" applyFill="1" applyBorder="1" applyAlignment="1" applyProtection="1">
      <alignment horizontal="center" vertical="center" wrapText="1"/>
      <protection locked="0"/>
    </xf>
    <xf numFmtId="0" fontId="57" fillId="9" borderId="73" xfId="21" applyFont="1" applyFill="1" applyBorder="1" applyAlignment="1" applyProtection="1">
      <alignment horizontal="left" vertical="center" wrapText="1"/>
      <protection locked="0"/>
    </xf>
    <xf numFmtId="0" fontId="51" fillId="9" borderId="47" xfId="21" applyFont="1" applyFill="1" applyBorder="1" applyAlignment="1" applyProtection="1">
      <alignment horizontal="center" vertical="center" wrapText="1"/>
      <protection locked="0"/>
    </xf>
    <xf numFmtId="0" fontId="57" fillId="9" borderId="47" xfId="21" applyFont="1" applyFill="1" applyBorder="1" applyAlignment="1" applyProtection="1">
      <alignment horizontal="center" vertical="center" wrapText="1"/>
      <protection locked="0"/>
    </xf>
    <xf numFmtId="0" fontId="51" fillId="9" borderId="74" xfId="21" applyFont="1" applyFill="1" applyBorder="1" applyAlignment="1" applyProtection="1">
      <alignment horizontal="left" vertical="center" wrapText="1"/>
      <protection locked="0"/>
    </xf>
    <xf numFmtId="14" fontId="51" fillId="9" borderId="73" xfId="21" applyNumberFormat="1" applyFont="1" applyFill="1" applyBorder="1" applyAlignment="1" applyProtection="1">
      <alignment horizontal="center" vertical="center" wrapText="1"/>
      <protection locked="0"/>
    </xf>
    <xf numFmtId="14" fontId="51" fillId="9" borderId="47" xfId="21" applyNumberFormat="1" applyFont="1" applyFill="1" applyBorder="1" applyAlignment="1" applyProtection="1">
      <alignment horizontal="center" vertical="center" wrapText="1"/>
      <protection locked="0"/>
    </xf>
    <xf numFmtId="0" fontId="51" fillId="9" borderId="48" xfId="21" applyFont="1" applyFill="1" applyBorder="1" applyAlignment="1" applyProtection="1">
      <alignment horizontal="center" vertical="center" wrapText="1"/>
      <protection locked="0"/>
    </xf>
    <xf numFmtId="0" fontId="51" fillId="9" borderId="74" xfId="21" applyFont="1" applyFill="1" applyBorder="1" applyAlignment="1" applyProtection="1">
      <alignment horizontal="center" vertical="center" wrapText="1"/>
      <protection locked="0"/>
    </xf>
    <xf numFmtId="3" fontId="51" fillId="9" borderId="73" xfId="21" applyNumberFormat="1" applyFont="1" applyFill="1" applyBorder="1" applyAlignment="1" applyProtection="1">
      <alignment horizontal="center" vertical="center" wrapText="1"/>
      <protection locked="0"/>
    </xf>
    <xf numFmtId="9" fontId="51" fillId="9" borderId="47" xfId="21" applyNumberFormat="1" applyFont="1" applyFill="1" applyBorder="1" applyAlignment="1" applyProtection="1">
      <alignment horizontal="center" vertical="center" wrapText="1"/>
      <protection locked="0"/>
    </xf>
    <xf numFmtId="9" fontId="51" fillId="9" borderId="66" xfId="21" applyNumberFormat="1" applyFont="1" applyFill="1" applyBorder="1" applyAlignment="1" applyProtection="1">
      <alignment horizontal="center" vertical="center" wrapText="1"/>
      <protection locked="0"/>
    </xf>
    <xf numFmtId="9" fontId="51" fillId="9" borderId="75" xfId="21" applyNumberFormat="1" applyFont="1" applyFill="1" applyBorder="1" applyAlignment="1" applyProtection="1">
      <alignment horizontal="center" vertical="center" wrapText="1"/>
      <protection locked="0"/>
    </xf>
    <xf numFmtId="0" fontId="51" fillId="9" borderId="46" xfId="21" applyFont="1" applyFill="1" applyBorder="1" applyAlignment="1" applyProtection="1">
      <alignment horizontal="center" vertical="center" wrapText="1"/>
      <protection locked="0"/>
    </xf>
    <xf numFmtId="3" fontId="51" fillId="6" borderId="30" xfId="21" applyNumberFormat="1" applyFont="1" applyFill="1" applyBorder="1" applyAlignment="1" applyProtection="1">
      <alignment horizontal="center" vertical="center" wrapText="1"/>
      <protection locked="0"/>
    </xf>
    <xf numFmtId="3" fontId="51" fillId="6" borderId="63" xfId="21" applyNumberFormat="1" applyFont="1" applyFill="1" applyBorder="1" applyAlignment="1" applyProtection="1">
      <alignment horizontal="center" vertical="center" wrapText="1"/>
      <protection locked="0"/>
    </xf>
    <xf numFmtId="3" fontId="51" fillId="6" borderId="0" xfId="21" applyNumberFormat="1" applyFont="1" applyFill="1" applyBorder="1" applyAlignment="1" applyProtection="1">
      <alignment horizontal="center" vertical="center" wrapText="1"/>
      <protection locked="0"/>
    </xf>
    <xf numFmtId="9" fontId="51" fillId="9" borderId="48" xfId="21" applyNumberFormat="1" applyFont="1" applyFill="1" applyBorder="1" applyAlignment="1" applyProtection="1">
      <alignment horizontal="center" vertical="center" wrapText="1"/>
      <protection locked="0"/>
    </xf>
    <xf numFmtId="0" fontId="51" fillId="9" borderId="76" xfId="21" applyFont="1" applyFill="1" applyBorder="1" applyAlignment="1" applyProtection="1">
      <alignment horizontal="center" vertical="center" wrapText="1"/>
      <protection locked="0"/>
    </xf>
    <xf numFmtId="0" fontId="57" fillId="9" borderId="77" xfId="21" applyFont="1" applyFill="1" applyBorder="1" applyAlignment="1" applyProtection="1">
      <alignment horizontal="left" vertical="center" wrapText="1"/>
      <protection locked="0"/>
    </xf>
    <xf numFmtId="0" fontId="51" fillId="9" borderId="78" xfId="21" applyFont="1" applyFill="1" applyBorder="1" applyAlignment="1" applyProtection="1">
      <alignment horizontal="center" vertical="center" wrapText="1"/>
      <protection locked="0"/>
    </xf>
    <xf numFmtId="0" fontId="57" fillId="9" borderId="78" xfId="21" applyFont="1" applyFill="1" applyBorder="1" applyAlignment="1" applyProtection="1">
      <alignment horizontal="center" vertical="center" wrapText="1"/>
      <protection locked="0"/>
    </xf>
    <xf numFmtId="0" fontId="51" fillId="9" borderId="79" xfId="21" applyFont="1" applyFill="1" applyBorder="1" applyAlignment="1" applyProtection="1">
      <alignment horizontal="left" vertical="center" wrapText="1"/>
      <protection locked="0"/>
    </xf>
    <xf numFmtId="14" fontId="51" fillId="9" borderId="77" xfId="21" applyNumberFormat="1" applyFont="1" applyFill="1" applyBorder="1" applyAlignment="1" applyProtection="1">
      <alignment horizontal="center" vertical="center" wrapText="1"/>
      <protection locked="0"/>
    </xf>
    <xf numFmtId="14" fontId="51" fillId="9" borderId="78" xfId="21" applyNumberFormat="1" applyFont="1" applyFill="1" applyBorder="1" applyAlignment="1" applyProtection="1">
      <alignment horizontal="center" vertical="center" wrapText="1"/>
      <protection locked="0"/>
    </xf>
    <xf numFmtId="0" fontId="51" fillId="9" borderId="80" xfId="21" applyFont="1" applyFill="1" applyBorder="1" applyAlignment="1" applyProtection="1">
      <alignment horizontal="center" vertical="center" wrapText="1"/>
      <protection locked="0"/>
    </xf>
    <xf numFmtId="0" fontId="51" fillId="9" borderId="79" xfId="21" applyFont="1" applyFill="1" applyBorder="1" applyAlignment="1" applyProtection="1">
      <alignment horizontal="center" vertical="center" wrapText="1"/>
      <protection locked="0"/>
    </xf>
    <xf numFmtId="3" fontId="51" fillId="9" borderId="77" xfId="21" applyNumberFormat="1" applyFont="1" applyFill="1" applyBorder="1" applyAlignment="1" applyProtection="1">
      <alignment horizontal="center" vertical="center" wrapText="1"/>
      <protection locked="0"/>
    </xf>
    <xf numFmtId="9" fontId="51" fillId="9" borderId="78" xfId="21" applyNumberFormat="1" applyFont="1" applyFill="1" applyBorder="1" applyAlignment="1" applyProtection="1">
      <alignment horizontal="center" vertical="center" wrapText="1"/>
      <protection locked="0"/>
    </xf>
    <xf numFmtId="9" fontId="51" fillId="9" borderId="81" xfId="21" applyNumberFormat="1" applyFont="1" applyFill="1" applyBorder="1" applyAlignment="1" applyProtection="1">
      <alignment horizontal="center" vertical="center" wrapText="1"/>
      <protection locked="0"/>
    </xf>
    <xf numFmtId="9" fontId="51" fillId="9" borderId="82" xfId="21" applyNumberFormat="1" applyFont="1" applyFill="1" applyBorder="1" applyAlignment="1" applyProtection="1">
      <alignment horizontal="center" vertical="center" wrapText="1"/>
      <protection locked="0"/>
    </xf>
    <xf numFmtId="3" fontId="51" fillId="9" borderId="82" xfId="21" applyNumberFormat="1" applyFont="1" applyFill="1" applyBorder="1" applyAlignment="1" applyProtection="1">
      <alignment horizontal="center" vertical="center" wrapText="1"/>
      <protection locked="0"/>
    </xf>
    <xf numFmtId="0" fontId="51" fillId="9" borderId="83" xfId="21" applyFont="1" applyFill="1" applyBorder="1" applyAlignment="1" applyProtection="1">
      <alignment horizontal="center" vertical="center" wrapText="1"/>
      <protection locked="0"/>
    </xf>
    <xf numFmtId="3" fontId="51" fillId="6" borderId="84" xfId="21" applyNumberFormat="1" applyFont="1" applyFill="1" applyBorder="1" applyAlignment="1" applyProtection="1">
      <alignment horizontal="center" vertical="center" wrapText="1"/>
      <protection locked="0"/>
    </xf>
    <xf numFmtId="3" fontId="51" fillId="6" borderId="82" xfId="21" applyNumberFormat="1" applyFont="1" applyFill="1" applyBorder="1" applyAlignment="1" applyProtection="1">
      <alignment horizontal="center" vertical="center" wrapText="1"/>
      <protection locked="0"/>
    </xf>
    <xf numFmtId="3" fontId="51" fillId="6" borderId="85" xfId="21" applyNumberFormat="1" applyFont="1" applyFill="1" applyBorder="1" applyAlignment="1" applyProtection="1">
      <alignment horizontal="center" vertical="center" wrapText="1"/>
      <protection locked="0"/>
    </xf>
    <xf numFmtId="9" fontId="51" fillId="9" borderId="80" xfId="21" applyNumberFormat="1" applyFont="1" applyFill="1" applyBorder="1" applyAlignment="1" applyProtection="1">
      <alignment horizontal="center" vertical="center" wrapText="1"/>
      <protection locked="0"/>
    </xf>
    <xf numFmtId="0" fontId="51" fillId="9" borderId="86" xfId="21" applyFont="1" applyFill="1" applyBorder="1" applyAlignment="1" applyProtection="1">
      <alignment horizontal="center" vertical="center" wrapText="1"/>
      <protection locked="0"/>
    </xf>
    <xf numFmtId="0" fontId="51" fillId="2" borderId="0" xfId="21" applyFont="1" applyFill="1" applyBorder="1" applyAlignment="1" applyProtection="1">
      <alignment horizontal="center" vertical="center" wrapText="1"/>
      <protection locked="0"/>
    </xf>
    <xf numFmtId="3" fontId="51" fillId="2" borderId="0" xfId="21" applyNumberFormat="1" applyFont="1" applyFill="1" applyBorder="1" applyAlignment="1" applyProtection="1">
      <alignment horizontal="center" vertical="center" wrapText="1"/>
      <protection locked="0"/>
    </xf>
    <xf numFmtId="3" fontId="51" fillId="2" borderId="46" xfId="21" applyNumberFormat="1" applyFont="1" applyFill="1" applyBorder="1" applyAlignment="1" applyProtection="1">
      <alignment horizontal="center" vertical="center" wrapText="1"/>
      <protection locked="0"/>
    </xf>
    <xf numFmtId="3" fontId="51" fillId="2" borderId="48" xfId="21" applyNumberFormat="1" applyFont="1" applyFill="1" applyBorder="1" applyAlignment="1" applyProtection="1">
      <alignment horizontal="center" vertical="center" wrapText="1"/>
      <protection locked="0"/>
    </xf>
    <xf numFmtId="0" fontId="51" fillId="2" borderId="0" xfId="21" applyFont="1" applyFill="1" applyBorder="1"/>
    <xf numFmtId="9" fontId="51" fillId="2" borderId="0" xfId="23" applyFont="1" applyFill="1" applyBorder="1" applyAlignment="1" applyProtection="1">
      <alignment horizontal="center" vertical="center" wrapText="1"/>
      <protection locked="0"/>
    </xf>
    <xf numFmtId="0" fontId="51" fillId="2" borderId="0" xfId="21" applyFont="1" applyFill="1" applyBorder="1" applyAlignment="1" applyProtection="1">
      <alignment horizontal="left" vertical="center"/>
      <protection locked="0"/>
    </xf>
    <xf numFmtId="0" fontId="59" fillId="2" borderId="0" xfId="21" applyFont="1" applyFill="1" applyBorder="1" applyAlignment="1" applyProtection="1">
      <alignment horizontal="center" vertical="center" wrapText="1"/>
      <protection locked="0"/>
    </xf>
    <xf numFmtId="3" fontId="59" fillId="2" borderId="0" xfId="21" applyNumberFormat="1" applyFont="1" applyFill="1" applyBorder="1" applyAlignment="1" applyProtection="1">
      <alignment horizontal="center" vertical="center" wrapText="1"/>
      <protection locked="0"/>
    </xf>
    <xf numFmtId="3" fontId="59" fillId="2" borderId="46" xfId="21" applyNumberFormat="1" applyFont="1" applyFill="1" applyBorder="1" applyAlignment="1" applyProtection="1">
      <alignment horizontal="center" vertical="center" wrapText="1"/>
      <protection locked="0"/>
    </xf>
    <xf numFmtId="3" fontId="59" fillId="2" borderId="48" xfId="21" applyNumberFormat="1" applyFont="1" applyFill="1" applyBorder="1" applyAlignment="1" applyProtection="1">
      <alignment horizontal="center" vertical="center" wrapText="1"/>
      <protection locked="0"/>
    </xf>
    <xf numFmtId="0" fontId="51" fillId="2" borderId="0" xfId="21" applyFont="1" applyFill="1" applyBorder="1" applyProtection="1">
      <protection locked="0"/>
    </xf>
    <xf numFmtId="3" fontId="51" fillId="2" borderId="0" xfId="21" applyNumberFormat="1" applyFont="1" applyFill="1" applyBorder="1" applyProtection="1">
      <protection locked="0"/>
    </xf>
    <xf numFmtId="3" fontId="51" fillId="9" borderId="98" xfId="21" applyNumberFormat="1" applyFont="1" applyFill="1" applyBorder="1" applyAlignment="1" applyProtection="1">
      <alignment horizontal="center" vertical="center" wrapText="1"/>
      <protection locked="0"/>
    </xf>
    <xf numFmtId="3" fontId="51" fillId="9" borderId="70" xfId="21" applyNumberFormat="1" applyFont="1" applyFill="1" applyBorder="1" applyAlignment="1" applyProtection="1">
      <alignment horizontal="center" vertical="center" wrapText="1"/>
      <protection locked="0"/>
    </xf>
    <xf numFmtId="3" fontId="51" fillId="9" borderId="97" xfId="21" applyNumberFormat="1" applyFont="1" applyFill="1" applyBorder="1" applyAlignment="1" applyProtection="1">
      <alignment horizontal="center" vertical="center" wrapText="1"/>
      <protection locked="0"/>
    </xf>
    <xf numFmtId="3" fontId="56" fillId="4" borderId="53" xfId="21" applyNumberFormat="1" applyFont="1" applyFill="1" applyBorder="1" applyAlignment="1">
      <alignment horizontal="center" vertical="center" wrapText="1"/>
    </xf>
    <xf numFmtId="3" fontId="51" fillId="9" borderId="78" xfId="21" applyNumberFormat="1" applyFont="1" applyFill="1" applyBorder="1" applyAlignment="1" applyProtection="1">
      <alignment horizontal="center" vertical="center" wrapText="1"/>
      <protection locked="0"/>
    </xf>
    <xf numFmtId="3" fontId="51" fillId="9" borderId="81" xfId="21" applyNumberFormat="1" applyFont="1" applyFill="1" applyBorder="1" applyAlignment="1" applyProtection="1">
      <alignment horizontal="center" vertical="center" wrapText="1"/>
      <protection locked="0"/>
    </xf>
    <xf numFmtId="0" fontId="2" fillId="2" borderId="0" xfId="20" applyFill="1"/>
    <xf numFmtId="0" fontId="0" fillId="0" borderId="37" xfId="0" applyBorder="1"/>
    <xf numFmtId="0" fontId="0" fillId="0" borderId="38" xfId="0" applyBorder="1" applyAlignment="1">
      <alignment horizontal="center" vertical="center"/>
    </xf>
    <xf numFmtId="0" fontId="2" fillId="0" borderId="0" xfId="20"/>
    <xf numFmtId="0" fontId="0" fillId="0" borderId="38" xfId="0" applyBorder="1"/>
    <xf numFmtId="0" fontId="0" fillId="0" borderId="32" xfId="0" applyBorder="1"/>
    <xf numFmtId="3" fontId="0" fillId="0" borderId="38" xfId="0" applyNumberFormat="1" applyBorder="1" applyAlignment="1">
      <alignment horizontal="right" vertical="center"/>
    </xf>
    <xf numFmtId="0" fontId="0" fillId="0" borderId="36" xfId="0" applyBorder="1"/>
    <xf numFmtId="3" fontId="0" fillId="0" borderId="39" xfId="0" applyNumberFormat="1" applyBorder="1" applyAlignment="1">
      <alignment horizontal="right" vertical="center"/>
    </xf>
    <xf numFmtId="0" fontId="0" fillId="0" borderId="40" xfId="0" applyBorder="1" applyAlignment="1">
      <alignment wrapText="1"/>
    </xf>
    <xf numFmtId="3" fontId="0" fillId="0" borderId="37" xfId="0" applyNumberFormat="1" applyBorder="1" applyAlignment="1">
      <alignment horizontal="right" vertical="center"/>
    </xf>
    <xf numFmtId="0" fontId="0" fillId="0" borderId="37" xfId="0" pivotButton="1" applyBorder="1"/>
    <xf numFmtId="0" fontId="0" fillId="0" borderId="32" xfId="0" pivotButton="1" applyBorder="1" applyAlignment="1">
      <alignment wrapText="1"/>
    </xf>
    <xf numFmtId="0" fontId="0" fillId="0" borderId="0" xfId="0" applyBorder="1" applyAlignment="1">
      <alignment wrapText="1"/>
    </xf>
    <xf numFmtId="3" fontId="0" fillId="0" borderId="0" xfId="0" applyNumberFormat="1" applyBorder="1" applyAlignment="1">
      <alignment horizontal="right" vertical="center"/>
    </xf>
    <xf numFmtId="1" fontId="65" fillId="2" borderId="92" xfId="4" applyNumberFormat="1" applyFont="1" applyFill="1" applyBorder="1" applyAlignment="1">
      <alignment horizontal="center" vertical="center" wrapText="1"/>
    </xf>
    <xf numFmtId="9" fontId="64" fillId="2" borderId="103" xfId="4" applyNumberFormat="1" applyFont="1" applyFill="1" applyBorder="1" applyAlignment="1">
      <alignment horizontal="center" vertical="center"/>
    </xf>
    <xf numFmtId="165" fontId="64" fillId="2" borderId="103" xfId="4" applyFont="1" applyFill="1" applyBorder="1" applyAlignment="1">
      <alignment horizontal="center" vertical="center"/>
    </xf>
    <xf numFmtId="9" fontId="64" fillId="2" borderId="92" xfId="4" applyNumberFormat="1" applyFont="1" applyFill="1" applyBorder="1" applyAlignment="1">
      <alignment horizontal="center" vertical="center"/>
    </xf>
    <xf numFmtId="165" fontId="64" fillId="2" borderId="92" xfId="4" applyFont="1" applyFill="1" applyBorder="1" applyAlignment="1">
      <alignment horizontal="center" vertical="center"/>
    </xf>
    <xf numFmtId="0" fontId="24" fillId="5" borderId="28" xfId="0" applyFont="1" applyFill="1" applyBorder="1" applyAlignment="1">
      <alignment horizontal="left" vertical="center"/>
    </xf>
    <xf numFmtId="9" fontId="0" fillId="0" borderId="0" xfId="0" applyNumberFormat="1" applyAlignment="1">
      <alignment horizontal="center"/>
    </xf>
    <xf numFmtId="3" fontId="0" fillId="0" borderId="0" xfId="0" applyNumberFormat="1" applyAlignment="1">
      <alignment horizontal="center"/>
    </xf>
    <xf numFmtId="0" fontId="0" fillId="0" borderId="0" xfId="0" applyAlignment="1">
      <alignment horizontal="right"/>
    </xf>
    <xf numFmtId="0" fontId="19" fillId="3" borderId="114" xfId="0" applyFont="1" applyFill="1" applyBorder="1" applyAlignment="1" applyProtection="1">
      <alignment vertical="center"/>
      <protection locked="0"/>
    </xf>
    <xf numFmtId="1" fontId="0" fillId="0" borderId="0" xfId="0" applyNumberFormat="1" applyAlignment="1">
      <alignment horizontal="center"/>
    </xf>
    <xf numFmtId="0" fontId="0" fillId="0" borderId="0" xfId="0" pivotButton="1" applyAlignment="1">
      <alignment wrapText="1"/>
    </xf>
    <xf numFmtId="0" fontId="0" fillId="0" borderId="0" xfId="0" pivotButton="1" applyAlignment="1">
      <alignment vertical="center"/>
    </xf>
    <xf numFmtId="0" fontId="0" fillId="0" borderId="0" xfId="0" applyAlignment="1">
      <alignment vertical="center"/>
    </xf>
    <xf numFmtId="0" fontId="0" fillId="0" borderId="0" xfId="0" applyAlignment="1">
      <alignment horizontal="left" vertical="center"/>
    </xf>
    <xf numFmtId="0" fontId="0" fillId="0" borderId="0" xfId="0" pivotButton="1" applyAlignment="1">
      <alignment horizontal="center" vertical="center" wrapText="1"/>
    </xf>
    <xf numFmtId="0" fontId="0" fillId="0" borderId="0" xfId="0" applyAlignment="1">
      <alignment horizontal="center" vertical="center" wrapText="1"/>
    </xf>
    <xf numFmtId="9" fontId="0" fillId="0" borderId="0" xfId="0" applyNumberFormat="1" applyAlignment="1">
      <alignment horizontal="center" vertical="center"/>
    </xf>
    <xf numFmtId="0" fontId="0" fillId="0" borderId="0" xfId="0" applyAlignment="1">
      <alignment horizontal="center" wrapText="1"/>
    </xf>
    <xf numFmtId="1" fontId="0" fillId="0" borderId="0" xfId="0" applyNumberFormat="1" applyAlignment="1">
      <alignment horizontal="center" vertical="center"/>
    </xf>
    <xf numFmtId="0" fontId="0" fillId="0" borderId="0" xfId="0" applyAlignment="1">
      <alignment horizontal="center"/>
    </xf>
    <xf numFmtId="0" fontId="0" fillId="0" borderId="0" xfId="0" applyAlignment="1">
      <alignment wrapText="1"/>
    </xf>
    <xf numFmtId="0" fontId="0" fillId="2" borderId="0" xfId="0" applyFill="1" applyBorder="1"/>
    <xf numFmtId="0" fontId="24" fillId="5" borderId="21" xfId="0" applyFont="1" applyFill="1" applyBorder="1" applyAlignment="1">
      <alignment horizontal="left" vertical="center"/>
    </xf>
    <xf numFmtId="0" fontId="66" fillId="2" borderId="0" xfId="0" applyFont="1" applyFill="1" applyAlignment="1">
      <alignment vertical="center" wrapText="1"/>
    </xf>
    <xf numFmtId="0" fontId="24" fillId="2" borderId="0" xfId="0" applyFont="1" applyFill="1" applyBorder="1" applyAlignment="1">
      <alignment horizontal="left" vertical="center"/>
    </xf>
    <xf numFmtId="0" fontId="27" fillId="2" borderId="0" xfId="0" applyFont="1" applyFill="1" applyBorder="1" applyAlignment="1">
      <alignment horizontal="left" vertical="center"/>
    </xf>
    <xf numFmtId="0" fontId="0" fillId="2" borderId="0" xfId="0" applyFill="1" applyAlignment="1">
      <alignment vertical="center"/>
    </xf>
    <xf numFmtId="0" fontId="40" fillId="11" borderId="0" xfId="0" applyFont="1" applyFill="1" applyAlignment="1">
      <alignment vertical="center"/>
    </xf>
    <xf numFmtId="0" fontId="41" fillId="11" borderId="0" xfId="0" applyFont="1" applyFill="1" applyAlignment="1">
      <alignment vertical="center"/>
    </xf>
    <xf numFmtId="0" fontId="41" fillId="2" borderId="0" xfId="0" applyFont="1" applyFill="1" applyAlignment="1">
      <alignment vertical="center"/>
    </xf>
    <xf numFmtId="0" fontId="14" fillId="8" borderId="110" xfId="0" applyFont="1" applyFill="1" applyBorder="1" applyAlignment="1">
      <alignment vertical="center"/>
    </xf>
    <xf numFmtId="0" fontId="0" fillId="2" borderId="0" xfId="0" applyNumberFormat="1" applyFill="1" applyAlignment="1">
      <alignment vertical="center"/>
    </xf>
    <xf numFmtId="0" fontId="67" fillId="2" borderId="120" xfId="0" applyFont="1" applyFill="1" applyBorder="1" applyAlignment="1">
      <alignment horizontal="center" vertical="center"/>
    </xf>
    <xf numFmtId="0" fontId="0" fillId="2" borderId="121" xfId="0" applyFill="1" applyBorder="1" applyAlignment="1">
      <alignment vertical="center"/>
    </xf>
    <xf numFmtId="9" fontId="0" fillId="2" borderId="122" xfId="0" applyNumberFormat="1" applyFill="1" applyBorder="1" applyAlignment="1">
      <alignment vertical="center"/>
    </xf>
    <xf numFmtId="9" fontId="67" fillId="2" borderId="123" xfId="0" applyNumberFormat="1" applyFont="1" applyFill="1" applyBorder="1" applyAlignment="1">
      <alignment vertical="center"/>
    </xf>
    <xf numFmtId="0" fontId="0" fillId="2" borderId="124" xfId="0" applyFill="1" applyBorder="1" applyAlignment="1">
      <alignment vertical="center"/>
    </xf>
    <xf numFmtId="9" fontId="0" fillId="2" borderId="125" xfId="0" applyNumberFormat="1" applyFill="1" applyBorder="1" applyAlignment="1">
      <alignment vertical="center"/>
    </xf>
    <xf numFmtId="9" fontId="67" fillId="2" borderId="126" xfId="0" applyNumberFormat="1" applyFont="1" applyFill="1" applyBorder="1" applyAlignment="1">
      <alignment vertical="center"/>
    </xf>
    <xf numFmtId="0" fontId="0" fillId="2" borderId="127" xfId="0" applyFill="1" applyBorder="1" applyAlignment="1">
      <alignment vertical="center"/>
    </xf>
    <xf numFmtId="9" fontId="0" fillId="2" borderId="128" xfId="0" applyNumberFormat="1" applyFill="1" applyBorder="1" applyAlignment="1">
      <alignment vertical="center"/>
    </xf>
    <xf numFmtId="9" fontId="67" fillId="2" borderId="129" xfId="0" applyNumberFormat="1" applyFont="1" applyFill="1" applyBorder="1" applyAlignment="1">
      <alignment vertical="center"/>
    </xf>
    <xf numFmtId="165" fontId="0" fillId="5" borderId="91" xfId="4" applyFont="1" applyFill="1" applyBorder="1" applyAlignment="1">
      <alignment vertical="center"/>
    </xf>
    <xf numFmtId="3" fontId="13" fillId="5" borderId="92" xfId="4" applyNumberFormat="1" applyFill="1" applyBorder="1" applyAlignment="1">
      <alignment horizontal="center" vertical="center"/>
    </xf>
    <xf numFmtId="3" fontId="43" fillId="5" borderId="92" xfId="4" applyNumberFormat="1" applyFont="1" applyFill="1" applyBorder="1" applyAlignment="1">
      <alignment horizontal="center" vertical="center"/>
    </xf>
    <xf numFmtId="9" fontId="13" fillId="5" borderId="92" xfId="4" applyNumberFormat="1" applyFill="1" applyBorder="1" applyAlignment="1">
      <alignment horizontal="center" vertical="center"/>
    </xf>
    <xf numFmtId="9" fontId="13" fillId="5" borderId="94" xfId="4" applyNumberFormat="1" applyFill="1" applyBorder="1" applyAlignment="1">
      <alignment horizontal="left" vertical="center" wrapText="1"/>
    </xf>
    <xf numFmtId="9" fontId="0" fillId="2" borderId="121" xfId="0" applyNumberFormat="1" applyFill="1" applyBorder="1" applyAlignment="1">
      <alignment vertical="center"/>
    </xf>
    <xf numFmtId="9" fontId="0" fillId="2" borderId="124" xfId="0" applyNumberFormat="1" applyFill="1" applyBorder="1" applyAlignment="1">
      <alignment vertical="center"/>
    </xf>
    <xf numFmtId="9" fontId="0" fillId="2" borderId="127" xfId="0" applyNumberFormat="1" applyFill="1" applyBorder="1" applyAlignment="1">
      <alignment vertical="center"/>
    </xf>
    <xf numFmtId="165" fontId="63" fillId="2" borderId="0" xfId="4" applyFont="1" applyFill="1" applyAlignment="1">
      <alignment horizontal="center" vertical="center"/>
    </xf>
    <xf numFmtId="165" fontId="63" fillId="2" borderId="131" xfId="4" applyFont="1" applyFill="1" applyBorder="1" applyAlignment="1">
      <alignment horizontal="center" vertical="center"/>
    </xf>
    <xf numFmtId="165" fontId="63" fillId="2" borderId="132" xfId="4" applyFont="1" applyFill="1" applyBorder="1" applyAlignment="1">
      <alignment horizontal="center" vertical="center"/>
    </xf>
    <xf numFmtId="3" fontId="63" fillId="2" borderId="133" xfId="4" applyNumberFormat="1" applyFont="1" applyFill="1" applyBorder="1" applyAlignment="1">
      <alignment horizontal="center" vertical="center"/>
    </xf>
    <xf numFmtId="165" fontId="63" fillId="2" borderId="130" xfId="4" applyFont="1" applyFill="1" applyBorder="1" applyAlignment="1">
      <alignment horizontal="center" vertical="center"/>
    </xf>
    <xf numFmtId="9" fontId="51" fillId="12" borderId="59" xfId="21" applyNumberFormat="1" applyFont="1" applyFill="1" applyBorder="1" applyAlignment="1" applyProtection="1">
      <alignment horizontal="center" vertical="center" wrapText="1"/>
      <protection locked="0"/>
    </xf>
    <xf numFmtId="9" fontId="51" fillId="12" borderId="61" xfId="21" applyNumberFormat="1" applyFont="1" applyFill="1" applyBorder="1" applyAlignment="1" applyProtection="1">
      <alignment horizontal="center" vertical="center" wrapText="1"/>
      <protection locked="0"/>
    </xf>
    <xf numFmtId="0" fontId="51" fillId="2" borderId="68" xfId="21" applyFont="1" applyFill="1" applyBorder="1" applyAlignment="1" applyProtection="1">
      <alignment horizontal="center" vertical="center" wrapText="1"/>
      <protection locked="0"/>
    </xf>
    <xf numFmtId="9" fontId="51" fillId="2" borderId="64" xfId="21" applyNumberFormat="1" applyFont="1" applyFill="1" applyBorder="1" applyAlignment="1" applyProtection="1">
      <alignment horizontal="center" vertical="center" wrapText="1"/>
      <protection locked="0"/>
    </xf>
    <xf numFmtId="0" fontId="0" fillId="0" borderId="0" xfId="0" applyAlignment="1">
      <alignment horizontal="left" indent="1"/>
    </xf>
    <xf numFmtId="0" fontId="0" fillId="0" borderId="0" xfId="0" applyAlignment="1">
      <alignment horizontal="left" indent="2"/>
    </xf>
    <xf numFmtId="169" fontId="54" fillId="2" borderId="0" xfId="21" applyNumberFormat="1" applyFont="1" applyFill="1" applyProtection="1">
      <protection locked="0"/>
    </xf>
    <xf numFmtId="169" fontId="51" fillId="2" borderId="0" xfId="21" applyNumberFormat="1" applyFont="1" applyFill="1" applyProtection="1">
      <protection locked="0"/>
    </xf>
    <xf numFmtId="0" fontId="51" fillId="9" borderId="63" xfId="21" applyFont="1" applyFill="1" applyBorder="1" applyAlignment="1" applyProtection="1">
      <alignment horizontal="center" vertical="center" wrapText="1"/>
      <protection locked="0"/>
    </xf>
    <xf numFmtId="0" fontId="14" fillId="0" borderId="0" xfId="0" pivotButton="1" applyFont="1" applyAlignment="1">
      <alignment horizontal="center" vertical="center" wrapText="1"/>
    </xf>
    <xf numFmtId="0" fontId="14" fillId="2" borderId="0" xfId="0" applyFont="1" applyFill="1" applyAlignment="1">
      <alignment horizontal="center" vertical="center" wrapText="1"/>
    </xf>
    <xf numFmtId="0" fontId="68" fillId="0" borderId="0" xfId="0" applyFont="1" applyAlignment="1">
      <alignment horizontal="center" vertical="center" wrapText="1"/>
    </xf>
    <xf numFmtId="0" fontId="18" fillId="2" borderId="0" xfId="0" applyFont="1" applyFill="1" applyBorder="1" applyAlignment="1" applyProtection="1">
      <alignment horizontal="center" vertical="center"/>
      <protection locked="0"/>
    </xf>
    <xf numFmtId="164" fontId="17" fillId="2" borderId="0" xfId="1" applyNumberFormat="1" applyFont="1" applyFill="1" applyBorder="1" applyAlignment="1" applyProtection="1">
      <alignment horizontal="center" vertical="center"/>
      <protection locked="0"/>
    </xf>
    <xf numFmtId="0" fontId="0" fillId="2" borderId="0" xfId="0" applyFill="1" applyAlignment="1">
      <alignment horizontal="left"/>
    </xf>
    <xf numFmtId="0" fontId="69" fillId="2" borderId="0" xfId="0" applyFont="1" applyFill="1" applyBorder="1" applyAlignment="1" applyProtection="1">
      <alignment horizontal="left"/>
      <protection locked="0"/>
    </xf>
    <xf numFmtId="164" fontId="71" fillId="5" borderId="31" xfId="1" applyNumberFormat="1" applyFont="1" applyFill="1" applyBorder="1" applyAlignment="1" applyProtection="1">
      <alignment horizontal="center" vertical="center"/>
      <protection locked="0"/>
    </xf>
    <xf numFmtId="164" fontId="71" fillId="5" borderId="26" xfId="1" applyNumberFormat="1" applyFont="1" applyFill="1" applyBorder="1" applyAlignment="1" applyProtection="1">
      <alignment horizontal="center" vertical="center"/>
      <protection locked="0"/>
    </xf>
    <xf numFmtId="0" fontId="15" fillId="2" borderId="0" xfId="0" applyFont="1" applyFill="1" applyBorder="1" applyAlignment="1" applyProtection="1">
      <alignment horizontal="center" vertical="center"/>
      <protection locked="0"/>
    </xf>
    <xf numFmtId="9" fontId="15" fillId="2" borderId="0" xfId="0" applyNumberFormat="1" applyFont="1" applyFill="1" applyBorder="1" applyAlignment="1" applyProtection="1">
      <alignment horizontal="center"/>
      <protection locked="0"/>
    </xf>
    <xf numFmtId="0" fontId="15" fillId="2" borderId="0" xfId="0" applyFont="1" applyFill="1" applyBorder="1" applyAlignment="1" applyProtection="1">
      <alignment horizontal="left" wrapText="1"/>
      <protection locked="0"/>
    </xf>
    <xf numFmtId="0" fontId="19" fillId="3" borderId="6" xfId="0" applyFont="1" applyFill="1" applyBorder="1" applyAlignment="1" applyProtection="1">
      <alignment vertical="center" wrapText="1"/>
      <protection locked="0"/>
    </xf>
    <xf numFmtId="0" fontId="15" fillId="2" borderId="0" xfId="0" applyFont="1" applyFill="1" applyBorder="1" applyAlignment="1" applyProtection="1">
      <alignment horizontal="center" wrapText="1"/>
      <protection locked="0"/>
    </xf>
    <xf numFmtId="0" fontId="22" fillId="5" borderId="134" xfId="0" applyFont="1" applyFill="1" applyBorder="1" applyAlignment="1" applyProtection="1">
      <alignment horizontal="center" vertical="center" wrapText="1"/>
      <protection locked="0"/>
    </xf>
    <xf numFmtId="0" fontId="16" fillId="6" borderId="111" xfId="0" applyFont="1" applyFill="1" applyBorder="1" applyAlignment="1" applyProtection="1">
      <alignment vertical="center" wrapText="1"/>
      <protection locked="0"/>
    </xf>
    <xf numFmtId="0" fontId="17" fillId="3" borderId="111" xfId="0" applyFont="1" applyFill="1" applyBorder="1" applyAlignment="1" applyProtection="1">
      <alignment vertical="center" wrapText="1"/>
    </xf>
    <xf numFmtId="0" fontId="17" fillId="7" borderId="49" xfId="0" applyFont="1" applyFill="1" applyBorder="1" applyAlignment="1" applyProtection="1">
      <alignment horizontal="center" vertical="center" wrapText="1"/>
    </xf>
    <xf numFmtId="0" fontId="34" fillId="7" borderId="49" xfId="0" applyFont="1" applyFill="1" applyBorder="1" applyAlignment="1" applyProtection="1">
      <alignment horizontal="center" vertical="center" wrapText="1"/>
    </xf>
    <xf numFmtId="0" fontId="17" fillId="13" borderId="49" xfId="0" applyFont="1" applyFill="1" applyBorder="1" applyAlignment="1" applyProtection="1">
      <alignment horizontal="center" vertical="center" wrapText="1"/>
    </xf>
    <xf numFmtId="0" fontId="25" fillId="4" borderId="49" xfId="0" applyFont="1" applyFill="1" applyBorder="1" applyAlignment="1" applyProtection="1">
      <alignment horizontal="center" vertical="center" wrapText="1"/>
    </xf>
    <xf numFmtId="0" fontId="17" fillId="4" borderId="49" xfId="0" applyFont="1" applyFill="1" applyBorder="1" applyAlignment="1" applyProtection="1">
      <alignment horizontal="center" vertical="center" wrapText="1"/>
    </xf>
    <xf numFmtId="0" fontId="10" fillId="4" borderId="49" xfId="0" applyFont="1" applyFill="1" applyBorder="1" applyAlignment="1" applyProtection="1">
      <alignment horizontal="center" vertical="center" wrapText="1"/>
    </xf>
    <xf numFmtId="9" fontId="17" fillId="4" borderId="49" xfId="0" applyNumberFormat="1" applyFont="1" applyFill="1" applyBorder="1" applyAlignment="1" applyProtection="1">
      <alignment horizontal="center" vertical="center" wrapText="1"/>
    </xf>
    <xf numFmtId="0" fontId="34" fillId="13" borderId="49" xfId="0" applyFont="1" applyFill="1" applyBorder="1" applyAlignment="1" applyProtection="1">
      <alignment horizontal="center" vertical="center" wrapText="1"/>
    </xf>
    <xf numFmtId="9" fontId="25" fillId="4" borderId="49" xfId="0" applyNumberFormat="1" applyFont="1" applyFill="1" applyBorder="1" applyAlignment="1" applyProtection="1">
      <alignment horizontal="center" vertical="center" wrapText="1"/>
    </xf>
    <xf numFmtId="0" fontId="25" fillId="13" borderId="49" xfId="0" applyFont="1" applyFill="1" applyBorder="1" applyAlignment="1" applyProtection="1">
      <alignment horizontal="center" vertical="center" wrapText="1"/>
    </xf>
    <xf numFmtId="0" fontId="25" fillId="6" borderId="49" xfId="0" applyFont="1" applyFill="1" applyBorder="1" applyAlignment="1" applyProtection="1">
      <alignment horizontal="center" vertical="center" wrapText="1"/>
    </xf>
    <xf numFmtId="0" fontId="25" fillId="3" borderId="49" xfId="0" applyFont="1" applyFill="1" applyBorder="1" applyAlignment="1" applyProtection="1">
      <alignment horizontal="center" vertical="center" wrapText="1"/>
    </xf>
    <xf numFmtId="0" fontId="17" fillId="3" borderId="49" xfId="0" applyFont="1" applyFill="1" applyBorder="1" applyAlignment="1" applyProtection="1">
      <alignment horizontal="center" vertical="center" wrapText="1"/>
    </xf>
    <xf numFmtId="0" fontId="34" fillId="3" borderId="49" xfId="0" applyFont="1" applyFill="1" applyBorder="1" applyAlignment="1" applyProtection="1">
      <alignment horizontal="center" vertical="center" wrapText="1"/>
    </xf>
    <xf numFmtId="15" fontId="22" fillId="5" borderId="96" xfId="0" applyNumberFormat="1" applyFont="1" applyFill="1" applyBorder="1" applyAlignment="1" applyProtection="1">
      <alignment horizontal="center" vertical="center" wrapText="1"/>
      <protection locked="0"/>
    </xf>
    <xf numFmtId="168" fontId="22" fillId="5" borderId="96" xfId="0" applyNumberFormat="1" applyFont="1" applyFill="1" applyBorder="1" applyAlignment="1" applyProtection="1">
      <alignment horizontal="center" vertical="center" wrapText="1"/>
      <protection locked="0"/>
    </xf>
    <xf numFmtId="0" fontId="22" fillId="0" borderId="96" xfId="0" applyFont="1" applyFill="1" applyBorder="1" applyAlignment="1" applyProtection="1">
      <alignment horizontal="center" vertical="center" wrapText="1"/>
      <protection locked="0"/>
    </xf>
    <xf numFmtId="9" fontId="22" fillId="0" borderId="96" xfId="0" applyNumberFormat="1" applyFont="1" applyFill="1" applyBorder="1" applyAlignment="1" applyProtection="1">
      <alignment horizontal="center" vertical="center" wrapText="1"/>
      <protection locked="0"/>
    </xf>
    <xf numFmtId="1" fontId="22" fillId="0" borderId="96" xfId="0" applyNumberFormat="1" applyFont="1" applyFill="1" applyBorder="1" applyAlignment="1" applyProtection="1">
      <alignment horizontal="center" vertical="center" wrapText="1"/>
      <protection locked="0"/>
    </xf>
    <xf numFmtId="0" fontId="22" fillId="2" borderId="96" xfId="0" applyFont="1" applyFill="1" applyBorder="1" applyAlignment="1" applyProtection="1">
      <alignment horizontal="center" vertical="center" wrapText="1"/>
      <protection locked="0"/>
    </xf>
    <xf numFmtId="9" fontId="22" fillId="0" borderId="96" xfId="3" applyFont="1" applyFill="1" applyBorder="1" applyAlignment="1" applyProtection="1">
      <alignment horizontal="center" vertical="center" wrapText="1"/>
      <protection locked="0"/>
    </xf>
    <xf numFmtId="0" fontId="22" fillId="5" borderId="136" xfId="0" applyFont="1" applyFill="1" applyBorder="1" applyAlignment="1" applyProtection="1">
      <alignment horizontal="left" vertical="center" wrapText="1"/>
      <protection locked="0"/>
    </xf>
    <xf numFmtId="0" fontId="22" fillId="5" borderId="136" xfId="0" applyFont="1" applyFill="1" applyBorder="1" applyAlignment="1" applyProtection="1">
      <alignment horizontal="center" vertical="center" wrapText="1"/>
      <protection locked="0"/>
    </xf>
    <xf numFmtId="0" fontId="0" fillId="5" borderId="136" xfId="0" applyFill="1" applyBorder="1" applyAlignment="1">
      <alignment horizontal="center" vertical="center"/>
    </xf>
    <xf numFmtId="0" fontId="22" fillId="5" borderId="136" xfId="0" applyFont="1" applyFill="1" applyBorder="1" applyAlignment="1" applyProtection="1">
      <alignment horizontal="center" vertical="center" wrapText="1"/>
    </xf>
    <xf numFmtId="169" fontId="0" fillId="5" borderId="136" xfId="0" applyNumberFormat="1" applyFill="1" applyBorder="1" applyAlignment="1">
      <alignment horizontal="center" vertical="center"/>
    </xf>
    <xf numFmtId="0" fontId="0" fillId="0" borderId="136" xfId="0" applyBorder="1" applyAlignment="1">
      <alignment horizontal="center" vertical="center"/>
    </xf>
    <xf numFmtId="9" fontId="0" fillId="0" borderId="136" xfId="0" applyNumberFormat="1" applyBorder="1" applyAlignment="1">
      <alignment horizontal="center" vertical="center"/>
    </xf>
    <xf numFmtId="9" fontId="34" fillId="4" borderId="136" xfId="3" applyFont="1" applyFill="1" applyBorder="1" applyAlignment="1" applyProtection="1">
      <alignment horizontal="center" vertical="center" wrapText="1"/>
    </xf>
    <xf numFmtId="1" fontId="22" fillId="13" borderId="136" xfId="3" applyNumberFormat="1" applyFont="1" applyFill="1" applyBorder="1" applyAlignment="1" applyProtection="1">
      <alignment horizontal="center" vertical="center" wrapText="1"/>
    </xf>
    <xf numFmtId="9" fontId="34" fillId="4" borderId="136" xfId="0" applyNumberFormat="1" applyFont="1" applyFill="1" applyBorder="1" applyAlignment="1" applyProtection="1">
      <alignment horizontal="center" vertical="center" wrapText="1"/>
    </xf>
    <xf numFmtId="1" fontId="22" fillId="13" borderId="136" xfId="0" applyNumberFormat="1" applyFont="1" applyFill="1" applyBorder="1" applyAlignment="1" applyProtection="1">
      <alignment horizontal="center" vertical="center" wrapText="1"/>
    </xf>
    <xf numFmtId="0" fontId="34" fillId="4" borderId="136" xfId="0" applyFont="1" applyFill="1" applyBorder="1" applyAlignment="1" applyProtection="1">
      <alignment horizontal="center" vertical="center" wrapText="1"/>
    </xf>
    <xf numFmtId="1" fontId="34" fillId="13" borderId="136" xfId="3" applyNumberFormat="1" applyFont="1" applyFill="1" applyBorder="1" applyAlignment="1" applyProtection="1">
      <alignment horizontal="center" vertical="center" wrapText="1"/>
    </xf>
    <xf numFmtId="9" fontId="22" fillId="6" borderId="136" xfId="0" applyNumberFormat="1" applyFont="1" applyFill="1" applyBorder="1" applyAlignment="1" applyProtection="1">
      <alignment horizontal="center" vertical="center" wrapText="1"/>
    </xf>
    <xf numFmtId="1" fontId="22" fillId="13" borderId="136" xfId="0" applyNumberFormat="1" applyFont="1" applyFill="1" applyBorder="1" applyAlignment="1" applyProtection="1">
      <alignment horizontal="center" vertical="center" wrapText="1"/>
      <protection locked="0"/>
    </xf>
    <xf numFmtId="1" fontId="22" fillId="6" borderId="136" xfId="0" applyNumberFormat="1" applyFont="1" applyFill="1" applyBorder="1" applyAlignment="1" applyProtection="1">
      <alignment horizontal="center" vertical="center" wrapText="1"/>
    </xf>
    <xf numFmtId="169" fontId="22" fillId="3" borderId="136" xfId="0" applyNumberFormat="1" applyFont="1" applyFill="1" applyBorder="1" applyAlignment="1" applyProtection="1">
      <alignment horizontal="center" vertical="center" wrapText="1"/>
      <protection locked="0"/>
    </xf>
    <xf numFmtId="3" fontId="22" fillId="3" borderId="136" xfId="0" applyNumberFormat="1" applyFont="1" applyFill="1" applyBorder="1" applyAlignment="1" applyProtection="1">
      <alignment horizontal="center" vertical="center" wrapText="1"/>
    </xf>
    <xf numFmtId="9" fontId="22" fillId="3" borderId="136" xfId="0" applyNumberFormat="1" applyFont="1" applyFill="1" applyBorder="1" applyAlignment="1" applyProtection="1">
      <alignment horizontal="center" vertical="center" wrapText="1"/>
    </xf>
    <xf numFmtId="0" fontId="22" fillId="3" borderId="136" xfId="0" applyFont="1" applyFill="1" applyBorder="1" applyAlignment="1" applyProtection="1">
      <alignment horizontal="center" vertical="center" wrapText="1"/>
    </xf>
    <xf numFmtId="0" fontId="22" fillId="5" borderId="96" xfId="0" applyFont="1" applyFill="1" applyBorder="1" applyAlignment="1" applyProtection="1">
      <alignment horizontal="left" vertical="center" wrapText="1"/>
      <protection locked="0"/>
    </xf>
    <xf numFmtId="0" fontId="0" fillId="5" borderId="96" xfId="0" applyFill="1" applyBorder="1" applyAlignment="1">
      <alignment horizontal="center" vertical="center"/>
    </xf>
    <xf numFmtId="0" fontId="22" fillId="5" borderId="96" xfId="0" applyFont="1" applyFill="1" applyBorder="1" applyAlignment="1" applyProtection="1">
      <alignment horizontal="center" vertical="center" wrapText="1"/>
    </xf>
    <xf numFmtId="169" fontId="0" fillId="5" borderId="96" xfId="0" applyNumberFormat="1" applyFill="1" applyBorder="1" applyAlignment="1">
      <alignment horizontal="center" vertical="center"/>
    </xf>
    <xf numFmtId="0" fontId="0" fillId="0" borderId="96" xfId="0" applyBorder="1" applyAlignment="1">
      <alignment horizontal="center" vertical="center"/>
    </xf>
    <xf numFmtId="9" fontId="0" fillId="0" borderId="96" xfId="0" applyNumberFormat="1" applyBorder="1" applyAlignment="1">
      <alignment horizontal="center" vertical="center"/>
    </xf>
    <xf numFmtId="9" fontId="34" fillId="4" borderId="96" xfId="3" applyFont="1" applyFill="1" applyBorder="1" applyAlignment="1" applyProtection="1">
      <alignment horizontal="center" vertical="center" wrapText="1"/>
    </xf>
    <xf numFmtId="1" fontId="22" fillId="13" borderId="96" xfId="3" applyNumberFormat="1" applyFont="1" applyFill="1" applyBorder="1" applyAlignment="1" applyProtection="1">
      <alignment horizontal="center" vertical="center" wrapText="1"/>
    </xf>
    <xf numFmtId="9" fontId="34" fillId="4" borderId="96" xfId="0" applyNumberFormat="1" applyFont="1" applyFill="1" applyBorder="1" applyAlignment="1" applyProtection="1">
      <alignment horizontal="center" vertical="center" wrapText="1"/>
    </xf>
    <xf numFmtId="1" fontId="22" fillId="13" borderId="96" xfId="0" applyNumberFormat="1" applyFont="1" applyFill="1" applyBorder="1" applyAlignment="1" applyProtection="1">
      <alignment horizontal="center" vertical="center" wrapText="1"/>
    </xf>
    <xf numFmtId="0" fontId="34" fillId="4" borderId="96" xfId="0" applyFont="1" applyFill="1" applyBorder="1" applyAlignment="1" applyProtection="1">
      <alignment horizontal="center" vertical="center" wrapText="1"/>
    </xf>
    <xf numFmtId="1" fontId="34" fillId="13" borderId="96" xfId="3" applyNumberFormat="1" applyFont="1" applyFill="1" applyBorder="1" applyAlignment="1" applyProtection="1">
      <alignment horizontal="center" vertical="center" wrapText="1"/>
    </xf>
    <xf numFmtId="9" fontId="22" fillId="6" borderId="96" xfId="0" applyNumberFormat="1" applyFont="1" applyFill="1" applyBorder="1" applyAlignment="1" applyProtection="1">
      <alignment horizontal="center" vertical="center" wrapText="1"/>
    </xf>
    <xf numFmtId="1" fontId="22" fillId="13" borderId="96" xfId="0" applyNumberFormat="1" applyFont="1" applyFill="1" applyBorder="1" applyAlignment="1" applyProtection="1">
      <alignment horizontal="center" vertical="center" wrapText="1"/>
      <protection locked="0"/>
    </xf>
    <xf numFmtId="1" fontId="22" fillId="6" borderId="96" xfId="0" applyNumberFormat="1" applyFont="1" applyFill="1" applyBorder="1" applyAlignment="1" applyProtection="1">
      <alignment horizontal="center" vertical="center" wrapText="1"/>
    </xf>
    <xf numFmtId="169" fontId="22" fillId="3" borderId="96" xfId="0" applyNumberFormat="1" applyFont="1" applyFill="1" applyBorder="1" applyAlignment="1" applyProtection="1">
      <alignment horizontal="center" vertical="center" wrapText="1"/>
      <protection locked="0"/>
    </xf>
    <xf numFmtId="3" fontId="22" fillId="3" borderId="96" xfId="0" applyNumberFormat="1" applyFont="1" applyFill="1" applyBorder="1" applyAlignment="1" applyProtection="1">
      <alignment horizontal="center" vertical="center" wrapText="1"/>
    </xf>
    <xf numFmtId="9" fontId="22" fillId="3" borderId="96" xfId="0" applyNumberFormat="1" applyFont="1" applyFill="1" applyBorder="1" applyAlignment="1" applyProtection="1">
      <alignment horizontal="center" vertical="center" wrapText="1"/>
    </xf>
    <xf numFmtId="0" fontId="22" fillId="3" borderId="96" xfId="0" applyFont="1" applyFill="1" applyBorder="1" applyAlignment="1" applyProtection="1">
      <alignment horizontal="center" vertical="center" wrapText="1"/>
    </xf>
    <xf numFmtId="0" fontId="0" fillId="0" borderId="135" xfId="0" applyBorder="1" applyAlignment="1">
      <alignment horizontal="center" vertical="center" wrapText="1"/>
    </xf>
    <xf numFmtId="3" fontId="22" fillId="3" borderId="96" xfId="0" applyNumberFormat="1" applyFont="1" applyFill="1" applyBorder="1" applyAlignment="1" applyProtection="1">
      <alignment horizontal="center" vertical="center" wrapText="1"/>
      <protection locked="0"/>
    </xf>
    <xf numFmtId="9" fontId="22" fillId="3" borderId="96" xfId="0" applyNumberFormat="1" applyFont="1" applyFill="1" applyBorder="1" applyAlignment="1" applyProtection="1">
      <alignment horizontal="center" vertical="center" wrapText="1"/>
      <protection locked="0"/>
    </xf>
    <xf numFmtId="9" fontId="22" fillId="2" borderId="96" xfId="3" applyFont="1" applyFill="1" applyBorder="1" applyAlignment="1" applyProtection="1">
      <alignment horizontal="center" vertical="center" wrapText="1"/>
    </xf>
    <xf numFmtId="0" fontId="22" fillId="5" borderId="134" xfId="0" applyFont="1" applyFill="1" applyBorder="1" applyAlignment="1" applyProtection="1">
      <alignment horizontal="center" vertical="center" wrapText="1"/>
    </xf>
    <xf numFmtId="9" fontId="34" fillId="4" borderId="134" xfId="3" applyFont="1" applyFill="1" applyBorder="1" applyAlignment="1" applyProtection="1">
      <alignment horizontal="center" vertical="center" wrapText="1"/>
    </xf>
    <xf numFmtId="1" fontId="22" fillId="13" borderId="134" xfId="3" applyNumberFormat="1" applyFont="1" applyFill="1" applyBorder="1" applyAlignment="1" applyProtection="1">
      <alignment horizontal="center" vertical="center" wrapText="1"/>
    </xf>
    <xf numFmtId="9" fontId="34" fillId="4" borderId="134" xfId="0" applyNumberFormat="1" applyFont="1" applyFill="1" applyBorder="1" applyAlignment="1" applyProtection="1">
      <alignment horizontal="center" vertical="center" wrapText="1"/>
    </xf>
    <xf numFmtId="1" fontId="22" fillId="13" borderId="134" xfId="0" applyNumberFormat="1" applyFont="1" applyFill="1" applyBorder="1" applyAlignment="1" applyProtection="1">
      <alignment horizontal="center" vertical="center" wrapText="1"/>
    </xf>
    <xf numFmtId="0" fontId="34" fillId="4" borderId="134" xfId="0" applyFont="1" applyFill="1" applyBorder="1" applyAlignment="1" applyProtection="1">
      <alignment horizontal="center" vertical="center" wrapText="1"/>
    </xf>
    <xf numFmtId="1" fontId="34" fillId="13" borderId="134" xfId="3" applyNumberFormat="1" applyFont="1" applyFill="1" applyBorder="1" applyAlignment="1" applyProtection="1">
      <alignment horizontal="center" vertical="center" wrapText="1"/>
    </xf>
    <xf numFmtId="0" fontId="0" fillId="0" borderId="134" xfId="0" applyBorder="1" applyAlignment="1">
      <alignment horizontal="center" vertical="center"/>
    </xf>
    <xf numFmtId="9" fontId="22" fillId="6" borderId="134" xfId="0" applyNumberFormat="1" applyFont="1" applyFill="1" applyBorder="1" applyAlignment="1" applyProtection="1">
      <alignment horizontal="center" vertical="center" wrapText="1"/>
    </xf>
    <xf numFmtId="1" fontId="22" fillId="13" borderId="134" xfId="0" applyNumberFormat="1" applyFont="1" applyFill="1" applyBorder="1" applyAlignment="1" applyProtection="1">
      <alignment horizontal="center" vertical="center" wrapText="1"/>
      <protection locked="0"/>
    </xf>
    <xf numFmtId="1" fontId="22" fillId="6" borderId="134" xfId="0" applyNumberFormat="1" applyFont="1" applyFill="1" applyBorder="1" applyAlignment="1" applyProtection="1">
      <alignment horizontal="center" vertical="center" wrapText="1"/>
    </xf>
    <xf numFmtId="3" fontId="22" fillId="3" borderId="134" xfId="0" applyNumberFormat="1" applyFont="1" applyFill="1" applyBorder="1" applyAlignment="1" applyProtection="1">
      <alignment horizontal="center" vertical="center" wrapText="1"/>
      <protection locked="0"/>
    </xf>
    <xf numFmtId="9" fontId="22" fillId="3" borderId="134" xfId="0" applyNumberFormat="1" applyFont="1" applyFill="1" applyBorder="1" applyAlignment="1" applyProtection="1">
      <alignment horizontal="center" vertical="center" wrapText="1"/>
      <protection locked="0"/>
    </xf>
    <xf numFmtId="0" fontId="22" fillId="3" borderId="134" xfId="0" applyFont="1" applyFill="1" applyBorder="1" applyAlignment="1" applyProtection="1">
      <alignment horizontal="center" vertical="center" wrapText="1"/>
    </xf>
    <xf numFmtId="0" fontId="22" fillId="5" borderId="139" xfId="0" applyFont="1" applyFill="1" applyBorder="1" applyAlignment="1" applyProtection="1">
      <alignment horizontal="left" vertical="center" wrapText="1"/>
      <protection locked="0"/>
    </xf>
    <xf numFmtId="0" fontId="0" fillId="5" borderId="137" xfId="0" applyFill="1" applyBorder="1" applyAlignment="1">
      <alignment horizontal="center" vertical="center"/>
    </xf>
    <xf numFmtId="0" fontId="22" fillId="5" borderId="140" xfId="0" applyFont="1" applyFill="1" applyBorder="1" applyAlignment="1" applyProtection="1">
      <alignment horizontal="left" vertical="center" wrapText="1"/>
      <protection locked="0"/>
    </xf>
    <xf numFmtId="0" fontId="0" fillId="5" borderId="135" xfId="0" applyFill="1" applyBorder="1" applyAlignment="1">
      <alignment horizontal="center" vertical="center"/>
    </xf>
    <xf numFmtId="15" fontId="22" fillId="5" borderId="135" xfId="0" applyNumberFormat="1" applyFont="1" applyFill="1" applyBorder="1" applyAlignment="1" applyProtection="1">
      <alignment horizontal="center" vertical="center" wrapText="1"/>
      <protection locked="0"/>
    </xf>
    <xf numFmtId="0" fontId="32" fillId="5" borderId="116" xfId="0" applyFont="1" applyFill="1" applyBorder="1" applyAlignment="1" applyProtection="1">
      <alignment horizontal="center" vertical="center"/>
      <protection locked="0"/>
    </xf>
    <xf numFmtId="0" fontId="17" fillId="13" borderId="114" xfId="0" applyFont="1" applyFill="1" applyBorder="1" applyAlignment="1" applyProtection="1">
      <alignment horizontal="center" vertical="center" wrapText="1"/>
    </xf>
    <xf numFmtId="15" fontId="22" fillId="13" borderId="142" xfId="0" applyNumberFormat="1" applyFont="1" applyFill="1" applyBorder="1" applyAlignment="1" applyProtection="1">
      <alignment horizontal="center" vertical="center" wrapText="1"/>
      <protection locked="0"/>
    </xf>
    <xf numFmtId="15" fontId="22" fillId="13" borderId="21" xfId="0" applyNumberFormat="1" applyFont="1" applyFill="1" applyBorder="1" applyAlignment="1" applyProtection="1">
      <alignment horizontal="center" vertical="center" wrapText="1"/>
      <protection locked="0"/>
    </xf>
    <xf numFmtId="15" fontId="22" fillId="13" borderId="143" xfId="0" applyNumberFormat="1" applyFont="1" applyFill="1" applyBorder="1" applyAlignment="1" applyProtection="1">
      <alignment horizontal="center" vertical="center" wrapText="1"/>
      <protection locked="0"/>
    </xf>
    <xf numFmtId="0" fontId="0" fillId="0" borderId="139" xfId="0" applyBorder="1" applyAlignment="1">
      <alignment horizontal="center" vertical="center"/>
    </xf>
    <xf numFmtId="0" fontId="0" fillId="0" borderId="137" xfId="0" applyBorder="1" applyAlignment="1">
      <alignment horizontal="center" vertical="center"/>
    </xf>
    <xf numFmtId="0" fontId="0" fillId="0" borderId="140" xfId="0" applyBorder="1" applyAlignment="1">
      <alignment horizontal="center" vertical="center"/>
    </xf>
    <xf numFmtId="0" fontId="0" fillId="0" borderId="135" xfId="0" applyBorder="1" applyAlignment="1">
      <alignment horizontal="center" vertical="center"/>
    </xf>
    <xf numFmtId="0" fontId="22" fillId="0" borderId="140" xfId="0" applyFont="1" applyFill="1" applyBorder="1" applyAlignment="1" applyProtection="1">
      <alignment horizontal="center" vertical="center" wrapText="1"/>
      <protection locked="0"/>
    </xf>
    <xf numFmtId="0" fontId="0" fillId="0" borderId="138" xfId="0" applyBorder="1" applyAlignment="1">
      <alignment horizontal="center" vertical="center"/>
    </xf>
    <xf numFmtId="0" fontId="25" fillId="3" borderId="115" xfId="0" applyFont="1" applyFill="1" applyBorder="1" applyAlignment="1" applyProtection="1">
      <alignment horizontal="center" vertical="center" wrapText="1"/>
    </xf>
    <xf numFmtId="9" fontId="22" fillId="0" borderId="135" xfId="0" applyNumberFormat="1" applyFont="1" applyFill="1" applyBorder="1" applyAlignment="1" applyProtection="1">
      <alignment horizontal="center" vertical="center" wrapText="1"/>
      <protection locked="0"/>
    </xf>
    <xf numFmtId="0" fontId="0" fillId="5" borderId="96" xfId="0" applyFont="1" applyFill="1" applyBorder="1" applyAlignment="1">
      <alignment horizontal="left" vertical="center"/>
    </xf>
    <xf numFmtId="0" fontId="22" fillId="5" borderId="135" xfId="0" applyFont="1" applyFill="1" applyBorder="1" applyAlignment="1" applyProtection="1">
      <alignment horizontal="center" vertical="center" wrapText="1"/>
      <protection locked="0"/>
    </xf>
    <xf numFmtId="0" fontId="22" fillId="13" borderId="96" xfId="0" applyFont="1" applyFill="1" applyBorder="1" applyAlignment="1" applyProtection="1">
      <alignment horizontal="center" vertical="center" wrapText="1"/>
      <protection locked="0"/>
    </xf>
    <xf numFmtId="0" fontId="0" fillId="0" borderId="96" xfId="0" applyFill="1" applyBorder="1" applyAlignment="1">
      <alignment horizontal="center" vertical="center"/>
    </xf>
    <xf numFmtId="0" fontId="22" fillId="5" borderId="135" xfId="0" applyFont="1" applyFill="1" applyBorder="1" applyAlignment="1" applyProtection="1">
      <alignment horizontal="left" vertical="center" wrapText="1"/>
      <protection locked="0"/>
    </xf>
    <xf numFmtId="0" fontId="22" fillId="5" borderId="96" xfId="0" applyFont="1" applyFill="1" applyBorder="1" applyAlignment="1" applyProtection="1">
      <alignment horizontal="left" vertical="top" wrapText="1"/>
      <protection locked="0"/>
    </xf>
    <xf numFmtId="0" fontId="0" fillId="5" borderId="134" xfId="0" applyFill="1" applyBorder="1" applyAlignment="1">
      <alignment horizontal="center" vertical="center"/>
    </xf>
    <xf numFmtId="0" fontId="0" fillId="5" borderId="138" xfId="0" applyFill="1" applyBorder="1" applyAlignment="1">
      <alignment horizontal="center" vertical="center"/>
    </xf>
    <xf numFmtId="0" fontId="0" fillId="5" borderId="139" xfId="0" applyFill="1" applyBorder="1" applyAlignment="1">
      <alignment horizontal="center" vertical="center"/>
    </xf>
    <xf numFmtId="0" fontId="22" fillId="13" borderId="136" xfId="0" applyFont="1" applyFill="1" applyBorder="1" applyAlignment="1" applyProtection="1">
      <alignment horizontal="center" vertical="center" wrapText="1"/>
      <protection locked="0"/>
    </xf>
    <xf numFmtId="0" fontId="0" fillId="5" borderId="140" xfId="0" applyFill="1" applyBorder="1" applyAlignment="1">
      <alignment horizontal="center" vertical="center"/>
    </xf>
    <xf numFmtId="0" fontId="22" fillId="5" borderId="140" xfId="0" applyFont="1" applyFill="1" applyBorder="1" applyAlignment="1" applyProtection="1">
      <alignment horizontal="center" vertical="center" wrapText="1"/>
      <protection locked="0"/>
    </xf>
    <xf numFmtId="0" fontId="0" fillId="5" borderId="141" xfId="0" applyFill="1" applyBorder="1" applyAlignment="1">
      <alignment horizontal="center" vertical="center"/>
    </xf>
    <xf numFmtId="0" fontId="22" fillId="13" borderId="134" xfId="0" applyFont="1" applyFill="1" applyBorder="1" applyAlignment="1" applyProtection="1">
      <alignment horizontal="center" vertical="center" wrapText="1"/>
      <protection locked="0"/>
    </xf>
    <xf numFmtId="169" fontId="0" fillId="5" borderId="134" xfId="0" applyNumberFormat="1" applyFill="1" applyBorder="1" applyAlignment="1">
      <alignment horizontal="center" vertical="center"/>
    </xf>
    <xf numFmtId="0" fontId="0" fillId="0" borderId="136" xfId="0" applyFill="1" applyBorder="1" applyAlignment="1">
      <alignment horizontal="center" vertical="center"/>
    </xf>
    <xf numFmtId="0" fontId="43" fillId="0" borderId="96" xfId="0" applyFont="1" applyFill="1" applyBorder="1" applyAlignment="1">
      <alignment horizontal="center" vertical="center"/>
    </xf>
    <xf numFmtId="0" fontId="0" fillId="0" borderId="134" xfId="0" applyFill="1" applyBorder="1" applyAlignment="1">
      <alignment horizontal="center" vertical="center"/>
    </xf>
    <xf numFmtId="0" fontId="22" fillId="0" borderId="135" xfId="0" applyFont="1" applyFill="1" applyBorder="1" applyAlignment="1" applyProtection="1">
      <alignment horizontal="center" vertical="center" wrapText="1"/>
      <protection locked="0"/>
    </xf>
    <xf numFmtId="0" fontId="0" fillId="0" borderId="141" xfId="0" applyBorder="1" applyAlignment="1">
      <alignment horizontal="center" vertical="center"/>
    </xf>
    <xf numFmtId="0" fontId="0" fillId="0" borderId="135" xfId="0" applyFill="1" applyBorder="1" applyAlignment="1">
      <alignment horizontal="center" vertical="center"/>
    </xf>
    <xf numFmtId="0" fontId="0" fillId="0" borderId="140" xfId="0" applyFill="1" applyBorder="1" applyAlignment="1">
      <alignment horizontal="center" vertical="center"/>
    </xf>
    <xf numFmtId="9" fontId="0" fillId="0" borderId="139" xfId="0" applyNumberFormat="1" applyBorder="1" applyAlignment="1">
      <alignment horizontal="center" vertical="center"/>
    </xf>
    <xf numFmtId="9" fontId="0" fillId="0" borderId="137" xfId="0" applyNumberFormat="1" applyBorder="1" applyAlignment="1">
      <alignment horizontal="center" vertical="center"/>
    </xf>
    <xf numFmtId="9" fontId="0" fillId="0" borderId="140" xfId="0" applyNumberFormat="1" applyBorder="1" applyAlignment="1">
      <alignment horizontal="center" vertical="center"/>
    </xf>
    <xf numFmtId="9" fontId="0" fillId="0" borderId="135" xfId="0" applyNumberFormat="1" applyBorder="1" applyAlignment="1">
      <alignment horizontal="center" vertical="center"/>
    </xf>
    <xf numFmtId="9" fontId="22" fillId="0" borderId="140" xfId="3" applyFont="1" applyFill="1" applyBorder="1" applyAlignment="1" applyProtection="1">
      <alignment horizontal="center" vertical="center" wrapText="1"/>
      <protection locked="0"/>
    </xf>
    <xf numFmtId="9" fontId="0" fillId="0" borderId="140" xfId="0" applyNumberFormat="1" applyFill="1" applyBorder="1" applyAlignment="1">
      <alignment horizontal="center" vertical="center"/>
    </xf>
    <xf numFmtId="9" fontId="0" fillId="0" borderId="135" xfId="0" applyNumberFormat="1" applyFill="1" applyBorder="1" applyAlignment="1">
      <alignment horizontal="center" vertical="center"/>
    </xf>
    <xf numFmtId="9" fontId="0" fillId="0" borderId="138" xfId="0" applyNumberFormat="1" applyBorder="1" applyAlignment="1">
      <alignment horizontal="center" vertical="center"/>
    </xf>
    <xf numFmtId="9" fontId="34" fillId="4" borderId="139" xfId="3" applyFont="1" applyFill="1" applyBorder="1" applyAlignment="1" applyProtection="1">
      <alignment horizontal="center" vertical="center" wrapText="1"/>
    </xf>
    <xf numFmtId="9" fontId="34" fillId="4" borderId="140" xfId="3" applyFont="1" applyFill="1" applyBorder="1" applyAlignment="1" applyProtection="1">
      <alignment horizontal="center" vertical="center" wrapText="1"/>
    </xf>
    <xf numFmtId="9" fontId="34" fillId="4" borderId="141" xfId="3" applyFont="1" applyFill="1" applyBorder="1" applyAlignment="1" applyProtection="1">
      <alignment horizontal="center" vertical="center" wrapText="1"/>
    </xf>
    <xf numFmtId="0" fontId="22" fillId="13" borderId="142" xfId="0" applyNumberFormat="1" applyFont="1" applyFill="1" applyBorder="1" applyAlignment="1" applyProtection="1">
      <alignment horizontal="center" vertical="center" wrapText="1"/>
    </xf>
    <xf numFmtId="0" fontId="22" fillId="13" borderId="21" xfId="0" applyNumberFormat="1" applyFont="1" applyFill="1" applyBorder="1" applyAlignment="1" applyProtection="1">
      <alignment horizontal="center" vertical="center" wrapText="1"/>
    </xf>
    <xf numFmtId="0" fontId="22" fillId="13" borderId="143" xfId="0" applyNumberFormat="1" applyFont="1" applyFill="1" applyBorder="1" applyAlignment="1" applyProtection="1">
      <alignment horizontal="center" vertical="center" wrapText="1"/>
    </xf>
    <xf numFmtId="0" fontId="0" fillId="0" borderId="144" xfId="0" applyBorder="1" applyAlignment="1">
      <alignment horizontal="center" vertical="center"/>
    </xf>
    <xf numFmtId="0" fontId="0" fillId="0" borderId="145" xfId="0" applyBorder="1" applyAlignment="1">
      <alignment horizontal="center" vertical="center" wrapText="1"/>
    </xf>
    <xf numFmtId="0" fontId="0" fillId="0" borderId="145" xfId="0" applyBorder="1" applyAlignment="1">
      <alignment horizontal="center" vertical="center"/>
    </xf>
    <xf numFmtId="9" fontId="22" fillId="0" borderId="145" xfId="0" applyNumberFormat="1" applyFont="1" applyFill="1" applyBorder="1" applyAlignment="1" applyProtection="1">
      <alignment horizontal="center" vertical="center" wrapText="1"/>
      <protection locked="0"/>
    </xf>
    <xf numFmtId="0" fontId="0" fillId="0" borderId="145" xfId="0" applyBorder="1" applyAlignment="1">
      <alignment horizontal="left" vertical="center" wrapText="1"/>
    </xf>
    <xf numFmtId="0" fontId="0" fillId="0" borderId="118" xfId="0" applyBorder="1" applyAlignment="1">
      <alignment horizontal="center" vertical="center"/>
    </xf>
    <xf numFmtId="0" fontId="0" fillId="0" borderId="139" xfId="0" applyFill="1" applyBorder="1" applyAlignment="1">
      <alignment horizontal="center" vertical="center"/>
    </xf>
    <xf numFmtId="9" fontId="22" fillId="2" borderId="135" xfId="3" applyFont="1" applyFill="1" applyBorder="1" applyAlignment="1" applyProtection="1">
      <alignment horizontal="center" vertical="center" wrapText="1"/>
    </xf>
    <xf numFmtId="1" fontId="22" fillId="2" borderId="96" xfId="0" applyNumberFormat="1" applyFont="1" applyFill="1" applyBorder="1" applyAlignment="1" applyProtection="1">
      <alignment horizontal="center" vertical="center" wrapText="1"/>
    </xf>
    <xf numFmtId="1" fontId="22" fillId="0" borderId="96" xfId="0" applyNumberFormat="1" applyFont="1" applyFill="1" applyBorder="1" applyAlignment="1" applyProtection="1">
      <alignment horizontal="center" vertical="center" wrapText="1"/>
    </xf>
    <xf numFmtId="9" fontId="0" fillId="0" borderId="134" xfId="0" applyNumberFormat="1" applyBorder="1" applyAlignment="1">
      <alignment horizontal="center" vertical="center"/>
    </xf>
    <xf numFmtId="0" fontId="0" fillId="0" borderId="144" xfId="0" applyBorder="1" applyAlignment="1">
      <alignment horizontal="center" vertical="center" wrapText="1"/>
    </xf>
    <xf numFmtId="0" fontId="0" fillId="0" borderId="118" xfId="0" applyBorder="1" applyAlignment="1">
      <alignment horizontal="center" vertical="center" wrapText="1"/>
    </xf>
    <xf numFmtId="169" fontId="0" fillId="0" borderId="139" xfId="0" applyNumberFormat="1" applyBorder="1" applyAlignment="1">
      <alignment horizontal="center" vertical="center"/>
    </xf>
    <xf numFmtId="3" fontId="22" fillId="3" borderId="137" xfId="0" applyNumberFormat="1" applyFont="1" applyFill="1" applyBorder="1" applyAlignment="1" applyProtection="1">
      <alignment horizontal="center" vertical="center" wrapText="1"/>
    </xf>
    <xf numFmtId="169" fontId="0" fillId="0" borderId="140" xfId="0" applyNumberFormat="1" applyBorder="1" applyAlignment="1">
      <alignment horizontal="center" vertical="center"/>
    </xf>
    <xf numFmtId="3" fontId="22" fillId="3" borderId="135" xfId="0" applyNumberFormat="1" applyFont="1" applyFill="1" applyBorder="1" applyAlignment="1" applyProtection="1">
      <alignment horizontal="center" vertical="center" wrapText="1"/>
    </xf>
    <xf numFmtId="169" fontId="22" fillId="0" borderId="140" xfId="0" applyNumberFormat="1" applyFont="1" applyFill="1" applyBorder="1" applyAlignment="1" applyProtection="1">
      <alignment horizontal="center" vertical="center" wrapText="1"/>
      <protection locked="0"/>
    </xf>
    <xf numFmtId="169" fontId="0" fillId="0" borderId="140" xfId="0" applyNumberFormat="1" applyFill="1" applyBorder="1" applyAlignment="1">
      <alignment horizontal="center" vertical="center"/>
    </xf>
    <xf numFmtId="3" fontId="22" fillId="3" borderId="135" xfId="0" applyNumberFormat="1" applyFont="1" applyFill="1" applyBorder="1" applyAlignment="1" applyProtection="1">
      <alignment horizontal="center" vertical="center" wrapText="1"/>
      <protection locked="0"/>
    </xf>
    <xf numFmtId="169" fontId="22" fillId="3" borderId="134" xfId="0" applyNumberFormat="1" applyFont="1" applyFill="1" applyBorder="1" applyAlignment="1" applyProtection="1">
      <alignment horizontal="center" vertical="center" wrapText="1"/>
      <protection locked="0"/>
    </xf>
    <xf numFmtId="3" fontId="22" fillId="3" borderId="138" xfId="0" applyNumberFormat="1" applyFont="1" applyFill="1" applyBorder="1" applyAlignment="1" applyProtection="1">
      <alignment horizontal="center" vertical="center" wrapText="1"/>
      <protection locked="0"/>
    </xf>
    <xf numFmtId="0" fontId="15" fillId="2" borderId="140" xfId="0" applyFont="1" applyFill="1" applyBorder="1" applyAlignment="1" applyProtection="1">
      <alignment horizontal="center"/>
      <protection locked="0"/>
    </xf>
    <xf numFmtId="1" fontId="22" fillId="0" borderId="140" xfId="0" applyNumberFormat="1" applyFont="1" applyFill="1" applyBorder="1" applyAlignment="1" applyProtection="1">
      <alignment horizontal="center" vertical="center" wrapText="1"/>
      <protection locked="0"/>
    </xf>
    <xf numFmtId="9" fontId="0" fillId="0" borderId="138" xfId="0" applyNumberFormat="1" applyFill="1" applyBorder="1" applyAlignment="1">
      <alignment horizontal="center" vertical="center"/>
    </xf>
    <xf numFmtId="3" fontId="22" fillId="13" borderId="142" xfId="0" applyNumberFormat="1" applyFont="1" applyFill="1" applyBorder="1" applyAlignment="1" applyProtection="1">
      <alignment horizontal="center" vertical="center" wrapText="1"/>
      <protection locked="0"/>
    </xf>
    <xf numFmtId="3" fontId="22" fillId="13" borderId="21" xfId="0" applyNumberFormat="1" applyFont="1" applyFill="1" applyBorder="1" applyAlignment="1" applyProtection="1">
      <alignment horizontal="center" vertical="center" wrapText="1"/>
      <protection locked="0"/>
    </xf>
    <xf numFmtId="3" fontId="22" fillId="13" borderId="143" xfId="0" applyNumberFormat="1" applyFont="1" applyFill="1" applyBorder="1" applyAlignment="1" applyProtection="1">
      <alignment horizontal="center" vertical="center" wrapText="1"/>
      <protection locked="0"/>
    </xf>
    <xf numFmtId="1" fontId="22" fillId="0" borderId="135" xfId="0" applyNumberFormat="1" applyFont="1" applyFill="1" applyBorder="1" applyAlignment="1" applyProtection="1">
      <alignment horizontal="center" vertical="center" wrapText="1"/>
      <protection locked="0"/>
    </xf>
    <xf numFmtId="0" fontId="0" fillId="0" borderId="141" xfId="0" applyFill="1" applyBorder="1" applyAlignment="1">
      <alignment horizontal="center" vertical="center"/>
    </xf>
    <xf numFmtId="0" fontId="0" fillId="0" borderId="138" xfId="0" applyFill="1" applyBorder="1" applyAlignment="1">
      <alignment horizontal="center" vertical="center"/>
    </xf>
    <xf numFmtId="0" fontId="22" fillId="0" borderId="145" xfId="0" applyFont="1" applyFill="1" applyBorder="1" applyAlignment="1" applyProtection="1">
      <alignment horizontal="center" vertical="center" wrapText="1"/>
      <protection locked="0"/>
    </xf>
    <xf numFmtId="0" fontId="22" fillId="5" borderId="141" xfId="0" applyFont="1" applyFill="1" applyBorder="1" applyAlignment="1" applyProtection="1">
      <alignment horizontal="left" vertical="center" wrapText="1"/>
      <protection locked="0"/>
    </xf>
    <xf numFmtId="0" fontId="22" fillId="5" borderId="134" xfId="0" applyFont="1" applyFill="1" applyBorder="1" applyAlignment="1" applyProtection="1">
      <alignment horizontal="left" vertical="center" wrapText="1"/>
      <protection locked="0"/>
    </xf>
    <xf numFmtId="9" fontId="0" fillId="0" borderId="141" xfId="0" applyNumberFormat="1" applyFill="1" applyBorder="1" applyAlignment="1">
      <alignment horizontal="center" vertical="center"/>
    </xf>
    <xf numFmtId="169" fontId="0" fillId="0" borderId="141" xfId="0" applyNumberFormat="1" applyFill="1" applyBorder="1" applyAlignment="1">
      <alignment horizontal="center" vertical="center"/>
    </xf>
    <xf numFmtId="0" fontId="74" fillId="0" borderId="32" xfId="0" applyFont="1" applyBorder="1"/>
    <xf numFmtId="0" fontId="74" fillId="0" borderId="32" xfId="0" pivotButton="1" applyFont="1" applyBorder="1"/>
    <xf numFmtId="0" fontId="74" fillId="0" borderId="33" xfId="0" applyFont="1" applyBorder="1"/>
    <xf numFmtId="0" fontId="74" fillId="0" borderId="34" xfId="0" applyFont="1" applyBorder="1"/>
    <xf numFmtId="0" fontId="74" fillId="0" borderId="32" xfId="0" pivotButton="1" applyFont="1" applyBorder="1" applyAlignment="1">
      <alignment wrapText="1"/>
    </xf>
    <xf numFmtId="0" fontId="74" fillId="0" borderId="35" xfId="0" applyFont="1" applyBorder="1"/>
    <xf numFmtId="0" fontId="74" fillId="0" borderId="38" xfId="0" applyFont="1" applyBorder="1"/>
    <xf numFmtId="1" fontId="74" fillId="0" borderId="32" xfId="0" applyNumberFormat="1" applyFont="1" applyBorder="1" applyAlignment="1">
      <alignment horizontal="center" vertical="center"/>
    </xf>
    <xf numFmtId="1" fontId="74" fillId="0" borderId="35" xfId="0" applyNumberFormat="1" applyFont="1" applyBorder="1" applyAlignment="1">
      <alignment horizontal="center" vertical="center"/>
    </xf>
    <xf numFmtId="1" fontId="74" fillId="0" borderId="38" xfId="0" applyNumberFormat="1" applyFont="1" applyBorder="1" applyAlignment="1">
      <alignment horizontal="center" vertical="center"/>
    </xf>
    <xf numFmtId="0" fontId="74" fillId="0" borderId="36" xfId="0" applyFont="1" applyBorder="1"/>
    <xf numFmtId="1" fontId="74" fillId="0" borderId="36" xfId="0" applyNumberFormat="1" applyFont="1" applyBorder="1" applyAlignment="1">
      <alignment horizontal="center" vertical="center"/>
    </xf>
    <xf numFmtId="1" fontId="74" fillId="0" borderId="0" xfId="0" applyNumberFormat="1" applyFont="1" applyAlignment="1">
      <alignment horizontal="center" vertical="center"/>
    </xf>
    <xf numFmtId="1" fontId="74" fillId="0" borderId="39" xfId="0" applyNumberFormat="1" applyFont="1" applyBorder="1" applyAlignment="1">
      <alignment horizontal="center" vertical="center"/>
    </xf>
    <xf numFmtId="0" fontId="74" fillId="0" borderId="43" xfId="0" applyFont="1" applyBorder="1"/>
    <xf numFmtId="1" fontId="74" fillId="0" borderId="43" xfId="0" applyNumberFormat="1" applyFont="1" applyBorder="1" applyAlignment="1">
      <alignment horizontal="center" vertical="center"/>
    </xf>
    <xf numFmtId="1" fontId="74" fillId="0" borderId="45" xfId="0" applyNumberFormat="1" applyFont="1" applyBorder="1" applyAlignment="1">
      <alignment horizontal="center" vertical="center"/>
    </xf>
    <xf numFmtId="1" fontId="74" fillId="0" borderId="44" xfId="0" applyNumberFormat="1" applyFont="1" applyBorder="1" applyAlignment="1">
      <alignment horizontal="center" vertical="center"/>
    </xf>
    <xf numFmtId="0" fontId="74" fillId="0" borderId="37" xfId="0" pivotButton="1" applyFont="1" applyBorder="1"/>
    <xf numFmtId="0" fontId="74" fillId="0" borderId="37" xfId="0" applyFont="1" applyBorder="1"/>
    <xf numFmtId="0" fontId="74" fillId="0" borderId="38" xfId="0" applyFont="1" applyBorder="1" applyAlignment="1">
      <alignment horizontal="center" vertical="center"/>
    </xf>
    <xf numFmtId="3" fontId="74" fillId="0" borderId="38" xfId="0" applyNumberFormat="1" applyFont="1" applyBorder="1" applyAlignment="1">
      <alignment horizontal="center" vertical="center"/>
    </xf>
    <xf numFmtId="3" fontId="74" fillId="0" borderId="39" xfId="0" applyNumberFormat="1" applyFont="1" applyBorder="1" applyAlignment="1">
      <alignment horizontal="center" vertical="center"/>
    </xf>
    <xf numFmtId="0" fontId="74" fillId="0" borderId="40" xfId="0" applyFont="1" applyBorder="1" applyAlignment="1">
      <alignment wrapText="1"/>
    </xf>
    <xf numFmtId="3" fontId="74" fillId="0" borderId="37" xfId="0" applyNumberFormat="1" applyFont="1" applyBorder="1" applyAlignment="1">
      <alignment horizontal="center" vertical="center"/>
    </xf>
    <xf numFmtId="0" fontId="74" fillId="0" borderId="32" xfId="0" applyFont="1" applyBorder="1" applyAlignment="1">
      <alignment wrapText="1"/>
    </xf>
    <xf numFmtId="9" fontId="74" fillId="0" borderId="38" xfId="0" applyNumberFormat="1" applyFont="1" applyBorder="1" applyAlignment="1">
      <alignment horizontal="center" vertical="center"/>
    </xf>
    <xf numFmtId="0" fontId="74" fillId="0" borderId="43" xfId="0" applyFont="1" applyBorder="1" applyAlignment="1">
      <alignment wrapText="1"/>
    </xf>
    <xf numFmtId="9" fontId="74" fillId="0" borderId="44" xfId="0" applyNumberFormat="1" applyFont="1" applyBorder="1" applyAlignment="1">
      <alignment horizontal="center" vertical="center"/>
    </xf>
    <xf numFmtId="0" fontId="74" fillId="0" borderId="37" xfId="0" pivotButton="1" applyFont="1" applyBorder="1" applyAlignment="1">
      <alignment wrapText="1"/>
    </xf>
    <xf numFmtId="0" fontId="74" fillId="0" borderId="37" xfId="0" applyFont="1" applyBorder="1" applyAlignment="1">
      <alignment horizontal="center" vertical="center"/>
    </xf>
    <xf numFmtId="9" fontId="74" fillId="0" borderId="39" xfId="0" applyNumberFormat="1" applyFont="1" applyBorder="1" applyAlignment="1">
      <alignment horizontal="center" vertical="center"/>
    </xf>
    <xf numFmtId="0" fontId="74" fillId="0" borderId="36" xfId="0" applyFont="1" applyBorder="1" applyAlignment="1">
      <alignment wrapText="1"/>
    </xf>
    <xf numFmtId="0" fontId="74" fillId="0" borderId="33" xfId="0" applyFont="1" applyBorder="1" applyAlignment="1">
      <alignment horizontal="center" vertical="center"/>
    </xf>
    <xf numFmtId="0" fontId="74" fillId="0" borderId="34" xfId="0" applyFont="1" applyBorder="1" applyAlignment="1">
      <alignment horizontal="center" vertical="center"/>
    </xf>
    <xf numFmtId="3" fontId="74" fillId="0" borderId="32" xfId="0" applyNumberFormat="1" applyFont="1" applyBorder="1" applyAlignment="1">
      <alignment horizontal="center" vertical="center"/>
    </xf>
    <xf numFmtId="3" fontId="74" fillId="0" borderId="35" xfId="0" applyNumberFormat="1" applyFont="1" applyBorder="1" applyAlignment="1">
      <alignment horizontal="center" vertical="center"/>
    </xf>
    <xf numFmtId="3" fontId="74" fillId="0" borderId="36" xfId="0" applyNumberFormat="1" applyFont="1" applyBorder="1" applyAlignment="1">
      <alignment horizontal="center" vertical="center"/>
    </xf>
    <xf numFmtId="3" fontId="74" fillId="0" borderId="0" xfId="0" applyNumberFormat="1" applyFont="1" applyAlignment="1">
      <alignment horizontal="center" vertical="center"/>
    </xf>
    <xf numFmtId="3" fontId="74" fillId="0" borderId="43" xfId="0" applyNumberFormat="1" applyFont="1" applyBorder="1" applyAlignment="1">
      <alignment horizontal="center" vertical="center"/>
    </xf>
    <xf numFmtId="3" fontId="74" fillId="0" borderId="45" xfId="0" applyNumberFormat="1" applyFont="1" applyBorder="1" applyAlignment="1">
      <alignment horizontal="center" vertical="center"/>
    </xf>
    <xf numFmtId="3" fontId="74" fillId="0" borderId="44" xfId="0" applyNumberFormat="1" applyFont="1" applyBorder="1" applyAlignment="1">
      <alignment horizontal="center" vertical="center"/>
    </xf>
    <xf numFmtId="0" fontId="23" fillId="6" borderId="18" xfId="0" applyFont="1" applyFill="1" applyBorder="1" applyAlignment="1">
      <alignment horizontal="center" vertical="center"/>
    </xf>
    <xf numFmtId="0" fontId="23" fillId="6" borderId="19" xfId="0" applyFont="1" applyFill="1" applyBorder="1" applyAlignment="1">
      <alignment horizontal="center" vertical="center"/>
    </xf>
    <xf numFmtId="0" fontId="23" fillId="6" borderId="20" xfId="0" applyFont="1" applyFill="1" applyBorder="1" applyAlignment="1">
      <alignment horizontal="center" vertical="center"/>
    </xf>
    <xf numFmtId="0" fontId="26" fillId="6" borderId="2" xfId="0" applyFont="1" applyFill="1" applyBorder="1" applyAlignment="1">
      <alignment horizontal="center" vertical="center" wrapText="1"/>
    </xf>
    <xf numFmtId="0" fontId="26" fillId="6" borderId="5" xfId="0" applyFont="1" applyFill="1" applyBorder="1" applyAlignment="1">
      <alignment horizontal="center" vertical="center" wrapText="1"/>
    </xf>
    <xf numFmtId="0" fontId="26" fillId="6" borderId="1" xfId="0" applyFont="1" applyFill="1" applyBorder="1" applyAlignment="1">
      <alignment horizontal="center" vertical="center" wrapText="1"/>
    </xf>
    <xf numFmtId="0" fontId="27" fillId="5" borderId="28" xfId="0" applyFont="1" applyFill="1" applyBorder="1" applyAlignment="1">
      <alignment horizontal="left" vertical="center"/>
    </xf>
    <xf numFmtId="0" fontId="27" fillId="5" borderId="21" xfId="0" applyFont="1" applyFill="1" applyBorder="1" applyAlignment="1">
      <alignment horizontal="left" vertical="center"/>
    </xf>
    <xf numFmtId="0" fontId="27" fillId="5" borderId="22" xfId="0" applyFont="1" applyFill="1" applyBorder="1" applyAlignment="1">
      <alignment horizontal="left" vertical="center"/>
    </xf>
    <xf numFmtId="0" fontId="16" fillId="3" borderId="41" xfId="5" applyFont="1" applyFill="1" applyBorder="1" applyAlignment="1">
      <alignment horizontal="center" wrapText="1"/>
    </xf>
    <xf numFmtId="0" fontId="16" fillId="3" borderId="42" xfId="5" applyFont="1" applyFill="1" applyBorder="1" applyAlignment="1">
      <alignment horizontal="center" wrapText="1"/>
    </xf>
    <xf numFmtId="0" fontId="23" fillId="6" borderId="28" xfId="5" applyFont="1" applyFill="1" applyBorder="1" applyAlignment="1">
      <alignment horizontal="center" vertical="center"/>
    </xf>
    <xf numFmtId="0" fontId="23" fillId="6" borderId="21" xfId="5" applyFont="1" applyFill="1" applyBorder="1" applyAlignment="1">
      <alignment horizontal="center" vertical="center"/>
    </xf>
    <xf numFmtId="0" fontId="23" fillId="6" borderId="29" xfId="5" applyFont="1" applyFill="1" applyBorder="1" applyAlignment="1">
      <alignment horizontal="center" vertical="center"/>
    </xf>
    <xf numFmtId="0" fontId="48" fillId="2" borderId="0" xfId="5" applyFont="1" applyFill="1" applyAlignment="1">
      <alignment horizontal="left" vertical="center" wrapText="1"/>
    </xf>
    <xf numFmtId="0" fontId="16" fillId="3" borderId="41" xfId="20" applyFont="1" applyFill="1" applyBorder="1" applyAlignment="1">
      <alignment horizontal="center" wrapText="1"/>
    </xf>
    <xf numFmtId="0" fontId="16" fillId="3" borderId="42" xfId="20" applyFont="1" applyFill="1" applyBorder="1" applyAlignment="1">
      <alignment horizontal="center" wrapText="1"/>
    </xf>
    <xf numFmtId="165" fontId="39" fillId="10" borderId="0" xfId="4" applyFont="1" applyFill="1" applyAlignment="1">
      <alignment horizontal="center" vertical="center"/>
    </xf>
    <xf numFmtId="165" fontId="14" fillId="5" borderId="87" xfId="4" applyFont="1" applyFill="1" applyBorder="1" applyAlignment="1">
      <alignment horizontal="center" vertical="center"/>
    </xf>
    <xf numFmtId="165" fontId="14" fillId="5" borderId="88" xfId="4" applyFont="1" applyFill="1" applyBorder="1" applyAlignment="1">
      <alignment horizontal="center" vertical="center"/>
    </xf>
    <xf numFmtId="165" fontId="40" fillId="2" borderId="0" xfId="4" applyFont="1" applyFill="1" applyAlignment="1">
      <alignment horizontal="left" vertical="center"/>
    </xf>
    <xf numFmtId="165" fontId="41" fillId="2" borderId="0" xfId="4" applyFont="1" applyFill="1" applyAlignment="1">
      <alignment horizontal="left" vertical="center"/>
    </xf>
    <xf numFmtId="0" fontId="16" fillId="3" borderId="116" xfId="0" applyFont="1" applyFill="1" applyBorder="1" applyAlignment="1" applyProtection="1">
      <alignment horizontal="center" vertical="center" wrapText="1"/>
      <protection locked="0"/>
    </xf>
    <xf numFmtId="0" fontId="16" fillId="3" borderId="8" xfId="0" applyFont="1" applyFill="1" applyBorder="1" applyAlignment="1" applyProtection="1">
      <alignment horizontal="center" vertical="center" wrapText="1"/>
      <protection locked="0"/>
    </xf>
    <xf numFmtId="0" fontId="16" fillId="3" borderId="6" xfId="0" applyFont="1" applyFill="1" applyBorder="1" applyAlignment="1" applyProtection="1">
      <alignment horizontal="center" vertical="center" wrapText="1"/>
      <protection locked="0"/>
    </xf>
    <xf numFmtId="0" fontId="16" fillId="3" borderId="24" xfId="0" applyFont="1" applyFill="1" applyBorder="1" applyAlignment="1" applyProtection="1">
      <alignment horizontal="center" vertical="center" wrapText="1"/>
      <protection locked="0"/>
    </xf>
    <xf numFmtId="2" fontId="24" fillId="6" borderId="23" xfId="0" applyNumberFormat="1" applyFont="1" applyFill="1" applyBorder="1" applyAlignment="1" applyProtection="1">
      <alignment horizontal="center" vertical="center"/>
      <protection locked="0"/>
    </xf>
    <xf numFmtId="2" fontId="24" fillId="6" borderId="10" xfId="0" applyNumberFormat="1" applyFont="1" applyFill="1" applyBorder="1" applyAlignment="1" applyProtection="1">
      <alignment horizontal="center" vertical="center"/>
      <protection locked="0"/>
    </xf>
    <xf numFmtId="2" fontId="70" fillId="6" borderId="10" xfId="0" applyNumberFormat="1" applyFont="1" applyFill="1" applyBorder="1" applyAlignment="1" applyProtection="1">
      <alignment horizontal="center" vertical="center"/>
      <protection locked="0"/>
    </xf>
    <xf numFmtId="2" fontId="70" fillId="6" borderId="11" xfId="0" applyNumberFormat="1" applyFont="1" applyFill="1" applyBorder="1" applyAlignment="1" applyProtection="1">
      <alignment horizontal="center" vertical="center"/>
      <protection locked="0"/>
    </xf>
    <xf numFmtId="0" fontId="20" fillId="5" borderId="4" xfId="0" applyFont="1" applyFill="1" applyBorder="1" applyAlignment="1" applyProtection="1">
      <alignment horizontal="center" vertical="center"/>
      <protection locked="0"/>
    </xf>
    <xf numFmtId="0" fontId="20" fillId="5" borderId="8" xfId="0" applyFont="1" applyFill="1" applyBorder="1" applyAlignment="1" applyProtection="1">
      <alignment horizontal="center" vertical="center"/>
      <protection locked="0"/>
    </xf>
    <xf numFmtId="0" fontId="20" fillId="5" borderId="3" xfId="0" applyFont="1" applyFill="1" applyBorder="1" applyAlignment="1" applyProtection="1">
      <alignment horizontal="center" vertical="center"/>
      <protection locked="0"/>
    </xf>
    <xf numFmtId="0" fontId="32" fillId="5" borderId="24" xfId="0" applyFont="1" applyFill="1" applyBorder="1" applyAlignment="1" applyProtection="1">
      <alignment horizontal="center" vertical="center"/>
      <protection locked="0"/>
    </xf>
    <xf numFmtId="0" fontId="32" fillId="5" borderId="8" xfId="0" applyFont="1" applyFill="1" applyBorder="1" applyAlignment="1" applyProtection="1">
      <alignment horizontal="center" vertical="center"/>
      <protection locked="0"/>
    </xf>
    <xf numFmtId="0" fontId="32" fillId="5" borderId="6" xfId="0" applyFont="1" applyFill="1" applyBorder="1" applyAlignment="1" applyProtection="1">
      <alignment horizontal="center" vertical="center"/>
      <protection locked="0"/>
    </xf>
    <xf numFmtId="0" fontId="16" fillId="4" borderId="24" xfId="0" applyFont="1" applyFill="1" applyBorder="1" applyAlignment="1" applyProtection="1">
      <alignment horizontal="center" vertical="center" wrapText="1"/>
      <protection locked="0"/>
    </xf>
    <xf numFmtId="0" fontId="16" fillId="4" borderId="116" xfId="0" applyFont="1" applyFill="1" applyBorder="1" applyAlignment="1" applyProtection="1">
      <alignment horizontal="center" vertical="center" wrapText="1"/>
      <protection locked="0"/>
    </xf>
    <xf numFmtId="0" fontId="16" fillId="4" borderId="6" xfId="0" applyFont="1" applyFill="1" applyBorder="1" applyAlignment="1" applyProtection="1">
      <alignment horizontal="center" vertical="center" wrapText="1"/>
      <protection locked="0"/>
    </xf>
    <xf numFmtId="9" fontId="16" fillId="4" borderId="24" xfId="0" applyNumberFormat="1" applyFont="1" applyFill="1" applyBorder="1" applyAlignment="1" applyProtection="1">
      <alignment horizontal="center" vertical="center" wrapText="1"/>
      <protection locked="0"/>
    </xf>
    <xf numFmtId="9" fontId="16" fillId="4" borderId="6" xfId="0" applyNumberFormat="1" applyFont="1" applyFill="1" applyBorder="1" applyAlignment="1" applyProtection="1">
      <alignment horizontal="center" vertical="center" wrapText="1"/>
      <protection locked="0"/>
    </xf>
    <xf numFmtId="0" fontId="16" fillId="6" borderId="24" xfId="0" applyFont="1" applyFill="1" applyBorder="1" applyAlignment="1" applyProtection="1">
      <alignment horizontal="center" vertical="center" wrapText="1"/>
      <protection locked="0"/>
    </xf>
    <xf numFmtId="0" fontId="16" fillId="6" borderId="116" xfId="0" applyFont="1" applyFill="1" applyBorder="1" applyAlignment="1" applyProtection="1">
      <alignment horizontal="center" vertical="center" wrapText="1"/>
      <protection locked="0"/>
    </xf>
    <xf numFmtId="0" fontId="19" fillId="4" borderId="113" xfId="0" applyFont="1" applyFill="1" applyBorder="1" applyAlignment="1" applyProtection="1">
      <alignment horizontal="center" vertical="center"/>
      <protection locked="0"/>
    </xf>
    <xf numFmtId="0" fontId="19" fillId="4" borderId="114" xfId="0" applyFont="1" applyFill="1" applyBorder="1" applyAlignment="1" applyProtection="1">
      <alignment horizontal="center" vertical="center"/>
      <protection locked="0"/>
    </xf>
    <xf numFmtId="0" fontId="19" fillId="4" borderId="115" xfId="0" applyFont="1" applyFill="1" applyBorder="1" applyAlignment="1" applyProtection="1">
      <alignment horizontal="center" vertical="center"/>
      <protection locked="0"/>
    </xf>
    <xf numFmtId="0" fontId="19" fillId="6" borderId="113" xfId="0" applyFont="1" applyFill="1" applyBorder="1" applyAlignment="1" applyProtection="1">
      <alignment horizontal="center" vertical="center"/>
      <protection locked="0"/>
    </xf>
    <xf numFmtId="0" fontId="19" fillId="6" borderId="114" xfId="0" applyFont="1" applyFill="1" applyBorder="1" applyAlignment="1" applyProtection="1">
      <alignment horizontal="center" vertical="center"/>
      <protection locked="0"/>
    </xf>
    <xf numFmtId="0" fontId="19" fillId="6" borderId="115" xfId="0" applyFont="1" applyFill="1" applyBorder="1" applyAlignment="1" applyProtection="1">
      <alignment horizontal="center" vertical="center"/>
      <protection locked="0"/>
    </xf>
    <xf numFmtId="3" fontId="52" fillId="8" borderId="49" xfId="21" applyNumberFormat="1" applyFont="1" applyFill="1" applyBorder="1" applyAlignment="1" applyProtection="1">
      <alignment horizontal="center" vertical="center"/>
      <protection locked="0"/>
    </xf>
    <xf numFmtId="0" fontId="51" fillId="2" borderId="111" xfId="24" applyFont="1" applyFill="1" applyBorder="1" applyAlignment="1">
      <alignment horizontal="center" vertical="center" textRotation="90" wrapText="1"/>
    </xf>
    <xf numFmtId="0" fontId="51" fillId="2" borderId="76" xfId="24" applyFont="1" applyFill="1" applyBorder="1" applyAlignment="1">
      <alignment horizontal="center" vertical="center" textRotation="90" wrapText="1"/>
    </xf>
    <xf numFmtId="0" fontId="51" fillId="2" borderId="112" xfId="24" applyFont="1" applyFill="1" applyBorder="1" applyAlignment="1">
      <alignment horizontal="center" vertical="center" textRotation="90" wrapText="1"/>
    </xf>
    <xf numFmtId="0" fontId="54" fillId="3" borderId="113" xfId="21" applyFont="1" applyFill="1" applyBorder="1" applyAlignment="1" applyProtection="1">
      <alignment horizontal="center" vertical="center"/>
      <protection locked="0"/>
    </xf>
    <xf numFmtId="0" fontId="54" fillId="3" borderId="114" xfId="21" applyFont="1" applyFill="1" applyBorder="1" applyAlignment="1" applyProtection="1">
      <alignment horizontal="center" vertical="center"/>
      <protection locked="0"/>
    </xf>
    <xf numFmtId="0" fontId="54" fillId="3" borderId="115" xfId="21" applyFont="1" applyFill="1" applyBorder="1" applyAlignment="1" applyProtection="1">
      <alignment horizontal="center" vertical="center"/>
      <protection locked="0"/>
    </xf>
    <xf numFmtId="0" fontId="52" fillId="8" borderId="113" xfId="21" applyFont="1" applyFill="1" applyBorder="1" applyAlignment="1" applyProtection="1">
      <alignment horizontal="center" vertical="center"/>
      <protection locked="0"/>
    </xf>
    <xf numFmtId="0" fontId="52" fillId="8" borderId="114" xfId="21" applyFont="1" applyFill="1" applyBorder="1" applyAlignment="1" applyProtection="1">
      <alignment horizontal="center" vertical="center"/>
      <protection locked="0"/>
    </xf>
    <xf numFmtId="0" fontId="52" fillId="8" borderId="116" xfId="21" applyFont="1" applyFill="1" applyBorder="1" applyAlignment="1" applyProtection="1">
      <alignment horizontal="center" vertical="center"/>
      <protection locked="0"/>
    </xf>
    <xf numFmtId="0" fontId="52" fillId="8" borderId="115" xfId="21" applyFont="1" applyFill="1" applyBorder="1" applyAlignment="1" applyProtection="1">
      <alignment horizontal="center" vertical="center"/>
      <protection locked="0"/>
    </xf>
    <xf numFmtId="0" fontId="52" fillId="8" borderId="117" xfId="21" applyFont="1" applyFill="1" applyBorder="1" applyAlignment="1" applyProtection="1">
      <alignment horizontal="center" vertical="center"/>
      <protection locked="0"/>
    </xf>
    <xf numFmtId="0" fontId="52" fillId="8" borderId="118" xfId="21" applyFont="1" applyFill="1" applyBorder="1" applyAlignment="1" applyProtection="1">
      <alignment horizontal="center" vertical="center"/>
      <protection locked="0"/>
    </xf>
    <xf numFmtId="0" fontId="52" fillId="8" borderId="119" xfId="21" applyFont="1" applyFill="1" applyBorder="1" applyAlignment="1" applyProtection="1">
      <alignment horizontal="center" vertical="center"/>
      <protection locked="0"/>
    </xf>
    <xf numFmtId="0" fontId="52" fillId="8" borderId="114" xfId="21" applyFont="1" applyFill="1" applyBorder="1" applyAlignment="1" applyProtection="1">
      <alignment horizontal="center" vertical="center" wrapText="1"/>
      <protection locked="0"/>
    </xf>
    <xf numFmtId="0" fontId="52" fillId="8" borderId="115" xfId="21" applyFont="1" applyFill="1" applyBorder="1" applyAlignment="1" applyProtection="1">
      <alignment horizontal="center" vertical="center" wrapText="1"/>
      <protection locked="0"/>
    </xf>
  </cellXfs>
  <cellStyles count="25">
    <cellStyle name="Comma" xfId="1" builtinId="3"/>
    <cellStyle name="Comma 2" xfId="6"/>
    <cellStyle name="Comma 2 2" xfId="9"/>
    <cellStyle name="Comma 2 2 2" xfId="22"/>
    <cellStyle name="Comma 2 3" xfId="11"/>
    <cellStyle name="Comma 3" xfId="12"/>
    <cellStyle name="Comma 4" xfId="13"/>
    <cellStyle name="Comma 4 10" xfId="14"/>
    <cellStyle name="Normal" xfId="0" builtinId="0"/>
    <cellStyle name="Normal 2" xfId="2"/>
    <cellStyle name="Normal 2 2" xfId="16"/>
    <cellStyle name="Normal 2 3" xfId="15"/>
    <cellStyle name="Normal 3" xfId="4"/>
    <cellStyle name="Normal 3 2" xfId="20"/>
    <cellStyle name="Normal 3 2 2" xfId="24"/>
    <cellStyle name="Normal 4" xfId="5"/>
    <cellStyle name="Normal 4 2" xfId="8"/>
    <cellStyle name="Normal 4 2 2" xfId="21"/>
    <cellStyle name="Normal 4 3" xfId="17"/>
    <cellStyle name="Normal 5" xfId="18"/>
    <cellStyle name="Normal 6" xfId="19"/>
    <cellStyle name="Percent" xfId="3" builtinId="5"/>
    <cellStyle name="Percent 2" xfId="7"/>
    <cellStyle name="Percent 2 2" xfId="10"/>
    <cellStyle name="Percent 2 2 2" xfId="23"/>
  </cellStyles>
  <dxfs count="283">
    <dxf>
      <font>
        <name val="Calibri"/>
        <scheme val="minor"/>
      </font>
    </dxf>
    <dxf>
      <font>
        <name val="Calibri"/>
        <scheme val="minor"/>
      </font>
    </dxf>
    <dxf>
      <font>
        <name val="Calibri"/>
        <scheme val="minor"/>
      </font>
    </dxf>
    <dxf>
      <font>
        <name val="Calibri"/>
        <scheme val="minor"/>
      </font>
    </dxf>
    <dxf>
      <alignment horizontal="center" vertical="center" readingOrder="0"/>
    </dxf>
    <dxf>
      <alignment wrapText="1" readingOrder="0"/>
    </dxf>
    <dxf>
      <alignment wrapText="1" readingOrder="0"/>
    </dxf>
    <dxf>
      <alignment wrapText="1" readingOrder="0"/>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numFmt numFmtId="1" formatCode="0"/>
    </dxf>
    <dxf>
      <alignment horizontal="center" vertical="center" readingOrder="0"/>
    </dxf>
    <dxf>
      <alignment horizontal="center" vertical="center" readingOrder="0"/>
    </dxf>
    <dxf>
      <alignment wrapText="1" readingOrder="0"/>
    </dxf>
    <dxf>
      <alignment wrapText="1" readingOrder="0"/>
    </dxf>
    <dxf>
      <numFmt numFmtId="13" formatCode="0%"/>
    </dxf>
    <dxf>
      <alignment horizontal="right" readingOrder="0"/>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wrapText="1" readingOrder="0"/>
    </dxf>
    <dxf>
      <alignment wrapText="1" readingOrder="0"/>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numFmt numFmtId="1" formatCode="0"/>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wrapText="1" readingOrder="0"/>
    </dxf>
    <dxf>
      <alignment wrapText="1" readingOrder="0"/>
    </dxf>
    <dxf>
      <numFmt numFmtId="13" formatCode="0%"/>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wrapText="1" readingOrder="0"/>
    </dxf>
    <dxf>
      <alignment wrapText="1" readingOrder="0"/>
    </dxf>
    <dxf>
      <alignment wrapText="1" readingOrder="0"/>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numFmt numFmtId="1" formatCode="0"/>
    </dxf>
    <dxf>
      <alignment horizontal="center" vertical="center" readingOrder="0"/>
    </dxf>
    <dxf>
      <alignment wrapText="1" readingOrder="0"/>
    </dxf>
    <dxf>
      <alignment wrapText="1" readingOrder="0"/>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numFmt numFmtId="1" formatCode="0"/>
    </dxf>
    <dxf>
      <alignment horizontal="center" readingOrder="0"/>
    </dxf>
    <dxf>
      <numFmt numFmtId="13" formatCode="0%"/>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alignment horizontal="center" readingOrder="0"/>
    </dxf>
    <dxf>
      <alignment horizontal="center" readingOrder="0"/>
    </dxf>
    <dxf>
      <alignment horizontal="center" readingOrder="0"/>
    </dxf>
    <dxf>
      <alignment wrapText="1" readingOrder="0"/>
    </dxf>
    <dxf>
      <alignment wrapText="1" readingOrder="0"/>
    </dxf>
    <dxf>
      <numFmt numFmtId="13" formatCode="0%"/>
    </dxf>
    <dxf>
      <alignment horizontal="center" readingOrder="0"/>
    </dxf>
    <dxf>
      <numFmt numFmtId="13" formatCode="0%"/>
    </dxf>
    <dxf>
      <alignment horizontal="center" readingOrder="0"/>
    </dxf>
    <dxf>
      <alignment horizontal="center" readingOrder="0"/>
    </dxf>
    <dxf>
      <alignment wrapText="1" readingOrder="0"/>
    </dxf>
    <dxf>
      <alignment wrapText="1" readingOrder="0"/>
    </dxf>
    <dxf>
      <numFmt numFmtId="1" formatCode="0"/>
    </dxf>
    <dxf>
      <numFmt numFmtId="13" formatCode="0%"/>
    </dxf>
    <dxf>
      <numFmt numFmtId="1" formatCode="0"/>
    </dxf>
    <dxf>
      <alignment horizontal="center" readingOrder="0"/>
    </dxf>
    <dxf>
      <numFmt numFmtId="13" formatCode="0%"/>
    </dxf>
    <dxf>
      <alignment horizontal="center" vertical="center" readingOrder="0"/>
    </dxf>
    <dxf>
      <alignment horizontal="center" vertical="center" readingOrder="0"/>
    </dxf>
    <dxf>
      <alignment wrapText="1" readingOrder="0"/>
    </dxf>
    <dxf>
      <alignment wrapText="1" readingOrder="0"/>
    </dxf>
    <dxf>
      <numFmt numFmtId="13" formatCode="0%"/>
    </dxf>
    <dxf>
      <numFmt numFmtId="1" formatCode="0"/>
    </dxf>
    <dxf>
      <alignment horizontal="center" readingOrder="0"/>
    </dxf>
    <dxf>
      <numFmt numFmtId="13" formatCode="0%"/>
    </dxf>
    <dxf>
      <numFmt numFmtId="1" formatCode="0"/>
    </dxf>
    <dxf>
      <alignment horizontal="center" readingOrder="0"/>
    </dxf>
    <dxf>
      <numFmt numFmtId="13" formatCode="0%"/>
    </dxf>
    <dxf>
      <alignment wrapText="1" readingOrder="0"/>
    </dxf>
    <dxf>
      <alignment wrapText="1" readingOrder="0"/>
    </dxf>
    <dxf>
      <numFmt numFmtId="3" formatCode="#,##0"/>
    </dxf>
    <dxf>
      <alignment horizontal="center" readingOrder="0"/>
    </dxf>
    <dxf>
      <numFmt numFmtId="13" formatCode="0%"/>
    </dxf>
    <dxf>
      <alignment horizontal="center" readingOrder="0"/>
    </dxf>
    <dxf>
      <numFmt numFmtId="3" formatCode="#,##0"/>
    </dxf>
    <dxf>
      <alignment horizontal="right" readingOrder="0"/>
    </dxf>
    <dxf>
      <numFmt numFmtId="3" formatCode="#,##0"/>
    </dxf>
    <dxf>
      <alignment horizontal="center" readingOrder="0"/>
    </dxf>
    <dxf>
      <numFmt numFmtId="13" formatCode="0%"/>
    </dxf>
    <dxf>
      <font>
        <sz val="12"/>
      </font>
    </dxf>
    <dxf>
      <font>
        <i/>
      </font>
    </dxf>
    <dxf>
      <font>
        <b/>
      </font>
    </dxf>
    <dxf>
      <alignment horizontal="center" vertical="center" readingOrder="0"/>
    </dxf>
    <dxf>
      <numFmt numFmtId="13" formatCode="0%"/>
    </dxf>
    <dxf>
      <font>
        <b/>
      </font>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13" formatCode="0%"/>
    </dxf>
    <dxf>
      <numFmt numFmtId="13" formatCode="0%"/>
    </dxf>
    <dxf>
      <alignment horizontal="center" readingOrder="0"/>
    </dxf>
    <dxf>
      <alignment horizontal="center" readingOrder="0"/>
    </dxf>
    <dxf>
      <numFmt numFmtId="13" formatCode="0%"/>
    </dxf>
    <dxf>
      <numFmt numFmtId="1" formatCode="0"/>
    </dxf>
    <dxf>
      <alignment horizontal="center" readingOrder="0"/>
    </dxf>
    <dxf>
      <numFmt numFmtId="13" formatCode="0%"/>
    </dxf>
    <dxf>
      <alignment horizontal="center" vertical="center" readingOrder="0"/>
    </dxf>
    <dxf>
      <alignment horizontal="center" vertical="center" readingOrder="0"/>
    </dxf>
    <dxf>
      <alignment wrapText="1" readingOrder="0"/>
    </dxf>
    <dxf>
      <alignment wrapText="1" readingOrder="0"/>
    </dxf>
    <dxf>
      <numFmt numFmtId="13" formatCode="0%"/>
    </dxf>
    <dxf>
      <numFmt numFmtId="1" formatCode="0"/>
    </dxf>
    <dxf>
      <alignment horizontal="center" readingOrder="0"/>
    </dxf>
    <dxf>
      <numFmt numFmtId="13" formatCode="0%"/>
    </dxf>
    <dxf>
      <alignment horizontal="center" readingOrder="0"/>
    </dxf>
    <dxf>
      <alignment horizontal="center" readingOrder="0"/>
    </dxf>
    <dxf>
      <alignment wrapText="1" readingOrder="0"/>
    </dxf>
    <dxf>
      <alignment wrapText="1" readingOrder="0"/>
    </dxf>
    <dxf>
      <numFmt numFmtId="13" formatCode="0%"/>
    </dxf>
    <dxf>
      <alignment horizontal="center" readingOrder="0"/>
    </dxf>
    <dxf>
      <alignment horizontal="center" readingOrder="0"/>
    </dxf>
    <dxf>
      <alignment wrapText="1" readingOrder="0"/>
    </dxf>
    <dxf>
      <alignment wrapText="1" readingOrder="0"/>
    </dxf>
    <dxf>
      <numFmt numFmtId="13" formatCode="0%"/>
    </dxf>
    <dxf>
      <numFmt numFmtId="1" formatCode="0"/>
    </dxf>
    <dxf>
      <alignment horizontal="center" readingOrder="0"/>
    </dxf>
    <dxf>
      <numFmt numFmtId="13" formatCode="0%"/>
    </dxf>
    <dxf>
      <numFmt numFmtId="1" formatCode="0"/>
    </dxf>
    <dxf>
      <alignment horizontal="center" vertical="center" readingOrder="0"/>
    </dxf>
    <dxf>
      <alignment wrapText="1" readingOrder="0"/>
    </dxf>
    <dxf>
      <numFmt numFmtId="13" formatCode="0%"/>
    </dxf>
    <dxf>
      <numFmt numFmtId="13" formatCode="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numFmt numFmtId="13" formatCode="0%"/>
    </dxf>
    <dxf>
      <alignment horizontal="center" readingOrder="0"/>
    </dxf>
    <dxf>
      <numFmt numFmtId="13" formatCode="0%"/>
    </dxf>
    <dxf>
      <numFmt numFmtId="1" formatCode="0"/>
    </dxf>
    <dxf>
      <alignment horizontal="center" readingOrder="0"/>
    </dxf>
    <dxf>
      <numFmt numFmtId="13" formatCode="0%"/>
    </dxf>
    <dxf>
      <alignment horizontal="center" readingOrder="0"/>
    </dxf>
    <dxf>
      <alignment horizontal="center" readingOrder="0"/>
    </dxf>
    <dxf>
      <alignment wrapText="1" readingOrder="0"/>
    </dxf>
    <dxf>
      <alignment wrapText="1" readingOrder="0"/>
    </dxf>
    <dxf>
      <numFmt numFmtId="13" formatCode="0%"/>
    </dxf>
    <dxf>
      <alignment horizontal="center" readingOrder="0"/>
    </dxf>
    <dxf>
      <alignment horizontal="center" readingOrder="0"/>
    </dxf>
    <dxf>
      <alignment horizontal="center" readingOrder="0"/>
    </dxf>
    <dxf>
      <numFmt numFmtId="1" formatCode="0"/>
    </dxf>
    <dxf>
      <alignment horizontal="center" readingOrder="0"/>
    </dxf>
    <dxf>
      <alignment horizontal="center" readingOrder="0"/>
    </dxf>
    <dxf>
      <alignment horizontal="center" readingOrder="0"/>
    </dxf>
    <dxf>
      <numFmt numFmtId="1" formatCode="0"/>
    </dxf>
    <dxf>
      <alignment vertical="center" readingOrder="0"/>
    </dxf>
    <dxf>
      <alignment horizontal="center" readingOrder="0"/>
    </dxf>
    <dxf>
      <alignment horizontal="center" readingOrder="0"/>
    </dxf>
    <dxf>
      <alignment wrapText="1" readingOrder="0"/>
    </dxf>
    <dxf>
      <alignment wrapText="1" readingOrder="0"/>
    </dxf>
    <dxf>
      <numFmt numFmtId="13" formatCode="0%"/>
    </dxf>
    <dxf>
      <alignment horizontal="center" readingOrder="0"/>
    </dxf>
    <dxf>
      <alignment horizontal="center" readingOrder="0"/>
    </dxf>
    <dxf>
      <alignment wrapText="1" readingOrder="0"/>
    </dxf>
    <dxf>
      <alignment wrapText="1" readingOrder="0"/>
    </dxf>
    <dxf>
      <numFmt numFmtId="13" formatCode="0%"/>
    </dxf>
    <dxf>
      <alignment vertical="center" readingOrder="0"/>
    </dxf>
    <dxf>
      <alignment vertical="center" readingOrder="0"/>
    </dxf>
    <dxf>
      <alignment horizontal="center" readingOrder="0"/>
    </dxf>
    <dxf>
      <alignment horizontal="center" readingOrder="0"/>
    </dxf>
    <dxf>
      <alignment wrapText="1" readingOrder="0"/>
    </dxf>
    <dxf>
      <alignment wrapText="1" readingOrder="0"/>
    </dxf>
    <dxf>
      <numFmt numFmtId="13" formatCode="0%"/>
    </dxf>
    <dxf>
      <numFmt numFmtId="1" formatCode="0"/>
    </dxf>
    <dxf>
      <alignment horizontal="center" readingOrder="0"/>
    </dxf>
    <dxf>
      <numFmt numFmtId="13" formatCode="0%"/>
    </dxf>
    <dxf>
      <alignment wrapText="1" readingOrder="0"/>
    </dxf>
    <dxf>
      <alignment wrapText="1" readingOrder="0"/>
    </dxf>
    <dxf>
      <alignment horizontal="center" readingOrder="0"/>
    </dxf>
    <dxf>
      <numFmt numFmtId="13" formatCode="0%"/>
    </dxf>
  </dxfs>
  <tableStyles count="0" defaultTableStyle="TableStyleMedium2" defaultPivotStyle="PivotStyleLight16"/>
  <colors>
    <mruColors>
      <color rgb="FFFFFFCC"/>
      <color rgb="FFCCFFCC"/>
      <color rgb="FFCC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8.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9.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1.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2015.xlsx]SituationAnalysis!PivotTable1</c:name>
    <c:fmtId val="5"/>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Needs Coverage</a:t>
            </a:r>
          </a:p>
        </c:rich>
      </c:tx>
      <c:layout>
        <c:manualLayout>
          <c:xMode val="edge"/>
          <c:yMode val="edge"/>
          <c:x val="0.3826745468274998"/>
          <c:y val="3.7988295498143829E-3"/>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sp3d/>
        </c:spPr>
        <c:marker>
          <c:symbol val="none"/>
        </c:marker>
      </c:pivotFmt>
      <c:pivotFmt>
        <c:idx val="7"/>
        <c:spPr>
          <a:solidFill>
            <a:schemeClr val="accent2"/>
          </a:solidFill>
          <a:ln>
            <a:noFill/>
          </a:ln>
          <a:effectLst/>
          <a:sp3d/>
        </c:spPr>
        <c:marker>
          <c:symbol val="none"/>
        </c:marker>
      </c:pivotFmt>
      <c:pivotFmt>
        <c:idx val="8"/>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9.2240869603153294E-2"/>
          <c:y val="0.13495147055077236"/>
          <c:w val="0.90775913039684675"/>
          <c:h val="0.63329908391159795"/>
        </c:manualLayout>
      </c:layout>
      <c:bar3DChart>
        <c:barDir val="col"/>
        <c:grouping val="clustered"/>
        <c:varyColors val="0"/>
        <c:ser>
          <c:idx val="0"/>
          <c:order val="0"/>
          <c:tx>
            <c:strRef>
              <c:f>SituationAnalysis!$C$13</c:f>
              <c:strCache>
                <c:ptCount val="1"/>
                <c:pt idx="0">
                  <c:v>% Water coverage</c:v>
                </c:pt>
              </c:strCache>
            </c:strRef>
          </c:tx>
          <c:spPr>
            <a:solidFill>
              <a:schemeClr val="accent1"/>
            </a:solidFill>
            <a:ln>
              <a:noFill/>
            </a:ln>
            <a:effectLst/>
            <a:sp3d/>
          </c:spPr>
          <c:invertIfNegative val="0"/>
          <c:cat>
            <c:strRef>
              <c:f>SituationAnalysis!$B$14:$B$16</c:f>
              <c:strCache>
                <c:ptCount val="2"/>
                <c:pt idx="0">
                  <c:v>GCA</c:v>
                </c:pt>
                <c:pt idx="1">
                  <c:v>NGCA</c:v>
                </c:pt>
              </c:strCache>
            </c:strRef>
          </c:cat>
          <c:val>
            <c:numRef>
              <c:f>SituationAnalysis!$C$14:$C$16</c:f>
              <c:numCache>
                <c:formatCode>0%</c:formatCode>
                <c:ptCount val="2"/>
                <c:pt idx="0">
                  <c:v>0.99087354908257219</c:v>
                </c:pt>
                <c:pt idx="1">
                  <c:v>0.88511372742402761</c:v>
                </c:pt>
              </c:numCache>
            </c:numRef>
          </c:val>
        </c:ser>
        <c:ser>
          <c:idx val="1"/>
          <c:order val="1"/>
          <c:tx>
            <c:strRef>
              <c:f>SituationAnalysis!$D$13</c:f>
              <c:strCache>
                <c:ptCount val="1"/>
                <c:pt idx="0">
                  <c:v>% Latrine coverage</c:v>
                </c:pt>
              </c:strCache>
            </c:strRef>
          </c:tx>
          <c:spPr>
            <a:solidFill>
              <a:schemeClr val="accent2"/>
            </a:solidFill>
            <a:ln>
              <a:noFill/>
            </a:ln>
            <a:effectLst/>
            <a:sp3d/>
          </c:spPr>
          <c:invertIfNegative val="0"/>
          <c:cat>
            <c:strRef>
              <c:f>SituationAnalysis!$B$14:$B$16</c:f>
              <c:strCache>
                <c:ptCount val="2"/>
                <c:pt idx="0">
                  <c:v>GCA</c:v>
                </c:pt>
                <c:pt idx="1">
                  <c:v>NGCA</c:v>
                </c:pt>
              </c:strCache>
            </c:strRef>
          </c:cat>
          <c:val>
            <c:numRef>
              <c:f>SituationAnalysis!$D$14:$D$16</c:f>
              <c:numCache>
                <c:formatCode>0%</c:formatCode>
                <c:ptCount val="2"/>
                <c:pt idx="0">
                  <c:v>0.83320048281673464</c:v>
                </c:pt>
                <c:pt idx="1">
                  <c:v>0.90978857178080508</c:v>
                </c:pt>
              </c:numCache>
            </c:numRef>
          </c:val>
        </c:ser>
        <c:ser>
          <c:idx val="2"/>
          <c:order val="2"/>
          <c:tx>
            <c:strRef>
              <c:f>SituationAnalysis!$E$13</c:f>
              <c:strCache>
                <c:ptCount val="1"/>
                <c:pt idx="0">
                  <c:v>% Bathroom coverage</c:v>
                </c:pt>
              </c:strCache>
            </c:strRef>
          </c:tx>
          <c:spPr>
            <a:solidFill>
              <a:schemeClr val="accent3"/>
            </a:solidFill>
            <a:ln>
              <a:noFill/>
            </a:ln>
            <a:effectLst/>
            <a:sp3d/>
          </c:spPr>
          <c:invertIfNegative val="0"/>
          <c:cat>
            <c:strRef>
              <c:f>SituationAnalysis!$B$14:$B$16</c:f>
              <c:strCache>
                <c:ptCount val="2"/>
                <c:pt idx="0">
                  <c:v>GCA</c:v>
                </c:pt>
                <c:pt idx="1">
                  <c:v>NGCA</c:v>
                </c:pt>
              </c:strCache>
            </c:strRef>
          </c:cat>
          <c:val>
            <c:numRef>
              <c:f>SituationAnalysis!$E$14:$E$16</c:f>
              <c:numCache>
                <c:formatCode>0%</c:formatCode>
                <c:ptCount val="2"/>
                <c:pt idx="0">
                  <c:v>0.53184996242228244</c:v>
                </c:pt>
                <c:pt idx="1">
                  <c:v>0.41459656043888304</c:v>
                </c:pt>
              </c:numCache>
            </c:numRef>
          </c:val>
        </c:ser>
        <c:dLbls>
          <c:showLegendKey val="0"/>
          <c:showVal val="0"/>
          <c:showCatName val="0"/>
          <c:showSerName val="0"/>
          <c:showPercent val="0"/>
          <c:showBubbleSize val="0"/>
        </c:dLbls>
        <c:gapWidth val="150"/>
        <c:shape val="box"/>
        <c:axId val="77284480"/>
        <c:axId val="77286016"/>
        <c:axId val="0"/>
      </c:bar3DChart>
      <c:catAx>
        <c:axId val="772844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77286016"/>
        <c:crosses val="autoZero"/>
        <c:auto val="1"/>
        <c:lblAlgn val="ctr"/>
        <c:lblOffset val="100"/>
        <c:noMultiLvlLbl val="0"/>
      </c:catAx>
      <c:valAx>
        <c:axId val="77286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77284480"/>
        <c:crosses val="autoZero"/>
        <c:crossBetween val="between"/>
        <c:majorUnit val="0.2"/>
      </c:valAx>
      <c:spPr>
        <a:noFill/>
        <a:ln>
          <a:noFill/>
        </a:ln>
        <a:effectLst/>
      </c:spPr>
    </c:plotArea>
    <c:legend>
      <c:legendPos val="b"/>
      <c:layout>
        <c:manualLayout>
          <c:xMode val="edge"/>
          <c:yMode val="edge"/>
          <c:x val="5.8994800668652654E-2"/>
          <c:y val="0.83329923830418273"/>
          <c:w val="0.91804606723201132"/>
          <c:h val="0.1568968325589258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0" i="0" u="none" strike="noStrike" kern="1200" spc="0" baseline="0">
                <a:solidFill>
                  <a:schemeClr val="tx1">
                    <a:lumMod val="65000"/>
                    <a:lumOff val="35000"/>
                  </a:schemeClr>
                </a:solidFill>
                <a:latin typeface="+mn-lt"/>
                <a:ea typeface="+mn-ea"/>
                <a:cs typeface="+mn-cs"/>
              </a:defRPr>
            </a:pPr>
            <a:r>
              <a:rPr lang="en-US" sz="600" b="1" i="0" baseline="0">
                <a:effectLst/>
              </a:rPr>
              <a:t>HRP</a:t>
            </a:r>
            <a:r>
              <a:rPr lang="en-US" sz="600" b="0" i="0" baseline="0">
                <a:effectLst/>
              </a:rPr>
              <a:t> Sanitation target:</a:t>
            </a: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99,500</a:t>
            </a:r>
            <a:endParaRPr lang="en-US" sz="60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Sanitation 100% covered:</a:t>
            </a:r>
            <a:endParaRPr lang="en-US" sz="60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 </a:t>
            </a:r>
            <a:endParaRPr lang="en-US" sz="600">
              <a:effectLst/>
            </a:endParaRPr>
          </a:p>
        </c:rich>
      </c:tx>
      <c:layout>
        <c:manualLayout>
          <c:xMode val="edge"/>
          <c:yMode val="edge"/>
          <c:x val="0.14390662253882924"/>
          <c:y val="0.50728388906635458"/>
        </c:manualLayout>
      </c:layout>
      <c:overlay val="0"/>
      <c:spPr>
        <a:noFill/>
        <a:ln>
          <a:noFill/>
        </a:ln>
        <a:effectLst/>
      </c:spPr>
    </c:title>
    <c:autoTitleDeleted val="0"/>
    <c:plotArea>
      <c:layout>
        <c:manualLayout>
          <c:layoutTarget val="inner"/>
          <c:xMode val="edge"/>
          <c:yMode val="edge"/>
          <c:x val="3.2068299154913327E-2"/>
          <c:y val="0"/>
          <c:w val="0.92860661648063225"/>
          <c:h val="1"/>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6.8930994576686513E-2"/>
                  <c:y val="0.1817993782279496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indicator'!$C$80:$C$83</c:f>
              <c:numCache>
                <c:formatCode>0%</c:formatCode>
                <c:ptCount val="4"/>
                <c:pt idx="0">
                  <c:v>0.74768684962532073</c:v>
                </c:pt>
                <c:pt idx="1">
                  <c:v>0.25231315037467927</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Lit>
              <c:formatCode>General</c:formatCode>
              <c:ptCount val="4"/>
              <c:pt idx="0">
                <c:v>0.4</c:v>
              </c:pt>
              <c:pt idx="1">
                <c:v>0.3</c:v>
              </c:pt>
              <c:pt idx="2">
                <c:v>0.3</c:v>
              </c:pt>
              <c:pt idx="3">
                <c:v>1</c:v>
              </c:pt>
            </c:numLit>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0" i="0" u="none" strike="noStrike" kern="1200" spc="0" baseline="0">
                <a:solidFill>
                  <a:schemeClr val="tx1">
                    <a:lumMod val="65000"/>
                    <a:lumOff val="35000"/>
                  </a:schemeClr>
                </a:solidFill>
                <a:latin typeface="+mn-lt"/>
                <a:ea typeface="+mn-ea"/>
                <a:cs typeface="+mn-cs"/>
              </a:defRPr>
            </a:pPr>
            <a:r>
              <a:rPr lang="en-US" sz="600" b="1" i="0" baseline="0">
                <a:effectLst/>
              </a:rPr>
              <a:t>HRP</a:t>
            </a:r>
            <a:r>
              <a:rPr lang="en-US" sz="600" b="0" i="0" baseline="0">
                <a:effectLst/>
              </a:rPr>
              <a:t> HP target:</a:t>
            </a:r>
            <a:endParaRPr lang="en-US" sz="60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99,500</a:t>
            </a:r>
            <a:endParaRPr lang="en-US" sz="60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HP population covered:</a:t>
            </a:r>
            <a:endParaRPr lang="en-US" sz="600">
              <a:effectLst/>
            </a:endParaRPr>
          </a:p>
        </c:rich>
      </c:tx>
      <c:layout>
        <c:manualLayout>
          <c:xMode val="edge"/>
          <c:yMode val="edge"/>
          <c:x val="0.15545063932946532"/>
          <c:y val="0.52055127947985091"/>
        </c:manualLayout>
      </c:layout>
      <c:overlay val="0"/>
      <c:spPr>
        <a:noFill/>
        <a:ln>
          <a:noFill/>
        </a:ln>
        <a:effectLst/>
      </c:spPr>
    </c:title>
    <c:autoTitleDeleted val="0"/>
    <c:plotArea>
      <c:layout>
        <c:manualLayout>
          <c:layoutTarget val="inner"/>
          <c:xMode val="edge"/>
          <c:yMode val="edge"/>
          <c:x val="3.2068299154913327E-2"/>
          <c:y val="0"/>
          <c:w val="0.92860661648063225"/>
          <c:h val="1"/>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0.16128348100990472"/>
                  <c:y val="0.128731468017182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indicator'!$C$90:$C$93</c:f>
              <c:numCache>
                <c:formatCode>0%</c:formatCode>
                <c:ptCount val="4"/>
                <c:pt idx="0">
                  <c:v>0.54681313998062331</c:v>
                </c:pt>
                <c:pt idx="1">
                  <c:v>0.45318686001937669</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Lit>
              <c:formatCode>General</c:formatCode>
              <c:ptCount val="4"/>
              <c:pt idx="0">
                <c:v>0.4</c:v>
              </c:pt>
              <c:pt idx="1">
                <c:v>0.3</c:v>
              </c:pt>
              <c:pt idx="2">
                <c:v>0.3</c:v>
              </c:pt>
              <c:pt idx="3">
                <c:v>1</c:v>
              </c:pt>
            </c:numLit>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2015.xlsx]SituationAnalysis!PivotTable11</c:name>
    <c:fmtId val="41"/>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Location coverage</a:t>
            </a:r>
          </a:p>
        </c:rich>
      </c:tx>
      <c:layout>
        <c:manualLayout>
          <c:xMode val="edge"/>
          <c:yMode val="edge"/>
          <c:x val="0.38397627461921596"/>
          <c:y val="0"/>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5"/>
        <c:spPr>
          <a:solidFill>
            <a:schemeClr val="accent2"/>
          </a:solidFill>
          <a:ln>
            <a:noFill/>
          </a:ln>
          <a:effectLst/>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8.497364994729989E-2"/>
          <c:y val="0.14921451891684268"/>
          <c:w val="0.91502635005270005"/>
          <c:h val="0.63521157416298568"/>
        </c:manualLayout>
      </c:layout>
      <c:bar3DChart>
        <c:barDir val="col"/>
        <c:grouping val="stacked"/>
        <c:varyColors val="0"/>
        <c:ser>
          <c:idx val="0"/>
          <c:order val="0"/>
          <c:tx>
            <c:strRef>
              <c:f>SituationAnalysis!$C$589:$C$590</c:f>
              <c:strCache>
                <c:ptCount val="1"/>
                <c:pt idx="0">
                  <c:v>Covered</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SituationAnalysis!$B$591:$B$593</c:f>
              <c:strCache>
                <c:ptCount val="2"/>
                <c:pt idx="0">
                  <c:v>GCA</c:v>
                </c:pt>
                <c:pt idx="1">
                  <c:v>NGCA</c:v>
                </c:pt>
              </c:strCache>
            </c:strRef>
          </c:cat>
          <c:val>
            <c:numRef>
              <c:f>SituationAnalysis!$C$591:$C$593</c:f>
              <c:numCache>
                <c:formatCode>0</c:formatCode>
                <c:ptCount val="2"/>
                <c:pt idx="0">
                  <c:v>132</c:v>
                </c:pt>
                <c:pt idx="1">
                  <c:v>25</c:v>
                </c:pt>
              </c:numCache>
            </c:numRef>
          </c:val>
        </c:ser>
        <c:ser>
          <c:idx val="1"/>
          <c:order val="1"/>
          <c:tx>
            <c:strRef>
              <c:f>SituationAnalysis!$D$589:$D$590</c:f>
              <c:strCache>
                <c:ptCount val="1"/>
                <c:pt idx="0">
                  <c:v>Not covered</c:v>
                </c:pt>
              </c:strCache>
            </c:strRef>
          </c:tx>
          <c:spPr>
            <a:solidFill>
              <a:schemeClr val="accent2"/>
            </a:solidFill>
            <a:ln>
              <a:noFill/>
            </a:ln>
            <a:effectLst/>
            <a:sp3d/>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SituationAnalysis!$B$591:$B$593</c:f>
              <c:strCache>
                <c:ptCount val="2"/>
                <c:pt idx="0">
                  <c:v>GCA</c:v>
                </c:pt>
                <c:pt idx="1">
                  <c:v>NGCA</c:v>
                </c:pt>
              </c:strCache>
            </c:strRef>
          </c:cat>
          <c:val>
            <c:numRef>
              <c:f>SituationAnalysis!$D$591:$D$593</c:f>
              <c:numCache>
                <c:formatCode>0</c:formatCode>
                <c:ptCount val="2"/>
                <c:pt idx="0">
                  <c:v>10</c:v>
                </c:pt>
                <c:pt idx="1">
                  <c:v>1</c:v>
                </c:pt>
              </c:numCache>
            </c:numRef>
          </c:val>
        </c:ser>
        <c:dLbls>
          <c:showLegendKey val="0"/>
          <c:showVal val="1"/>
          <c:showCatName val="0"/>
          <c:showSerName val="0"/>
          <c:showPercent val="0"/>
          <c:showBubbleSize val="0"/>
        </c:dLbls>
        <c:gapWidth val="150"/>
        <c:shape val="box"/>
        <c:axId val="86919808"/>
        <c:axId val="86925696"/>
        <c:axId val="0"/>
      </c:bar3DChart>
      <c:catAx>
        <c:axId val="869198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86925696"/>
        <c:crosses val="autoZero"/>
        <c:auto val="1"/>
        <c:lblAlgn val="ctr"/>
        <c:lblOffset val="100"/>
        <c:noMultiLvlLbl val="0"/>
      </c:catAx>
      <c:valAx>
        <c:axId val="86925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86919808"/>
        <c:crosses val="autoZero"/>
        <c:crossBetween val="between"/>
      </c:valAx>
      <c:spPr>
        <a:noFill/>
        <a:ln>
          <a:noFill/>
        </a:ln>
        <a:effectLst/>
      </c:spPr>
    </c:plotArea>
    <c:legend>
      <c:legendPos val="b"/>
      <c:layout>
        <c:manualLayout>
          <c:xMode val="edge"/>
          <c:yMode val="edge"/>
          <c:x val="0.28426643519953709"/>
          <c:y val="0.84550967714401548"/>
          <c:w val="0.39997106660879989"/>
          <c:h val="0.1436502144549004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US"/>
              <a:t>Ending date water funds/project coverage </a:t>
            </a:r>
          </a:p>
        </c:rich>
      </c:tx>
      <c:overlay val="0"/>
    </c:title>
    <c:autoTitleDeleted val="0"/>
    <c:pivotFmts>
      <c:pivotFmt>
        <c:idx val="0"/>
        <c:marker>
          <c:symbol val="none"/>
        </c:marker>
        <c:dLbl>
          <c:idx val="0"/>
          <c:delete val="1"/>
          <c:extLst>
            <c:ext xmlns:c15="http://schemas.microsoft.com/office/drawing/2012/chart" uri="{CE6537A1-D6FC-4f65-9D91-7224C49458BB}"/>
          </c:extLst>
        </c:dLbl>
      </c:pivotFmt>
      <c:pivotFmt>
        <c:idx val="1"/>
        <c:dLbl>
          <c:idx val="0"/>
          <c:showLegendKey val="0"/>
          <c:showVal val="1"/>
          <c:showCatName val="0"/>
          <c:showSerName val="0"/>
          <c:showPercent val="0"/>
          <c:showBubbleSize val="0"/>
          <c:extLst>
            <c:ext xmlns:c15="http://schemas.microsoft.com/office/drawing/2012/chart" uri="{CE6537A1-D6FC-4f65-9D91-7224C49458BB}"/>
          </c:extLst>
        </c:dLbl>
      </c:pivotFmt>
      <c:pivotFmt>
        <c:idx val="2"/>
        <c:dLbl>
          <c:idx val="0"/>
          <c:showLegendKey val="0"/>
          <c:showVal val="1"/>
          <c:showCatName val="0"/>
          <c:showSerName val="0"/>
          <c:showPercent val="0"/>
          <c:showBubbleSize val="0"/>
          <c:extLst>
            <c:ext xmlns:c15="http://schemas.microsoft.com/office/drawing/2012/chart" uri="{CE6537A1-D6FC-4f65-9D91-7224C49458BB}"/>
          </c:extLst>
        </c:dLbl>
      </c:pivotFmt>
      <c:pivotFmt>
        <c:idx val="3"/>
        <c:dLbl>
          <c:idx val="0"/>
          <c:showLegendKey val="0"/>
          <c:showVal val="1"/>
          <c:showCatName val="0"/>
          <c:showSerName val="0"/>
          <c:showPercent val="0"/>
          <c:showBubbleSize val="0"/>
          <c:extLst>
            <c:ext xmlns:c15="http://schemas.microsoft.com/office/drawing/2012/chart" uri="{CE6537A1-D6FC-4f65-9D91-7224C49458BB}"/>
          </c:extLst>
        </c:dLbl>
      </c:pivotFmt>
      <c:pivotFmt>
        <c:idx val="4"/>
        <c:dLbl>
          <c:idx val="0"/>
          <c:showLegendKey val="0"/>
          <c:showVal val="1"/>
          <c:showCatName val="0"/>
          <c:showSerName val="0"/>
          <c:showPercent val="0"/>
          <c:showBubbleSize val="0"/>
          <c:extLst>
            <c:ext xmlns:c15="http://schemas.microsoft.com/office/drawing/2012/chart" uri="{CE6537A1-D6FC-4f65-9D91-7224C49458BB}"/>
          </c:extLst>
        </c:dLbl>
      </c:pivotFmt>
      <c:pivotFmt>
        <c:idx val="5"/>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howLegendKey val="0"/>
          <c:showVal val="1"/>
          <c:showCatName val="0"/>
          <c:showSerName val="0"/>
          <c:showPercent val="0"/>
          <c:showBubbleSize val="0"/>
          <c:extLst>
            <c:ext xmlns:c15="http://schemas.microsoft.com/office/drawing/2012/chart" uri="{CE6537A1-D6FC-4f65-9D91-7224C49458BB}"/>
          </c:extLst>
        </c:dLbl>
      </c:pivotFmt>
      <c:pivotFmt>
        <c:idx val="7"/>
        <c:dLbl>
          <c:idx val="0"/>
          <c:showLegendKey val="0"/>
          <c:showVal val="1"/>
          <c:showCatName val="0"/>
          <c:showSerName val="0"/>
          <c:showPercent val="0"/>
          <c:showBubbleSize val="0"/>
          <c:extLst>
            <c:ext xmlns:c15="http://schemas.microsoft.com/office/drawing/2012/chart" uri="{CE6537A1-D6FC-4f65-9D91-7224C49458BB}"/>
          </c:extLst>
        </c:dLbl>
      </c:pivotFmt>
      <c:pivotFmt>
        <c:idx val="8"/>
        <c:dLbl>
          <c:idx val="0"/>
          <c:showLegendKey val="0"/>
          <c:showVal val="1"/>
          <c:showCatName val="0"/>
          <c:showSerName val="0"/>
          <c:showPercent val="0"/>
          <c:showBubbleSize val="0"/>
          <c:extLst>
            <c:ext xmlns:c15="http://schemas.microsoft.com/office/drawing/2012/chart" uri="{CE6537A1-D6FC-4f65-9D91-7224C49458BB}"/>
          </c:extLst>
        </c:dLbl>
      </c:pivotFmt>
      <c:pivotFmt>
        <c:idx val="9"/>
        <c:dLbl>
          <c:idx val="0"/>
          <c:showLegendKey val="0"/>
          <c:showVal val="1"/>
          <c:showCatName val="0"/>
          <c:showSerName val="0"/>
          <c:showPercent val="0"/>
          <c:showBubbleSize val="0"/>
          <c:extLst>
            <c:ext xmlns:c15="http://schemas.microsoft.com/office/drawing/2012/chart" uri="{CE6537A1-D6FC-4f65-9D91-7224C49458BB}"/>
          </c:extLst>
        </c:dLbl>
      </c:pivotFmt>
      <c:pivotFmt>
        <c:idx val="10"/>
        <c:dLbl>
          <c:idx val="0"/>
          <c:showLegendKey val="0"/>
          <c:showVal val="1"/>
          <c:showCatName val="0"/>
          <c:showSerName val="0"/>
          <c:showPercent val="0"/>
          <c:showBubbleSize val="0"/>
          <c:extLst>
            <c:ext xmlns:c15="http://schemas.microsoft.com/office/drawing/2012/chart" uri="{CE6537A1-D6FC-4f65-9D91-7224C49458BB}"/>
          </c:extLst>
        </c:dLbl>
      </c:pivotFmt>
      <c:pivotFmt>
        <c:idx val="11"/>
        <c:dLbl>
          <c:idx val="0"/>
          <c:showLegendKey val="0"/>
          <c:showVal val="1"/>
          <c:showCatName val="0"/>
          <c:showSerName val="0"/>
          <c:showPercent val="0"/>
          <c:showBubbleSize val="0"/>
          <c:extLst>
            <c:ext xmlns:c15="http://schemas.microsoft.com/office/drawing/2012/chart" uri="{CE6537A1-D6FC-4f65-9D91-7224C49458BB}"/>
          </c:extLst>
        </c:dLbl>
      </c:pivotFmt>
      <c:pivotFmt>
        <c:idx val="12"/>
        <c:dLbl>
          <c:idx val="0"/>
          <c:showLegendKey val="0"/>
          <c:showVal val="1"/>
          <c:showCatName val="0"/>
          <c:showSerName val="0"/>
          <c:showPercent val="0"/>
          <c:showBubbleSize val="0"/>
          <c:extLst>
            <c:ext xmlns:c15="http://schemas.microsoft.com/office/drawing/2012/chart" uri="{CE6537A1-D6FC-4f65-9D91-7224C49458BB}"/>
          </c:extLst>
        </c:dLbl>
      </c:pivotFmt>
      <c:pivotFmt>
        <c:idx val="13"/>
        <c:dLbl>
          <c:idx val="0"/>
          <c:showLegendKey val="0"/>
          <c:showVal val="1"/>
          <c:showCatName val="0"/>
          <c:showSerName val="0"/>
          <c:showPercent val="0"/>
          <c:showBubbleSize val="0"/>
          <c:extLst>
            <c:ext xmlns:c15="http://schemas.microsoft.com/office/drawing/2012/chart" uri="{CE6537A1-D6FC-4f65-9D91-7224C49458BB}"/>
          </c:extLst>
        </c:dLbl>
      </c:pivotFmt>
      <c:pivotFmt>
        <c:idx val="14"/>
        <c:dLbl>
          <c:idx val="0"/>
          <c:showLegendKey val="0"/>
          <c:showVal val="1"/>
          <c:showCatName val="0"/>
          <c:showSerName val="0"/>
          <c:showPercent val="0"/>
          <c:showBubbleSize val="0"/>
          <c:extLst>
            <c:ext xmlns:c15="http://schemas.microsoft.com/office/drawing/2012/chart" uri="{CE6537A1-D6FC-4f65-9D91-7224C49458BB}"/>
          </c:extLst>
        </c:dLbl>
      </c:pivotFmt>
      <c:pivotFmt>
        <c:idx val="15"/>
        <c:dLbl>
          <c:idx val="0"/>
          <c:showLegendKey val="0"/>
          <c:showVal val="1"/>
          <c:showCatName val="0"/>
          <c:showSerName val="0"/>
          <c:showPercent val="0"/>
          <c:showBubbleSize val="0"/>
          <c:extLst>
            <c:ext xmlns:c15="http://schemas.microsoft.com/office/drawing/2012/chart" uri="{CE6537A1-D6FC-4f65-9D91-7224C49458BB}"/>
          </c:extLst>
        </c:dLbl>
      </c:pivotFmt>
      <c:pivotFmt>
        <c:idx val="16"/>
        <c:dLbl>
          <c:idx val="0"/>
          <c:showLegendKey val="0"/>
          <c:showVal val="1"/>
          <c:showCatName val="0"/>
          <c:showSerName val="0"/>
          <c:showPercent val="0"/>
          <c:showBubbleSize val="0"/>
          <c:extLst>
            <c:ext xmlns:c15="http://schemas.microsoft.com/office/drawing/2012/chart" uri="{CE6537A1-D6FC-4f65-9D91-7224C49458BB}"/>
          </c:extLst>
        </c:dLbl>
      </c:pivotFmt>
      <c:pivotFmt>
        <c:idx val="17"/>
        <c:dLbl>
          <c:idx val="0"/>
          <c:showLegendKey val="0"/>
          <c:showVal val="1"/>
          <c:showCatName val="0"/>
          <c:showSerName val="0"/>
          <c:showPercent val="0"/>
          <c:showBubbleSize val="0"/>
          <c:extLst>
            <c:ext xmlns:c15="http://schemas.microsoft.com/office/drawing/2012/chart" uri="{CE6537A1-D6FC-4f65-9D91-7224C49458BB}"/>
          </c:extLst>
        </c:dLbl>
      </c:pivotFmt>
      <c:pivotFmt>
        <c:idx val="18"/>
        <c:dLbl>
          <c:idx val="0"/>
          <c:showLegendKey val="0"/>
          <c:showVal val="1"/>
          <c:showCatName val="0"/>
          <c:showSerName val="0"/>
          <c:showPercent val="0"/>
          <c:showBubbleSize val="0"/>
          <c:extLst>
            <c:ext xmlns:c15="http://schemas.microsoft.com/office/drawing/2012/chart" uri="{CE6537A1-D6FC-4f65-9D91-7224C49458BB}"/>
          </c:extLst>
        </c:dLbl>
      </c:pivotFmt>
      <c:pivotFmt>
        <c:idx val="19"/>
        <c:dLbl>
          <c:idx val="0"/>
          <c:showLegendKey val="0"/>
          <c:showVal val="1"/>
          <c:showCatName val="0"/>
          <c:showSerName val="0"/>
          <c:showPercent val="0"/>
          <c:showBubbleSize val="0"/>
          <c:extLst>
            <c:ext xmlns:c15="http://schemas.microsoft.com/office/drawing/2012/chart" uri="{CE6537A1-D6FC-4f65-9D91-7224C49458BB}"/>
          </c:extLst>
        </c:dLbl>
      </c:pivotFmt>
      <c:pivotFmt>
        <c:idx val="20"/>
        <c:dLbl>
          <c:idx val="0"/>
          <c:showLegendKey val="0"/>
          <c:showVal val="1"/>
          <c:showCatName val="0"/>
          <c:showSerName val="0"/>
          <c:showPercent val="0"/>
          <c:showBubbleSize val="0"/>
          <c:extLst>
            <c:ext xmlns:c15="http://schemas.microsoft.com/office/drawing/2012/chart" uri="{CE6537A1-D6FC-4f65-9D91-7224C49458BB}"/>
          </c:extLst>
        </c:dLbl>
      </c:pivotFmt>
      <c:pivotFmt>
        <c:idx val="21"/>
        <c:dLbl>
          <c:idx val="0"/>
          <c:showLegendKey val="0"/>
          <c:showVal val="1"/>
          <c:showCatName val="0"/>
          <c:showSerName val="0"/>
          <c:showPercent val="0"/>
          <c:showBubbleSize val="0"/>
          <c:extLst>
            <c:ext xmlns:c15="http://schemas.microsoft.com/office/drawing/2012/chart" uri="{CE6537A1-D6FC-4f65-9D91-7224C49458BB}"/>
          </c:extLst>
        </c:dLbl>
      </c:pivotFmt>
      <c:pivotFmt>
        <c:idx val="22"/>
        <c:dLbl>
          <c:idx val="0"/>
          <c:showLegendKey val="0"/>
          <c:showVal val="1"/>
          <c:showCatName val="0"/>
          <c:showSerName val="0"/>
          <c:showPercent val="0"/>
          <c:showBubbleSize val="0"/>
          <c:extLst>
            <c:ext xmlns:c15="http://schemas.microsoft.com/office/drawing/2012/chart" uri="{CE6537A1-D6FC-4f65-9D91-7224C49458BB}"/>
          </c:extLst>
        </c:dLbl>
      </c:pivotFmt>
      <c:pivotFmt>
        <c:idx val="23"/>
        <c:dLbl>
          <c:idx val="0"/>
          <c:showLegendKey val="0"/>
          <c:showVal val="1"/>
          <c:showCatName val="0"/>
          <c:showSerName val="0"/>
          <c:showPercent val="0"/>
          <c:showBubbleSize val="0"/>
          <c:extLst>
            <c:ext xmlns:c15="http://schemas.microsoft.com/office/drawing/2012/chart" uri="{CE6537A1-D6FC-4f65-9D91-7224C49458BB}"/>
          </c:extLst>
        </c:dLbl>
      </c:pivotFmt>
      <c:pivotFmt>
        <c:idx val="24"/>
        <c:dLbl>
          <c:idx val="0"/>
          <c:showLegendKey val="0"/>
          <c:showVal val="1"/>
          <c:showCatName val="0"/>
          <c:showSerName val="0"/>
          <c:showPercent val="0"/>
          <c:showBubbleSize val="0"/>
          <c:extLst>
            <c:ext xmlns:c15="http://schemas.microsoft.com/office/drawing/2012/chart" uri="{CE6537A1-D6FC-4f65-9D91-7224C49458BB}"/>
          </c:extLst>
        </c:dLbl>
      </c:pivotFmt>
      <c:pivotFmt>
        <c:idx val="25"/>
        <c:dLbl>
          <c:idx val="0"/>
          <c:showLegendKey val="0"/>
          <c:showVal val="1"/>
          <c:showCatName val="0"/>
          <c:showSerName val="0"/>
          <c:showPercent val="0"/>
          <c:showBubbleSize val="0"/>
          <c:extLst>
            <c:ext xmlns:c15="http://schemas.microsoft.com/office/drawing/2012/chart" uri="{CE6537A1-D6FC-4f65-9D91-7224C49458BB}"/>
          </c:extLst>
        </c:dLbl>
      </c:pivotFmt>
      <c:pivotFmt>
        <c:idx val="26"/>
        <c:dLbl>
          <c:idx val="0"/>
          <c:showLegendKey val="0"/>
          <c:showVal val="1"/>
          <c:showCatName val="0"/>
          <c:showSerName val="0"/>
          <c:showPercent val="0"/>
          <c:showBubbleSize val="0"/>
          <c:extLst>
            <c:ext xmlns:c15="http://schemas.microsoft.com/office/drawing/2012/chart" uri="{CE6537A1-D6FC-4f65-9D91-7224C49458BB}"/>
          </c:extLst>
        </c:dLbl>
      </c:pivotFmt>
      <c:pivotFmt>
        <c:idx val="27"/>
        <c:dLbl>
          <c:idx val="0"/>
          <c:showLegendKey val="0"/>
          <c:showVal val="1"/>
          <c:showCatName val="0"/>
          <c:showSerName val="0"/>
          <c:showPercent val="0"/>
          <c:showBubbleSize val="0"/>
          <c:extLst>
            <c:ext xmlns:c15="http://schemas.microsoft.com/office/drawing/2012/chart" uri="{CE6537A1-D6FC-4f65-9D91-7224C49458BB}"/>
          </c:extLst>
        </c:dLbl>
      </c:pivotFmt>
      <c:pivotFmt>
        <c:idx val="28"/>
        <c:dLbl>
          <c:idx val="0"/>
          <c:showLegendKey val="0"/>
          <c:showVal val="1"/>
          <c:showCatName val="0"/>
          <c:showSerName val="0"/>
          <c:showPercent val="0"/>
          <c:showBubbleSize val="0"/>
          <c:extLst>
            <c:ext xmlns:c15="http://schemas.microsoft.com/office/drawing/2012/chart" uri="{CE6537A1-D6FC-4f65-9D91-7224C49458BB}"/>
          </c:extLst>
        </c:dLbl>
      </c:pivotFmt>
      <c:pivotFmt>
        <c:idx val="29"/>
        <c:dLbl>
          <c:idx val="0"/>
          <c:showLegendKey val="0"/>
          <c:showVal val="1"/>
          <c:showCatName val="0"/>
          <c:showSerName val="0"/>
          <c:showPercent val="0"/>
          <c:showBubbleSize val="0"/>
          <c:extLst>
            <c:ext xmlns:c15="http://schemas.microsoft.com/office/drawing/2012/chart" uri="{CE6537A1-D6FC-4f65-9D91-7224C49458BB}"/>
          </c:extLst>
        </c:dLbl>
      </c:pivotFmt>
      <c:pivotFmt>
        <c:idx val="30"/>
        <c:dLbl>
          <c:idx val="0"/>
          <c:showLegendKey val="0"/>
          <c:showVal val="1"/>
          <c:showCatName val="0"/>
          <c:showSerName val="0"/>
          <c:showPercent val="0"/>
          <c:showBubbleSize val="0"/>
          <c:extLst>
            <c:ext xmlns:c15="http://schemas.microsoft.com/office/drawing/2012/chart" uri="{CE6537A1-D6FC-4f65-9D91-7224C49458BB}"/>
          </c:extLst>
        </c:dLbl>
      </c:pivotFmt>
      <c:pivotFmt>
        <c:idx val="31"/>
        <c:dLbl>
          <c:idx val="0"/>
          <c:showLegendKey val="0"/>
          <c:showVal val="1"/>
          <c:showCatName val="0"/>
          <c:showSerName val="0"/>
          <c:showPercent val="0"/>
          <c:showBubbleSize val="0"/>
          <c:extLst>
            <c:ext xmlns:c15="http://schemas.microsoft.com/office/drawing/2012/chart" uri="{CE6537A1-D6FC-4f65-9D91-7224C49458BB}"/>
          </c:extLst>
        </c:dLbl>
      </c:pivotFmt>
      <c:pivotFmt>
        <c:idx val="32"/>
        <c:dLbl>
          <c:idx val="0"/>
          <c:showLegendKey val="0"/>
          <c:showVal val="1"/>
          <c:showCatName val="0"/>
          <c:showSerName val="0"/>
          <c:showPercent val="0"/>
          <c:showBubbleSize val="0"/>
          <c:extLst>
            <c:ext xmlns:c15="http://schemas.microsoft.com/office/drawing/2012/chart" uri="{CE6537A1-D6FC-4f65-9D91-7224C49458BB}"/>
          </c:extLst>
        </c:dLbl>
      </c:pivotFmt>
      <c:pivotFmt>
        <c:idx val="33"/>
        <c:dLbl>
          <c:idx val="0"/>
          <c:showLegendKey val="0"/>
          <c:showVal val="1"/>
          <c:showCatName val="0"/>
          <c:showSerName val="0"/>
          <c:showPercent val="0"/>
          <c:showBubbleSize val="0"/>
          <c:extLst>
            <c:ext xmlns:c15="http://schemas.microsoft.com/office/drawing/2012/chart" uri="{CE6537A1-D6FC-4f65-9D91-7224C49458BB}"/>
          </c:extLst>
        </c:dLbl>
      </c:pivotFmt>
      <c:pivotFmt>
        <c:idx val="34"/>
        <c:dLbl>
          <c:idx val="0"/>
          <c:showLegendKey val="0"/>
          <c:showVal val="1"/>
          <c:showCatName val="0"/>
          <c:showSerName val="0"/>
          <c:showPercent val="0"/>
          <c:showBubbleSize val="0"/>
          <c:extLst>
            <c:ext xmlns:c15="http://schemas.microsoft.com/office/drawing/2012/chart" uri="{CE6537A1-D6FC-4f65-9D91-7224C49458BB}"/>
          </c:extLst>
        </c:dLbl>
      </c:pivotFmt>
      <c:pivotFmt>
        <c:idx val="35"/>
        <c:dLbl>
          <c:idx val="0"/>
          <c:showLegendKey val="0"/>
          <c:showVal val="1"/>
          <c:showCatName val="0"/>
          <c:showSerName val="0"/>
          <c:showPercent val="0"/>
          <c:showBubbleSize val="0"/>
          <c:extLst>
            <c:ext xmlns:c15="http://schemas.microsoft.com/office/drawing/2012/chart" uri="{CE6537A1-D6FC-4f65-9D91-7224C49458BB}"/>
          </c:extLst>
        </c:dLbl>
      </c:pivotFmt>
      <c:pivotFmt>
        <c:idx val="36"/>
        <c:dLbl>
          <c:idx val="0"/>
          <c:showLegendKey val="0"/>
          <c:showVal val="1"/>
          <c:showCatName val="0"/>
          <c:showSerName val="0"/>
          <c:showPercent val="0"/>
          <c:showBubbleSize val="0"/>
          <c:extLst>
            <c:ext xmlns:c15="http://schemas.microsoft.com/office/drawing/2012/chart" uri="{CE6537A1-D6FC-4f65-9D91-7224C49458BB}"/>
          </c:extLst>
        </c:dLbl>
      </c:pivotFmt>
      <c:pivotFmt>
        <c:idx val="37"/>
        <c:dLbl>
          <c:idx val="0"/>
          <c:showLegendKey val="0"/>
          <c:showVal val="1"/>
          <c:showCatName val="0"/>
          <c:showSerName val="0"/>
          <c:showPercent val="0"/>
          <c:showBubbleSize val="0"/>
          <c:extLst>
            <c:ext xmlns:c15="http://schemas.microsoft.com/office/drawing/2012/chart" uri="{CE6537A1-D6FC-4f65-9D91-7224C49458BB}"/>
          </c:extLst>
        </c:dLbl>
      </c:pivotFmt>
      <c:pivotFmt>
        <c:idx val="38"/>
        <c:dLbl>
          <c:idx val="0"/>
          <c:showLegendKey val="0"/>
          <c:showVal val="1"/>
          <c:showCatName val="0"/>
          <c:showSerName val="0"/>
          <c:showPercent val="0"/>
          <c:showBubbleSize val="0"/>
          <c:extLst>
            <c:ext xmlns:c15="http://schemas.microsoft.com/office/drawing/2012/chart" uri="{CE6537A1-D6FC-4f65-9D91-7224C49458BB}"/>
          </c:extLst>
        </c:dLbl>
      </c:pivotFmt>
      <c:pivotFmt>
        <c:idx val="39"/>
        <c:dLbl>
          <c:idx val="0"/>
          <c:showLegendKey val="0"/>
          <c:showVal val="1"/>
          <c:showCatName val="0"/>
          <c:showSerName val="0"/>
          <c:showPercent val="0"/>
          <c:showBubbleSize val="0"/>
          <c:extLst>
            <c:ext xmlns:c15="http://schemas.microsoft.com/office/drawing/2012/chart" uri="{CE6537A1-D6FC-4f65-9D91-7224C49458BB}"/>
          </c:extLst>
        </c:dLbl>
      </c:pivotFmt>
      <c:pivotFmt>
        <c:idx val="40"/>
        <c:dLbl>
          <c:idx val="0"/>
          <c:showLegendKey val="0"/>
          <c:showVal val="1"/>
          <c:showCatName val="0"/>
          <c:showSerName val="0"/>
          <c:showPercent val="0"/>
          <c:showBubbleSize val="0"/>
          <c:extLst>
            <c:ext xmlns:c15="http://schemas.microsoft.com/office/drawing/2012/chart" uri="{CE6537A1-D6FC-4f65-9D91-7224C49458BB}"/>
          </c:extLst>
        </c:dLbl>
      </c:pivotFmt>
      <c:pivotFmt>
        <c:idx val="41"/>
        <c:dLbl>
          <c:idx val="0"/>
          <c:showLegendKey val="0"/>
          <c:showVal val="1"/>
          <c:showCatName val="0"/>
          <c:showSerName val="0"/>
          <c:showPercent val="0"/>
          <c:showBubbleSize val="0"/>
          <c:extLst>
            <c:ext xmlns:c15="http://schemas.microsoft.com/office/drawing/2012/chart" uri="{CE6537A1-D6FC-4f65-9D91-7224C49458BB}"/>
          </c:extLst>
        </c:dLbl>
      </c:pivotFmt>
      <c:pivotFmt>
        <c:idx val="42"/>
        <c:dLbl>
          <c:idx val="0"/>
          <c:showLegendKey val="0"/>
          <c:showVal val="1"/>
          <c:showCatName val="0"/>
          <c:showSerName val="0"/>
          <c:showPercent val="0"/>
          <c:showBubbleSize val="0"/>
          <c:extLst>
            <c:ext xmlns:c15="http://schemas.microsoft.com/office/drawing/2012/chart" uri="{CE6537A1-D6FC-4f65-9D91-7224C49458BB}"/>
          </c:extLst>
        </c:dLbl>
      </c:pivotFmt>
      <c:pivotFmt>
        <c:idx val="43"/>
        <c:dLbl>
          <c:idx val="0"/>
          <c:showLegendKey val="0"/>
          <c:showVal val="1"/>
          <c:showCatName val="0"/>
          <c:showSerName val="0"/>
          <c:showPercent val="0"/>
          <c:showBubbleSize val="0"/>
          <c:extLst>
            <c:ext xmlns:c15="http://schemas.microsoft.com/office/drawing/2012/chart" uri="{CE6537A1-D6FC-4f65-9D91-7224C49458BB}"/>
          </c:extLst>
        </c:dLbl>
      </c:pivotFmt>
      <c:pivotFmt>
        <c:idx val="44"/>
        <c:dLbl>
          <c:idx val="0"/>
          <c:showLegendKey val="0"/>
          <c:showVal val="1"/>
          <c:showCatName val="0"/>
          <c:showSerName val="0"/>
          <c:showPercent val="0"/>
          <c:showBubbleSize val="0"/>
          <c:extLst>
            <c:ext xmlns:c15="http://schemas.microsoft.com/office/drawing/2012/chart" uri="{CE6537A1-D6FC-4f65-9D91-7224C49458BB}"/>
          </c:extLst>
        </c:dLbl>
      </c:pivotFmt>
      <c:pivotFmt>
        <c:idx val="45"/>
        <c:dLbl>
          <c:idx val="0"/>
          <c:showLegendKey val="0"/>
          <c:showVal val="1"/>
          <c:showCatName val="0"/>
          <c:showSerName val="0"/>
          <c:showPercent val="0"/>
          <c:showBubbleSize val="0"/>
          <c:extLst>
            <c:ext xmlns:c15="http://schemas.microsoft.com/office/drawing/2012/chart" uri="{CE6537A1-D6FC-4f65-9D91-7224C49458BB}"/>
          </c:extLst>
        </c:dLbl>
      </c:pivotFmt>
      <c:pivotFmt>
        <c:idx val="46"/>
        <c:dLbl>
          <c:idx val="0"/>
          <c:showLegendKey val="0"/>
          <c:showVal val="1"/>
          <c:showCatName val="0"/>
          <c:showSerName val="0"/>
          <c:showPercent val="0"/>
          <c:showBubbleSize val="0"/>
          <c:extLst>
            <c:ext xmlns:c15="http://schemas.microsoft.com/office/drawing/2012/chart" uri="{CE6537A1-D6FC-4f65-9D91-7224C49458BB}"/>
          </c:extLst>
        </c:dLbl>
      </c:pivotFmt>
      <c:pivotFmt>
        <c:idx val="47"/>
        <c:dLbl>
          <c:idx val="0"/>
          <c:showLegendKey val="0"/>
          <c:showVal val="1"/>
          <c:showCatName val="0"/>
          <c:showSerName val="0"/>
          <c:showPercent val="0"/>
          <c:showBubbleSize val="0"/>
          <c:extLst>
            <c:ext xmlns:c15="http://schemas.microsoft.com/office/drawing/2012/chart" uri="{CE6537A1-D6FC-4f65-9D91-7224C49458BB}"/>
          </c:extLst>
        </c:dLbl>
      </c:pivotFmt>
      <c:pivotFmt>
        <c:idx val="48"/>
        <c:dLbl>
          <c:idx val="0"/>
          <c:showLegendKey val="0"/>
          <c:showVal val="1"/>
          <c:showCatName val="0"/>
          <c:showSerName val="0"/>
          <c:showPercent val="0"/>
          <c:showBubbleSize val="0"/>
          <c:extLst>
            <c:ext xmlns:c15="http://schemas.microsoft.com/office/drawing/2012/chart" uri="{CE6537A1-D6FC-4f65-9D91-7224C49458BB}"/>
          </c:extLst>
        </c:dLbl>
      </c:pivotFmt>
      <c:pivotFmt>
        <c:idx val="49"/>
        <c:dLbl>
          <c:idx val="0"/>
          <c:showLegendKey val="0"/>
          <c:showVal val="1"/>
          <c:showCatName val="0"/>
          <c:showSerName val="0"/>
          <c:showPercent val="0"/>
          <c:showBubbleSize val="0"/>
          <c:extLst>
            <c:ext xmlns:c15="http://schemas.microsoft.com/office/drawing/2012/chart" uri="{CE6537A1-D6FC-4f65-9D91-7224C49458BB}"/>
          </c:extLst>
        </c:dLbl>
      </c:pivotFmt>
      <c:pivotFmt>
        <c:idx val="50"/>
        <c:dLbl>
          <c:idx val="0"/>
          <c:showLegendKey val="0"/>
          <c:showVal val="1"/>
          <c:showCatName val="0"/>
          <c:showSerName val="0"/>
          <c:showPercent val="0"/>
          <c:showBubbleSize val="0"/>
          <c:extLst>
            <c:ext xmlns:c15="http://schemas.microsoft.com/office/drawing/2012/chart" uri="{CE6537A1-D6FC-4f65-9D91-7224C49458BB}"/>
          </c:extLst>
        </c:dLbl>
      </c:pivotFmt>
      <c:pivotFmt>
        <c:idx val="51"/>
        <c:dLbl>
          <c:idx val="0"/>
          <c:showLegendKey val="0"/>
          <c:showVal val="1"/>
          <c:showCatName val="0"/>
          <c:showSerName val="0"/>
          <c:showPercent val="0"/>
          <c:showBubbleSize val="0"/>
          <c:extLst>
            <c:ext xmlns:c15="http://schemas.microsoft.com/office/drawing/2012/chart" uri="{CE6537A1-D6FC-4f65-9D91-7224C49458BB}"/>
          </c:extLst>
        </c:dLbl>
      </c:pivotFmt>
      <c:pivotFmt>
        <c:idx val="52"/>
        <c:dLbl>
          <c:idx val="0"/>
          <c:showLegendKey val="0"/>
          <c:showVal val="1"/>
          <c:showCatName val="0"/>
          <c:showSerName val="0"/>
          <c:showPercent val="0"/>
          <c:showBubbleSize val="0"/>
          <c:extLst>
            <c:ext xmlns:c15="http://schemas.microsoft.com/office/drawing/2012/chart" uri="{CE6537A1-D6FC-4f65-9D91-7224C49458BB}"/>
          </c:extLst>
        </c:dLbl>
      </c:pivotFmt>
      <c:pivotFmt>
        <c:idx val="53"/>
        <c:dLbl>
          <c:idx val="0"/>
          <c:showLegendKey val="0"/>
          <c:showVal val="1"/>
          <c:showCatName val="0"/>
          <c:showSerName val="0"/>
          <c:showPercent val="0"/>
          <c:showBubbleSize val="0"/>
          <c:extLst>
            <c:ext xmlns:c15="http://schemas.microsoft.com/office/drawing/2012/chart" uri="{CE6537A1-D6FC-4f65-9D91-7224C49458BB}"/>
          </c:extLst>
        </c:dLbl>
      </c:pivotFmt>
      <c:pivotFmt>
        <c:idx val="54"/>
        <c:dLbl>
          <c:idx val="0"/>
          <c:showLegendKey val="0"/>
          <c:showVal val="1"/>
          <c:showCatName val="0"/>
          <c:showSerName val="0"/>
          <c:showPercent val="0"/>
          <c:showBubbleSize val="0"/>
          <c:extLst>
            <c:ext xmlns:c15="http://schemas.microsoft.com/office/drawing/2012/chart" uri="{CE6537A1-D6FC-4f65-9D91-7224C49458BB}"/>
          </c:extLst>
        </c:dLbl>
      </c:pivotFmt>
      <c:pivotFmt>
        <c:idx val="55"/>
        <c:dLbl>
          <c:idx val="0"/>
          <c:showLegendKey val="0"/>
          <c:showVal val="1"/>
          <c:showCatName val="0"/>
          <c:showSerName val="0"/>
          <c:showPercent val="0"/>
          <c:showBubbleSize val="0"/>
          <c:extLst>
            <c:ext xmlns:c15="http://schemas.microsoft.com/office/drawing/2012/chart" uri="{CE6537A1-D6FC-4f65-9D91-7224C49458BB}"/>
          </c:extLst>
        </c:dLbl>
      </c:pivotFmt>
      <c:pivotFmt>
        <c:idx val="56"/>
        <c:dLbl>
          <c:idx val="0"/>
          <c:showLegendKey val="0"/>
          <c:showVal val="1"/>
          <c:showCatName val="0"/>
          <c:showSerName val="0"/>
          <c:showPercent val="0"/>
          <c:showBubbleSize val="0"/>
          <c:extLst>
            <c:ext xmlns:c15="http://schemas.microsoft.com/office/drawing/2012/chart" uri="{CE6537A1-D6FC-4f65-9D91-7224C49458BB}"/>
          </c:extLst>
        </c:dLbl>
      </c:pivotFmt>
      <c:pivotFmt>
        <c:idx val="57"/>
        <c:dLbl>
          <c:idx val="0"/>
          <c:showLegendKey val="0"/>
          <c:showVal val="1"/>
          <c:showCatName val="0"/>
          <c:showSerName val="0"/>
          <c:showPercent val="0"/>
          <c:showBubbleSize val="0"/>
          <c:extLst>
            <c:ext xmlns:c15="http://schemas.microsoft.com/office/drawing/2012/chart" uri="{CE6537A1-D6FC-4f65-9D91-7224C49458BB}"/>
          </c:extLst>
        </c:dLbl>
      </c:pivotFmt>
      <c:pivotFmt>
        <c:idx val="58"/>
        <c:dLbl>
          <c:idx val="0"/>
          <c:showLegendKey val="0"/>
          <c:showVal val="1"/>
          <c:showCatName val="0"/>
          <c:showSerName val="0"/>
          <c:showPercent val="0"/>
          <c:showBubbleSize val="0"/>
          <c:extLst>
            <c:ext xmlns:c15="http://schemas.microsoft.com/office/drawing/2012/chart" uri="{CE6537A1-D6FC-4f65-9D91-7224C49458BB}"/>
          </c:extLst>
        </c:dLbl>
      </c:pivotFmt>
      <c:pivotFmt>
        <c:idx val="59"/>
        <c:dLbl>
          <c:idx val="0"/>
          <c:showLegendKey val="0"/>
          <c:showVal val="1"/>
          <c:showCatName val="0"/>
          <c:showSerName val="0"/>
          <c:showPercent val="0"/>
          <c:showBubbleSize val="0"/>
          <c:extLst>
            <c:ext xmlns:c15="http://schemas.microsoft.com/office/drawing/2012/chart" uri="{CE6537A1-D6FC-4f65-9D91-7224C49458BB}"/>
          </c:extLst>
        </c:dLbl>
      </c:pivotFmt>
      <c:pivotFmt>
        <c:idx val="60"/>
        <c:dLbl>
          <c:idx val="0"/>
          <c:showLegendKey val="0"/>
          <c:showVal val="1"/>
          <c:showCatName val="0"/>
          <c:showSerName val="0"/>
          <c:showPercent val="0"/>
          <c:showBubbleSize val="0"/>
          <c:extLst>
            <c:ext xmlns:c15="http://schemas.microsoft.com/office/drawing/2012/chart" uri="{CE6537A1-D6FC-4f65-9D91-7224C49458BB}"/>
          </c:extLst>
        </c:dLbl>
      </c:pivotFmt>
      <c:pivotFmt>
        <c:idx val="61"/>
        <c:dLbl>
          <c:idx val="0"/>
          <c:showLegendKey val="0"/>
          <c:showVal val="1"/>
          <c:showCatName val="0"/>
          <c:showSerName val="0"/>
          <c:showPercent val="0"/>
          <c:showBubbleSize val="0"/>
          <c:extLst>
            <c:ext xmlns:c15="http://schemas.microsoft.com/office/drawing/2012/chart" uri="{CE6537A1-D6FC-4f65-9D91-7224C49458BB}"/>
          </c:extLst>
        </c:dLbl>
      </c:pivotFmt>
      <c:pivotFmt>
        <c:idx val="62"/>
        <c:dLbl>
          <c:idx val="0"/>
          <c:showLegendKey val="0"/>
          <c:showVal val="1"/>
          <c:showCatName val="0"/>
          <c:showSerName val="0"/>
          <c:showPercent val="0"/>
          <c:showBubbleSize val="0"/>
          <c:extLst>
            <c:ext xmlns:c15="http://schemas.microsoft.com/office/drawing/2012/chart" uri="{CE6537A1-D6FC-4f65-9D91-7224C49458BB}"/>
          </c:extLst>
        </c:dLbl>
      </c:pivotFmt>
      <c:pivotFmt>
        <c:idx val="63"/>
        <c:dLbl>
          <c:idx val="0"/>
          <c:showLegendKey val="0"/>
          <c:showVal val="1"/>
          <c:showCatName val="0"/>
          <c:showSerName val="0"/>
          <c:showPercent val="0"/>
          <c:showBubbleSize val="0"/>
          <c:extLst>
            <c:ext xmlns:c15="http://schemas.microsoft.com/office/drawing/2012/chart" uri="{CE6537A1-D6FC-4f65-9D91-7224C49458BB}"/>
          </c:extLst>
        </c:dLbl>
      </c:pivotFmt>
      <c:pivotFmt>
        <c:idx val="64"/>
        <c:dLbl>
          <c:idx val="0"/>
          <c:showLegendKey val="0"/>
          <c:showVal val="1"/>
          <c:showCatName val="0"/>
          <c:showSerName val="0"/>
          <c:showPercent val="0"/>
          <c:showBubbleSize val="0"/>
          <c:extLst>
            <c:ext xmlns:c15="http://schemas.microsoft.com/office/drawing/2012/chart" uri="{CE6537A1-D6FC-4f65-9D91-7224C49458BB}"/>
          </c:extLst>
        </c:dLbl>
      </c:pivotFmt>
      <c:pivotFmt>
        <c:idx val="65"/>
        <c:dLbl>
          <c:idx val="0"/>
          <c:showLegendKey val="0"/>
          <c:showVal val="1"/>
          <c:showCatName val="0"/>
          <c:showSerName val="0"/>
          <c:showPercent val="0"/>
          <c:showBubbleSize val="0"/>
          <c:extLst>
            <c:ext xmlns:c15="http://schemas.microsoft.com/office/drawing/2012/chart" uri="{CE6537A1-D6FC-4f65-9D91-7224C49458BB}"/>
          </c:extLst>
        </c:dLbl>
      </c:pivotFmt>
      <c:pivotFmt>
        <c:idx val="66"/>
        <c:dLbl>
          <c:idx val="0"/>
          <c:showLegendKey val="0"/>
          <c:showVal val="1"/>
          <c:showCatName val="0"/>
          <c:showSerName val="0"/>
          <c:showPercent val="0"/>
          <c:showBubbleSize val="0"/>
          <c:extLst>
            <c:ext xmlns:c15="http://schemas.microsoft.com/office/drawing/2012/chart" uri="{CE6537A1-D6FC-4f65-9D91-7224C49458BB}"/>
          </c:extLst>
        </c:dLbl>
      </c:pivotFmt>
      <c:pivotFmt>
        <c:idx val="67"/>
        <c:dLbl>
          <c:idx val="0"/>
          <c:showLegendKey val="0"/>
          <c:showVal val="1"/>
          <c:showCatName val="0"/>
          <c:showSerName val="0"/>
          <c:showPercent val="0"/>
          <c:showBubbleSize val="0"/>
          <c:extLst>
            <c:ext xmlns:c15="http://schemas.microsoft.com/office/drawing/2012/chart" uri="{CE6537A1-D6FC-4f65-9D91-7224C49458BB}"/>
          </c:extLst>
        </c:dLbl>
      </c:pivotFmt>
      <c:pivotFmt>
        <c:idx val="68"/>
        <c:dLbl>
          <c:idx val="0"/>
          <c:showLegendKey val="0"/>
          <c:showVal val="1"/>
          <c:showCatName val="0"/>
          <c:showSerName val="0"/>
          <c:showPercent val="0"/>
          <c:showBubbleSize val="0"/>
          <c:extLst>
            <c:ext xmlns:c15="http://schemas.microsoft.com/office/drawing/2012/chart" uri="{CE6537A1-D6FC-4f65-9D91-7224C49458BB}"/>
          </c:extLst>
        </c:dLbl>
      </c:pivotFmt>
      <c:pivotFmt>
        <c:idx val="69"/>
        <c:dLbl>
          <c:idx val="0"/>
          <c:showLegendKey val="0"/>
          <c:showVal val="1"/>
          <c:showCatName val="0"/>
          <c:showSerName val="0"/>
          <c:showPercent val="0"/>
          <c:showBubbleSize val="0"/>
          <c:extLst>
            <c:ext xmlns:c15="http://schemas.microsoft.com/office/drawing/2012/chart" uri="{CE6537A1-D6FC-4f65-9D91-7224C49458BB}"/>
          </c:extLst>
        </c:dLbl>
      </c:pivotFmt>
      <c:pivotFmt>
        <c:idx val="70"/>
        <c:dLbl>
          <c:idx val="0"/>
          <c:showLegendKey val="0"/>
          <c:showVal val="1"/>
          <c:showCatName val="0"/>
          <c:showSerName val="0"/>
          <c:showPercent val="0"/>
          <c:showBubbleSize val="0"/>
          <c:extLst>
            <c:ext xmlns:c15="http://schemas.microsoft.com/office/drawing/2012/chart" uri="{CE6537A1-D6FC-4f65-9D91-7224C49458BB}"/>
          </c:extLst>
        </c:dLbl>
      </c:pivotFmt>
      <c:pivotFmt>
        <c:idx val="71"/>
        <c:dLbl>
          <c:idx val="0"/>
          <c:showLegendKey val="0"/>
          <c:showVal val="1"/>
          <c:showCatName val="0"/>
          <c:showSerName val="0"/>
          <c:showPercent val="0"/>
          <c:showBubbleSize val="0"/>
          <c:extLst>
            <c:ext xmlns:c15="http://schemas.microsoft.com/office/drawing/2012/chart" uri="{CE6537A1-D6FC-4f65-9D91-7224C49458BB}"/>
          </c:extLst>
        </c:dLbl>
      </c:pivotFmt>
      <c:pivotFmt>
        <c:idx val="72"/>
        <c:dLbl>
          <c:idx val="0"/>
          <c:showLegendKey val="0"/>
          <c:showVal val="1"/>
          <c:showCatName val="0"/>
          <c:showSerName val="0"/>
          <c:showPercent val="0"/>
          <c:showBubbleSize val="0"/>
          <c:extLst>
            <c:ext xmlns:c15="http://schemas.microsoft.com/office/drawing/2012/chart" uri="{CE6537A1-D6FC-4f65-9D91-7224C49458BB}"/>
          </c:extLst>
        </c:dLbl>
      </c:pivotFmt>
      <c:pivotFmt>
        <c:idx val="73"/>
        <c:dLbl>
          <c:idx val="0"/>
          <c:showLegendKey val="0"/>
          <c:showVal val="1"/>
          <c:showCatName val="0"/>
          <c:showSerName val="0"/>
          <c:showPercent val="0"/>
          <c:showBubbleSize val="0"/>
          <c:extLst>
            <c:ext xmlns:c15="http://schemas.microsoft.com/office/drawing/2012/chart" uri="{CE6537A1-D6FC-4f65-9D91-7224C49458BB}"/>
          </c:extLst>
        </c:dLbl>
      </c:pivotFmt>
      <c:pivotFmt>
        <c:idx val="74"/>
        <c:dLbl>
          <c:idx val="0"/>
          <c:showLegendKey val="0"/>
          <c:showVal val="1"/>
          <c:showCatName val="0"/>
          <c:showSerName val="0"/>
          <c:showPercent val="0"/>
          <c:showBubbleSize val="0"/>
          <c:extLst>
            <c:ext xmlns:c15="http://schemas.microsoft.com/office/drawing/2012/chart" uri="{CE6537A1-D6FC-4f65-9D91-7224C49458BB}"/>
          </c:extLst>
        </c:dLbl>
      </c:pivotFmt>
      <c:pivotFmt>
        <c:idx val="75"/>
        <c:dLbl>
          <c:idx val="0"/>
          <c:showLegendKey val="0"/>
          <c:showVal val="1"/>
          <c:showCatName val="0"/>
          <c:showSerName val="0"/>
          <c:showPercent val="0"/>
          <c:showBubbleSize val="0"/>
          <c:extLst>
            <c:ext xmlns:c15="http://schemas.microsoft.com/office/drawing/2012/chart" uri="{CE6537A1-D6FC-4f65-9D91-7224C49458BB}"/>
          </c:extLst>
        </c:dLbl>
      </c:pivotFmt>
      <c:pivotFmt>
        <c:idx val="76"/>
        <c:dLbl>
          <c:idx val="0"/>
          <c:showLegendKey val="0"/>
          <c:showVal val="1"/>
          <c:showCatName val="0"/>
          <c:showSerName val="0"/>
          <c:showPercent val="0"/>
          <c:showBubbleSize val="0"/>
          <c:extLst>
            <c:ext xmlns:c15="http://schemas.microsoft.com/office/drawing/2012/chart" uri="{CE6537A1-D6FC-4f65-9D91-7224C49458BB}"/>
          </c:extLst>
        </c:dLbl>
      </c:pivotFmt>
      <c:pivotFmt>
        <c:idx val="77"/>
        <c:dLbl>
          <c:idx val="0"/>
          <c:showLegendKey val="0"/>
          <c:showVal val="1"/>
          <c:showCatName val="0"/>
          <c:showSerName val="0"/>
          <c:showPercent val="0"/>
          <c:showBubbleSize val="0"/>
          <c:extLst>
            <c:ext xmlns:c15="http://schemas.microsoft.com/office/drawing/2012/chart" uri="{CE6537A1-D6FC-4f65-9D91-7224C49458BB}"/>
          </c:extLst>
        </c:dLbl>
      </c:pivotFmt>
      <c:pivotFmt>
        <c:idx val="78"/>
        <c:dLbl>
          <c:idx val="0"/>
          <c:showLegendKey val="0"/>
          <c:showVal val="1"/>
          <c:showCatName val="0"/>
          <c:showSerName val="0"/>
          <c:showPercent val="0"/>
          <c:showBubbleSize val="0"/>
          <c:extLst>
            <c:ext xmlns:c15="http://schemas.microsoft.com/office/drawing/2012/chart" uri="{CE6537A1-D6FC-4f65-9D91-7224C49458BB}"/>
          </c:extLst>
        </c:dLbl>
      </c:pivotFmt>
      <c:pivotFmt>
        <c:idx val="79"/>
        <c:dLbl>
          <c:idx val="0"/>
          <c:showLegendKey val="0"/>
          <c:showVal val="1"/>
          <c:showCatName val="0"/>
          <c:showSerName val="0"/>
          <c:showPercent val="0"/>
          <c:showBubbleSize val="0"/>
          <c:extLst>
            <c:ext xmlns:c15="http://schemas.microsoft.com/office/drawing/2012/chart" uri="{CE6537A1-D6FC-4f65-9D91-7224C49458BB}"/>
          </c:extLst>
        </c:dLbl>
      </c:pivotFmt>
      <c:pivotFmt>
        <c:idx val="80"/>
        <c:dLbl>
          <c:idx val="0"/>
          <c:showLegendKey val="0"/>
          <c:showVal val="1"/>
          <c:showCatName val="0"/>
          <c:showSerName val="0"/>
          <c:showPercent val="0"/>
          <c:showBubbleSize val="0"/>
          <c:extLst>
            <c:ext xmlns:c15="http://schemas.microsoft.com/office/drawing/2012/chart" uri="{CE6537A1-D6FC-4f65-9D91-7224C49458BB}"/>
          </c:extLst>
        </c:dLbl>
      </c:pivotFmt>
      <c:pivotFmt>
        <c:idx val="81"/>
        <c:dLbl>
          <c:idx val="0"/>
          <c:showLegendKey val="0"/>
          <c:showVal val="1"/>
          <c:showCatName val="0"/>
          <c:showSerName val="0"/>
          <c:showPercent val="0"/>
          <c:showBubbleSize val="0"/>
          <c:extLst>
            <c:ext xmlns:c15="http://schemas.microsoft.com/office/drawing/2012/chart" uri="{CE6537A1-D6FC-4f65-9D91-7224C49458BB}"/>
          </c:extLst>
        </c:dLbl>
      </c:pivotFmt>
      <c:pivotFmt>
        <c:idx val="82"/>
        <c:dLbl>
          <c:idx val="0"/>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pivotFmt>
    </c:pivotFmts>
    <c:view3D>
      <c:rotX val="15"/>
      <c:rotY val="20"/>
      <c:depthPercent val="100"/>
      <c:rAngAx val="1"/>
    </c:view3D>
    <c:floor>
      <c:thickness val="0"/>
    </c:floor>
    <c:sideWall>
      <c:thickness val="0"/>
    </c:sideWall>
    <c:backWall>
      <c:thickness val="0"/>
    </c:backWall>
    <c:plotArea>
      <c:layout/>
      <c:bar3DChart>
        <c:barDir val="bar"/>
        <c:grouping val="clustered"/>
        <c:varyColors val="0"/>
        <c:ser>
          <c:idx val="0"/>
          <c:order val="0"/>
          <c:tx>
            <c:v>Total</c:v>
          </c:tx>
          <c:invertIfNegative val="0"/>
          <c:cat>
            <c:strLit>
              <c:ptCount val="46"/>
              <c:pt idx="0">
                <c:v>(Nam Hoi) Host families</c:v>
              </c:pt>
              <c:pt idx="1">
                <c:v>5 Ward Baptist Church(lon Khin)</c:v>
              </c:pt>
              <c:pt idx="2">
                <c:v>AG Church, Hmaw Si Sa</c:v>
              </c:pt>
              <c:pt idx="3">
                <c:v>AG Church, Maw Wan</c:v>
              </c:pt>
              <c:pt idx="4">
                <c:v>Bang Lung</c:v>
              </c:pt>
              <c:pt idx="5">
                <c:v>Baptist Church, Hmaw Si Sar(Lon Khin)</c:v>
              </c:pt>
              <c:pt idx="6">
                <c:v>Baptist Church, Naung Hmee VT</c:v>
              </c:pt>
              <c:pt idx="7">
                <c:v>Bum Tsit Pa * (1)</c:v>
              </c:pt>
              <c:pt idx="8">
                <c:v>Bum Tsit Pa * (2)</c:v>
              </c:pt>
              <c:pt idx="9">
                <c:v>Chin Church, Seik Mu</c:v>
              </c:pt>
              <c:pt idx="10">
                <c:v>Cultural Compound</c:v>
              </c:pt>
              <c:pt idx="11">
                <c:v>Dhama Rakhita, Nyein Chan Tar Yar Ward(Lon Khin)</c:v>
              </c:pt>
              <c:pt idx="12">
                <c:v>Hmaw Wan, Anglican</c:v>
              </c:pt>
              <c:pt idx="13">
                <c:v>Hpakant Baptist Church, Nam Ma Hpit</c:v>
              </c:pt>
              <c:pt idx="14">
                <c:v>Jaw 2</c:v>
              </c:pt>
              <c:pt idx="15">
                <c:v>Kone Khem Camp</c:v>
              </c:pt>
              <c:pt idx="16">
                <c:v>Kutkai downtown (KBC Church)</c:v>
              </c:pt>
              <c:pt idx="17">
                <c:v>Kutkai downtown (RC Church)</c:v>
              </c:pt>
              <c:pt idx="18">
                <c:v>Lana Zup Ja *</c:v>
              </c:pt>
              <c:pt idx="19">
                <c:v>Lisu Baptist Church, Maw Shan Vil,. Seik Mu</c:v>
              </c:pt>
              <c:pt idx="20">
                <c:v>Lisu Baptist Church, Maw Wan Ward</c:v>
              </c:pt>
              <c:pt idx="21">
                <c:v>Mandung - Jinghpaw</c:v>
              </c:pt>
              <c:pt idx="22">
                <c:v>Mandung - RC</c:v>
              </c:pt>
              <c:pt idx="23">
                <c:v>Maw Wan, Mu-yin Baptist Church</c:v>
              </c:pt>
              <c:pt idx="24">
                <c:v>Mine Yu Lay village</c:v>
              </c:pt>
              <c:pt idx="25">
                <c:v>Mungji Pa Dabang (Baptist Church)         </c:v>
              </c:pt>
              <c:pt idx="26">
                <c:v>Mungji Pa Dabang (RC Church)         </c:v>
              </c:pt>
              <c:pt idx="27">
                <c:v>Muse KBC Church</c:v>
              </c:pt>
              <c:pt idx="28">
                <c:v>Nam Hkawng/Manaung kaung</c:v>
              </c:pt>
              <c:pt idx="29">
                <c:v>Nam Hpak Ka Mare </c:v>
              </c:pt>
              <c:pt idx="30">
                <c:v>Nam Ma Phyit, COC</c:v>
              </c:pt>
              <c:pt idx="31">
                <c:v>Namtu Baptist</c:v>
              </c:pt>
              <c:pt idx="32">
                <c:v>Narte</c:v>
              </c:pt>
              <c:pt idx="33">
                <c:v>Nhkawng Pa </c:v>
              </c:pt>
              <c:pt idx="34">
                <c:v>Pa Kahtawng 1 A</c:v>
              </c:pt>
              <c:pt idx="35">
                <c:v>Pa Kahtawng 1B</c:v>
              </c:pt>
              <c:pt idx="36">
                <c:v>Pa Kahtawng 2</c:v>
              </c:pt>
              <c:pt idx="37">
                <c:v>Pa Kahtawng Boarding High School </c:v>
              </c:pt>
              <c:pt idx="38">
                <c:v>Pa Kahtawng Boarding Middle School </c:v>
              </c:pt>
              <c:pt idx="39">
                <c:v>Pa Kahtawng Host Families</c:v>
              </c:pt>
              <c:pt idx="40">
                <c:v>Pa Kahtawng Primary school</c:v>
              </c:pt>
              <c:pt idx="41">
                <c:v>Rawan Baptist Church, Maw Shan Vil., Seik Mu</c:v>
              </c:pt>
              <c:pt idx="42">
                <c:v>Sai Nai Baptish Church, Maw Shan Vil., Seki Mu</c:v>
              </c:pt>
              <c:pt idx="43">
                <c:v>Ward 2 Sai Taung Baptist Church, Seik Mu </c:v>
              </c:pt>
              <c:pt idx="44">
                <c:v>Yumar Baptist Church</c:v>
              </c:pt>
              <c:pt idx="45">
                <c:v>Zup Aung Camp</c:v>
              </c:pt>
            </c:strLit>
          </c:cat>
          <c:val>
            <c:numLit>
              <c:formatCode>General</c:formatCode>
              <c:ptCount val="46"/>
              <c:pt idx="0">
                <c:v>42004</c:v>
              </c:pt>
              <c:pt idx="1">
                <c:v>42004</c:v>
              </c:pt>
              <c:pt idx="2">
                <c:v>42004</c:v>
              </c:pt>
              <c:pt idx="3">
                <c:v>42004</c:v>
              </c:pt>
              <c:pt idx="4">
                <c:v>42035</c:v>
              </c:pt>
              <c:pt idx="5">
                <c:v>42004</c:v>
              </c:pt>
              <c:pt idx="6">
                <c:v>42004</c:v>
              </c:pt>
              <c:pt idx="7">
                <c:v>42185</c:v>
              </c:pt>
              <c:pt idx="8">
                <c:v>42185</c:v>
              </c:pt>
              <c:pt idx="9">
                <c:v>42004</c:v>
              </c:pt>
              <c:pt idx="10">
                <c:v>42035</c:v>
              </c:pt>
              <c:pt idx="11">
                <c:v>42004</c:v>
              </c:pt>
              <c:pt idx="12">
                <c:v>42004</c:v>
              </c:pt>
              <c:pt idx="13">
                <c:v>42004</c:v>
              </c:pt>
              <c:pt idx="14">
                <c:v>42035</c:v>
              </c:pt>
              <c:pt idx="15">
                <c:v>42035</c:v>
              </c:pt>
              <c:pt idx="16">
                <c:v>42035</c:v>
              </c:pt>
              <c:pt idx="17">
                <c:v>42004</c:v>
              </c:pt>
              <c:pt idx="18">
                <c:v>42185</c:v>
              </c:pt>
              <c:pt idx="19">
                <c:v>42004</c:v>
              </c:pt>
              <c:pt idx="20">
                <c:v>42004</c:v>
              </c:pt>
              <c:pt idx="21">
                <c:v>42035</c:v>
              </c:pt>
              <c:pt idx="22">
                <c:v>42004</c:v>
              </c:pt>
              <c:pt idx="23">
                <c:v>42004</c:v>
              </c:pt>
              <c:pt idx="24">
                <c:v>42035</c:v>
              </c:pt>
              <c:pt idx="25">
                <c:v>42035</c:v>
              </c:pt>
              <c:pt idx="26">
                <c:v>42004</c:v>
              </c:pt>
              <c:pt idx="27">
                <c:v>42035</c:v>
              </c:pt>
              <c:pt idx="28">
                <c:v>42035</c:v>
              </c:pt>
              <c:pt idx="29">
                <c:v>42035</c:v>
              </c:pt>
              <c:pt idx="30">
                <c:v>42004</c:v>
              </c:pt>
              <c:pt idx="31">
                <c:v>42035</c:v>
              </c:pt>
              <c:pt idx="32">
                <c:v>42035</c:v>
              </c:pt>
              <c:pt idx="33">
                <c:v>42185</c:v>
              </c:pt>
              <c:pt idx="34">
                <c:v>42185</c:v>
              </c:pt>
              <c:pt idx="35">
                <c:v>42185</c:v>
              </c:pt>
              <c:pt idx="36">
                <c:v>42185</c:v>
              </c:pt>
              <c:pt idx="37">
                <c:v>42185</c:v>
              </c:pt>
              <c:pt idx="38">
                <c:v>42185</c:v>
              </c:pt>
              <c:pt idx="39">
                <c:v>42185</c:v>
              </c:pt>
              <c:pt idx="40">
                <c:v>42185</c:v>
              </c:pt>
              <c:pt idx="41">
                <c:v>42004</c:v>
              </c:pt>
              <c:pt idx="42">
                <c:v>42004</c:v>
              </c:pt>
              <c:pt idx="43">
                <c:v>42004</c:v>
              </c:pt>
              <c:pt idx="44">
                <c:v>42004</c:v>
              </c:pt>
              <c:pt idx="45">
                <c:v>42035</c:v>
              </c:pt>
            </c:numLit>
          </c:val>
        </c:ser>
        <c:dLbls>
          <c:showLegendKey val="0"/>
          <c:showVal val="0"/>
          <c:showCatName val="0"/>
          <c:showSerName val="0"/>
          <c:showPercent val="0"/>
          <c:showBubbleSize val="0"/>
        </c:dLbls>
        <c:gapWidth val="75"/>
        <c:shape val="box"/>
        <c:axId val="90175744"/>
        <c:axId val="90279936"/>
        <c:axId val="0"/>
      </c:bar3DChart>
      <c:catAx>
        <c:axId val="90175744"/>
        <c:scaling>
          <c:orientation val="minMax"/>
        </c:scaling>
        <c:delete val="0"/>
        <c:axPos val="l"/>
        <c:numFmt formatCode="General" sourceLinked="1"/>
        <c:majorTickMark val="none"/>
        <c:minorTickMark val="none"/>
        <c:tickLblPos val="nextTo"/>
        <c:txPr>
          <a:bodyPr rot="-2040000" vert="horz"/>
          <a:lstStyle/>
          <a:p>
            <a:pPr>
              <a:defRPr sz="1000" b="0" i="0" u="none" strike="noStrike" baseline="0">
                <a:solidFill>
                  <a:srgbClr val="000000"/>
                </a:solidFill>
                <a:latin typeface="Calibri"/>
                <a:ea typeface="Calibri"/>
                <a:cs typeface="Calibri"/>
              </a:defRPr>
            </a:pPr>
            <a:endParaRPr lang="en-US"/>
          </a:p>
        </c:txPr>
        <c:crossAx val="90279936"/>
        <c:crosses val="autoZero"/>
        <c:auto val="1"/>
        <c:lblAlgn val="ctr"/>
        <c:lblOffset val="100"/>
        <c:noMultiLvlLbl val="0"/>
      </c:catAx>
      <c:valAx>
        <c:axId val="90279936"/>
        <c:scaling>
          <c:orientation val="minMax"/>
          <c:min val="41974"/>
        </c:scaling>
        <c:delete val="0"/>
        <c:axPos val="b"/>
        <c:majorGridlines/>
        <c:numFmt formatCode="[$-409]d\-mmm\-yy;@" sourceLinked="0"/>
        <c:majorTickMark val="none"/>
        <c:minorTickMark val="none"/>
        <c:tickLblPos val="nextTo"/>
        <c:spPr>
          <a:ln w="9525">
            <a:noFill/>
          </a:ln>
        </c:spPr>
        <c:txPr>
          <a:bodyPr rot="-5400000" vert="horz"/>
          <a:lstStyle/>
          <a:p>
            <a:pPr>
              <a:defRPr sz="1000" b="0" i="0" u="none" strike="noStrike" baseline="0">
                <a:solidFill>
                  <a:srgbClr val="000000"/>
                </a:solidFill>
                <a:latin typeface="Calibri"/>
                <a:ea typeface="Calibri"/>
                <a:cs typeface="Calibri"/>
              </a:defRPr>
            </a:pPr>
            <a:endParaRPr lang="en-US"/>
          </a:p>
        </c:txPr>
        <c:crossAx val="90175744"/>
        <c:crosses val="autoZero"/>
        <c:crossBetween val="between"/>
        <c:majorUnit val="50"/>
      </c:valAx>
      <c:spPr>
        <a:noFill/>
        <a:ln w="25400">
          <a:noFill/>
        </a:ln>
      </c:spPr>
    </c:plotArea>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33" l="0.70000000000000062" r="0.70000000000000062" t="0.75000000000000133" header="0.30000000000000032" footer="0.30000000000000032"/>
    <c:pageSetup/>
  </c:printSettings>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2015.xlsx]SituationAnalysis!PivotTable1</c:name>
    <c:fmtId val="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Needs Coverage</a:t>
            </a:r>
          </a:p>
        </c:rich>
      </c:tx>
      <c:layout>
        <c:manualLayout>
          <c:xMode val="edge"/>
          <c:yMode val="edge"/>
          <c:x val="0.38267455621301777"/>
          <c:y val="3.3210332103321034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
        <c:spPr>
          <a:solidFill>
            <a:schemeClr val="accent2"/>
          </a:solidFill>
          <a:ln>
            <a:noFill/>
          </a:ln>
          <a:effectLst/>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
        <c:spPr>
          <a:solidFill>
            <a:schemeClr val="accent3"/>
          </a:solidFill>
          <a:ln>
            <a:noFill/>
          </a:ln>
          <a:effectLst/>
          <a:sp3d/>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SituationAnalysis!$C$13</c:f>
              <c:strCache>
                <c:ptCount val="1"/>
                <c:pt idx="0">
                  <c:v>% Water coverage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SituationAnalysis!$B$14:$B$16</c:f>
              <c:strCache>
                <c:ptCount val="2"/>
                <c:pt idx="0">
                  <c:v>GCA</c:v>
                </c:pt>
                <c:pt idx="1">
                  <c:v>NGCA</c:v>
                </c:pt>
              </c:strCache>
            </c:strRef>
          </c:cat>
          <c:val>
            <c:numRef>
              <c:f>SituationAnalysis!$C$14:$C$16</c:f>
              <c:numCache>
                <c:formatCode>0%</c:formatCode>
                <c:ptCount val="2"/>
                <c:pt idx="0">
                  <c:v>0.99087354908257219</c:v>
                </c:pt>
                <c:pt idx="1">
                  <c:v>0.88511372742402761</c:v>
                </c:pt>
              </c:numCache>
            </c:numRef>
          </c:val>
        </c:ser>
        <c:ser>
          <c:idx val="1"/>
          <c:order val="1"/>
          <c:tx>
            <c:strRef>
              <c:f>SituationAnalysis!$D$13</c:f>
              <c:strCache>
                <c:ptCount val="1"/>
                <c:pt idx="0">
                  <c:v>% Latrine coverage</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SituationAnalysis!$B$14:$B$16</c:f>
              <c:strCache>
                <c:ptCount val="2"/>
                <c:pt idx="0">
                  <c:v>GCA</c:v>
                </c:pt>
                <c:pt idx="1">
                  <c:v>NGCA</c:v>
                </c:pt>
              </c:strCache>
            </c:strRef>
          </c:cat>
          <c:val>
            <c:numRef>
              <c:f>SituationAnalysis!$D$14:$D$16</c:f>
              <c:numCache>
                <c:formatCode>0%</c:formatCode>
                <c:ptCount val="2"/>
                <c:pt idx="0">
                  <c:v>0.83320048281673464</c:v>
                </c:pt>
                <c:pt idx="1">
                  <c:v>0.90978857178080508</c:v>
                </c:pt>
              </c:numCache>
            </c:numRef>
          </c:val>
        </c:ser>
        <c:ser>
          <c:idx val="2"/>
          <c:order val="2"/>
          <c:tx>
            <c:strRef>
              <c:f>SituationAnalysis!$E$13</c:f>
              <c:strCache>
                <c:ptCount val="1"/>
                <c:pt idx="0">
                  <c:v>% Bathroom coverage</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SituationAnalysis!$B$14:$B$16</c:f>
              <c:strCache>
                <c:ptCount val="2"/>
                <c:pt idx="0">
                  <c:v>GCA</c:v>
                </c:pt>
                <c:pt idx="1">
                  <c:v>NGCA</c:v>
                </c:pt>
              </c:strCache>
            </c:strRef>
          </c:cat>
          <c:val>
            <c:numRef>
              <c:f>SituationAnalysis!$E$14:$E$16</c:f>
              <c:numCache>
                <c:formatCode>0%</c:formatCode>
                <c:ptCount val="2"/>
                <c:pt idx="0">
                  <c:v>0.53184996242228244</c:v>
                </c:pt>
                <c:pt idx="1">
                  <c:v>0.41459656043888304</c:v>
                </c:pt>
              </c:numCache>
            </c:numRef>
          </c:val>
        </c:ser>
        <c:dLbls>
          <c:showLegendKey val="0"/>
          <c:showVal val="1"/>
          <c:showCatName val="0"/>
          <c:showSerName val="0"/>
          <c:showPercent val="0"/>
          <c:showBubbleSize val="0"/>
        </c:dLbls>
        <c:gapWidth val="150"/>
        <c:shape val="box"/>
        <c:axId val="90793088"/>
        <c:axId val="90794624"/>
        <c:axId val="0"/>
      </c:bar3DChart>
      <c:catAx>
        <c:axId val="9079308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94624"/>
        <c:crosses val="autoZero"/>
        <c:auto val="1"/>
        <c:lblAlgn val="ctr"/>
        <c:lblOffset val="100"/>
        <c:noMultiLvlLbl val="0"/>
      </c:catAx>
      <c:valAx>
        <c:axId val="90794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930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2015.xlsx]SituationAnalysis!PivotTable5</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Needs Coverage</a:t>
            </a:r>
          </a:p>
        </c:rich>
      </c:tx>
      <c:layout>
        <c:manualLayout>
          <c:xMode val="edge"/>
          <c:yMode val="edge"/>
          <c:x val="0.38267455621301777"/>
          <c:y val="3.3210332103321034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
        <c:idx val="9"/>
        <c:spPr>
          <a:solidFill>
            <a:schemeClr val="accent1"/>
          </a:solidFill>
          <a:ln>
            <a:noFill/>
          </a:ln>
          <a:effectLst/>
          <a:sp3d/>
        </c:spPr>
        <c:marker>
          <c:symbol val="none"/>
        </c:marker>
      </c:pivotFmt>
      <c:pivotFmt>
        <c:idx val="10"/>
        <c:spPr>
          <a:solidFill>
            <a:schemeClr val="accent2"/>
          </a:solidFill>
          <a:ln>
            <a:noFill/>
          </a:ln>
          <a:effectLst/>
          <a:sp3d/>
        </c:spPr>
        <c:marker>
          <c:symbol val="none"/>
        </c:marker>
      </c:pivotFmt>
      <c:pivotFmt>
        <c:idx val="11"/>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SituationAnalysis!$C$32</c:f>
              <c:strCache>
                <c:ptCount val="1"/>
                <c:pt idx="0">
                  <c:v>% Water Need coverage</c:v>
                </c:pt>
              </c:strCache>
            </c:strRef>
          </c:tx>
          <c:spPr>
            <a:solidFill>
              <a:schemeClr val="accent1"/>
            </a:solidFill>
            <a:ln>
              <a:noFill/>
            </a:ln>
            <a:effectLst/>
            <a:sp3d/>
          </c:spPr>
          <c:invertIfNegative val="0"/>
          <c:cat>
            <c:strRef>
              <c:f>SituationAnalysis!$B$33:$B$52</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SituationAnalysis!$C$33:$C$52</c:f>
              <c:numCache>
                <c:formatCode>0%</c:formatCode>
                <c:ptCount val="19"/>
                <c:pt idx="0">
                  <c:v>1</c:v>
                </c:pt>
                <c:pt idx="1">
                  <c:v>1</c:v>
                </c:pt>
                <c:pt idx="2">
                  <c:v>1</c:v>
                </c:pt>
                <c:pt idx="3">
                  <c:v>0</c:v>
                </c:pt>
                <c:pt idx="4">
                  <c:v>1</c:v>
                </c:pt>
                <c:pt idx="5">
                  <c:v>1</c:v>
                </c:pt>
                <c:pt idx="6">
                  <c:v>0.97892792285052288</c:v>
                </c:pt>
                <c:pt idx="7">
                  <c:v>1</c:v>
                </c:pt>
                <c:pt idx="8">
                  <c:v>1</c:v>
                </c:pt>
                <c:pt idx="9">
                  <c:v>1</c:v>
                </c:pt>
                <c:pt idx="10">
                  <c:v>0.8129978372105291</c:v>
                </c:pt>
                <c:pt idx="11">
                  <c:v>0.90513833992094861</c:v>
                </c:pt>
                <c:pt idx="12">
                  <c:v>1</c:v>
                </c:pt>
                <c:pt idx="13">
                  <c:v>1</c:v>
                </c:pt>
                <c:pt idx="14">
                  <c:v>1</c:v>
                </c:pt>
                <c:pt idx="15">
                  <c:v>0.57396449704142016</c:v>
                </c:pt>
                <c:pt idx="16">
                  <c:v>1</c:v>
                </c:pt>
                <c:pt idx="17">
                  <c:v>1</c:v>
                </c:pt>
                <c:pt idx="18">
                  <c:v>0.6384364820846905</c:v>
                </c:pt>
              </c:numCache>
            </c:numRef>
          </c:val>
        </c:ser>
        <c:ser>
          <c:idx val="1"/>
          <c:order val="1"/>
          <c:tx>
            <c:strRef>
              <c:f>SituationAnalysis!$D$32</c:f>
              <c:strCache>
                <c:ptCount val="1"/>
                <c:pt idx="0">
                  <c:v>%  Latrine need coverage</c:v>
                </c:pt>
              </c:strCache>
            </c:strRef>
          </c:tx>
          <c:spPr>
            <a:solidFill>
              <a:schemeClr val="accent2"/>
            </a:solidFill>
            <a:ln>
              <a:noFill/>
            </a:ln>
            <a:effectLst/>
            <a:sp3d/>
          </c:spPr>
          <c:invertIfNegative val="0"/>
          <c:cat>
            <c:strRef>
              <c:f>SituationAnalysis!$B$33:$B$52</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SituationAnalysis!$D$33:$D$52</c:f>
              <c:numCache>
                <c:formatCode>0%</c:formatCode>
                <c:ptCount val="19"/>
                <c:pt idx="0">
                  <c:v>0.76079506511309114</c:v>
                </c:pt>
                <c:pt idx="1">
                  <c:v>0.8477742448330684</c:v>
                </c:pt>
                <c:pt idx="2">
                  <c:v>0.79617486338797816</c:v>
                </c:pt>
                <c:pt idx="3">
                  <c:v>0</c:v>
                </c:pt>
                <c:pt idx="4">
                  <c:v>0.9502212389380531</c:v>
                </c:pt>
                <c:pt idx="5">
                  <c:v>0.5714285714285714</c:v>
                </c:pt>
                <c:pt idx="6">
                  <c:v>0.82444110464024045</c:v>
                </c:pt>
                <c:pt idx="7">
                  <c:v>1</c:v>
                </c:pt>
                <c:pt idx="8">
                  <c:v>1</c:v>
                </c:pt>
                <c:pt idx="9">
                  <c:v>0.97419354838709682</c:v>
                </c:pt>
                <c:pt idx="10">
                  <c:v>0.9550561797752809</c:v>
                </c:pt>
                <c:pt idx="11">
                  <c:v>1</c:v>
                </c:pt>
                <c:pt idx="12">
                  <c:v>0.89126244779955033</c:v>
                </c:pt>
                <c:pt idx="13">
                  <c:v>0.88414985590778095</c:v>
                </c:pt>
                <c:pt idx="14">
                  <c:v>1</c:v>
                </c:pt>
                <c:pt idx="15">
                  <c:v>0.72189349112426038</c:v>
                </c:pt>
                <c:pt idx="16">
                  <c:v>1</c:v>
                </c:pt>
                <c:pt idx="17">
                  <c:v>0.84944524603214089</c:v>
                </c:pt>
                <c:pt idx="18">
                  <c:v>0.13029315960912052</c:v>
                </c:pt>
              </c:numCache>
            </c:numRef>
          </c:val>
        </c:ser>
        <c:ser>
          <c:idx val="2"/>
          <c:order val="2"/>
          <c:tx>
            <c:strRef>
              <c:f>SituationAnalysis!$E$32</c:f>
              <c:strCache>
                <c:ptCount val="1"/>
                <c:pt idx="0">
                  <c:v>% Bathroom need coverage</c:v>
                </c:pt>
              </c:strCache>
            </c:strRef>
          </c:tx>
          <c:spPr>
            <a:solidFill>
              <a:schemeClr val="accent3"/>
            </a:solidFill>
            <a:ln>
              <a:noFill/>
            </a:ln>
            <a:effectLst/>
            <a:sp3d/>
          </c:spPr>
          <c:invertIfNegative val="0"/>
          <c:cat>
            <c:strRef>
              <c:f>SituationAnalysis!$B$33:$B$52</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SituationAnalysis!$E$33:$E$52</c:f>
              <c:numCache>
                <c:formatCode>0%</c:formatCode>
                <c:ptCount val="19"/>
                <c:pt idx="0">
                  <c:v>0.35243317340644276</c:v>
                </c:pt>
                <c:pt idx="1">
                  <c:v>0.64825119236883944</c:v>
                </c:pt>
                <c:pt idx="2">
                  <c:v>0.72923497267759563</c:v>
                </c:pt>
                <c:pt idx="3">
                  <c:v>0</c:v>
                </c:pt>
                <c:pt idx="4">
                  <c:v>0.31342182890855458</c:v>
                </c:pt>
                <c:pt idx="5">
                  <c:v>0</c:v>
                </c:pt>
                <c:pt idx="6">
                  <c:v>0.36633477362389633</c:v>
                </c:pt>
                <c:pt idx="7">
                  <c:v>0.52906976744186052</c:v>
                </c:pt>
                <c:pt idx="8">
                  <c:v>1</c:v>
                </c:pt>
                <c:pt idx="9">
                  <c:v>1</c:v>
                </c:pt>
                <c:pt idx="10">
                  <c:v>0.55035079390198871</c:v>
                </c:pt>
                <c:pt idx="11">
                  <c:v>1</c:v>
                </c:pt>
                <c:pt idx="12">
                  <c:v>0.55059428204304528</c:v>
                </c:pt>
                <c:pt idx="13">
                  <c:v>0.74812680115273777</c:v>
                </c:pt>
                <c:pt idx="14">
                  <c:v>1</c:v>
                </c:pt>
                <c:pt idx="15">
                  <c:v>0</c:v>
                </c:pt>
                <c:pt idx="16">
                  <c:v>1</c:v>
                </c:pt>
                <c:pt idx="17">
                  <c:v>0.42355341061744367</c:v>
                </c:pt>
                <c:pt idx="18">
                  <c:v>0</c:v>
                </c:pt>
              </c:numCache>
            </c:numRef>
          </c:val>
        </c:ser>
        <c:dLbls>
          <c:showLegendKey val="0"/>
          <c:showVal val="0"/>
          <c:showCatName val="0"/>
          <c:showSerName val="0"/>
          <c:showPercent val="0"/>
          <c:showBubbleSize val="0"/>
        </c:dLbls>
        <c:gapWidth val="150"/>
        <c:shape val="box"/>
        <c:axId val="90861952"/>
        <c:axId val="90863488"/>
        <c:axId val="0"/>
      </c:bar3DChart>
      <c:catAx>
        <c:axId val="908619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863488"/>
        <c:crosses val="autoZero"/>
        <c:auto val="1"/>
        <c:lblAlgn val="ctr"/>
        <c:lblOffset val="100"/>
        <c:noMultiLvlLbl val="0"/>
      </c:catAx>
      <c:valAx>
        <c:axId val="90863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8619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2015.xlsx]SituationAnalysis!PivotTable8</c:name>
    <c:fmtId val="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Needs Coverage</a:t>
            </a:r>
          </a:p>
        </c:rich>
      </c:tx>
      <c:layout>
        <c:manualLayout>
          <c:xMode val="edge"/>
          <c:yMode val="edge"/>
          <c:x val="0.38267455621301777"/>
          <c:y val="3.3210332103321034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
        <c:idx val="9"/>
        <c:spPr>
          <a:solidFill>
            <a:schemeClr val="accent1"/>
          </a:solidFill>
          <a:ln>
            <a:noFill/>
          </a:ln>
          <a:effectLst/>
          <a:sp3d/>
        </c:spPr>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1"/>
          </a:solidFill>
          <a:ln>
            <a:noFill/>
          </a:ln>
          <a:effectLst/>
          <a:sp3d/>
        </c:spPr>
        <c:marker>
          <c:symbol val="none"/>
        </c:marker>
      </c:pivotFmt>
      <c:pivotFmt>
        <c:idx val="14"/>
        <c:spPr>
          <a:solidFill>
            <a:schemeClr val="accent1"/>
          </a:solidFill>
          <a:ln>
            <a:noFill/>
          </a:ln>
          <a:effectLst/>
          <a:sp3d/>
        </c:spPr>
        <c:marker>
          <c:symbol val="none"/>
        </c:marker>
      </c:pivotFmt>
      <c:pivotFmt>
        <c:idx val="15"/>
        <c:spPr>
          <a:solidFill>
            <a:schemeClr val="accent1"/>
          </a:solidFill>
          <a:ln>
            <a:noFill/>
          </a:ln>
          <a:effectLst/>
          <a:sp3d/>
        </c:spPr>
        <c:marker>
          <c:symbol val="none"/>
        </c:marker>
      </c:pivotFmt>
      <c:pivotFmt>
        <c:idx val="16"/>
        <c:spPr>
          <a:solidFill>
            <a:schemeClr val="accent1"/>
          </a:solidFill>
          <a:ln>
            <a:noFill/>
          </a:ln>
          <a:effectLst/>
          <a:sp3d/>
        </c:spPr>
        <c:marker>
          <c:symbol val="none"/>
        </c:marker>
      </c:pivotFmt>
      <c:pivotFmt>
        <c:idx val="17"/>
        <c:spPr>
          <a:solidFill>
            <a:schemeClr val="accent1"/>
          </a:solidFill>
          <a:ln>
            <a:noFill/>
          </a:ln>
          <a:effectLst/>
          <a:sp3d/>
        </c:spPr>
        <c:marker>
          <c:symbol val="none"/>
        </c:marker>
      </c:pivotFmt>
      <c:pivotFmt>
        <c:idx val="18"/>
        <c:spPr>
          <a:solidFill>
            <a:schemeClr val="accent1"/>
          </a:solidFill>
          <a:ln>
            <a:noFill/>
          </a:ln>
          <a:effectLst/>
          <a:sp3d/>
        </c:spPr>
        <c:marker>
          <c:symbol val="none"/>
        </c:marker>
      </c:pivotFmt>
      <c:pivotFmt>
        <c:idx val="19"/>
        <c:spPr>
          <a:solidFill>
            <a:schemeClr val="accent2"/>
          </a:solidFill>
          <a:ln>
            <a:noFill/>
          </a:ln>
          <a:effectLst/>
          <a:sp3d/>
        </c:spPr>
        <c:marker>
          <c:symbol val="none"/>
        </c:marker>
      </c:pivotFmt>
      <c:pivotFmt>
        <c:idx val="20"/>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SituationAnalysis!$C$63</c:f>
              <c:strCache>
                <c:ptCount val="1"/>
                <c:pt idx="0">
                  <c:v>% Water Need coverage</c:v>
                </c:pt>
              </c:strCache>
            </c:strRef>
          </c:tx>
          <c:spPr>
            <a:solidFill>
              <a:schemeClr val="accent1"/>
            </a:solidFill>
            <a:ln>
              <a:noFill/>
            </a:ln>
            <a:effectLst/>
            <a:sp3d/>
          </c:spPr>
          <c:invertIfNegative val="0"/>
          <c:cat>
            <c:strRef>
              <c:f>SituationAnalysis!$B$64:$B$74</c:f>
              <c:strCache>
                <c:ptCount val="10"/>
                <c:pt idx="0">
                  <c:v>Cluster 1</c:v>
                </c:pt>
                <c:pt idx="1">
                  <c:v>Cluster 10</c:v>
                </c:pt>
                <c:pt idx="2">
                  <c:v>Cluster 2</c:v>
                </c:pt>
                <c:pt idx="3">
                  <c:v>Cluster 3</c:v>
                </c:pt>
                <c:pt idx="4">
                  <c:v>Cluster 4</c:v>
                </c:pt>
                <c:pt idx="5">
                  <c:v>Cluster 5</c:v>
                </c:pt>
                <c:pt idx="6">
                  <c:v>Cluster 6</c:v>
                </c:pt>
                <c:pt idx="7">
                  <c:v>Cluster 7</c:v>
                </c:pt>
                <c:pt idx="8">
                  <c:v>Cluster 8</c:v>
                </c:pt>
                <c:pt idx="9">
                  <c:v>Cluster 9</c:v>
                </c:pt>
              </c:strCache>
            </c:strRef>
          </c:cat>
          <c:val>
            <c:numRef>
              <c:f>SituationAnalysis!$C$64:$C$74</c:f>
              <c:numCache>
                <c:formatCode>0%</c:formatCode>
                <c:ptCount val="10"/>
                <c:pt idx="0">
                  <c:v>1</c:v>
                </c:pt>
                <c:pt idx="1">
                  <c:v>0.96748264523200589</c:v>
                </c:pt>
                <c:pt idx="2">
                  <c:v>1</c:v>
                </c:pt>
                <c:pt idx="3">
                  <c:v>1</c:v>
                </c:pt>
                <c:pt idx="4">
                  <c:v>0.9984117393180838</c:v>
                </c:pt>
                <c:pt idx="5">
                  <c:v>0.84537203490156543</c:v>
                </c:pt>
                <c:pt idx="6">
                  <c:v>0.98402606691567984</c:v>
                </c:pt>
                <c:pt idx="7">
                  <c:v>0.98816633488166339</c:v>
                </c:pt>
                <c:pt idx="8">
                  <c:v>0.93325315694527966</c:v>
                </c:pt>
                <c:pt idx="9">
                  <c:v>1</c:v>
                </c:pt>
              </c:numCache>
            </c:numRef>
          </c:val>
        </c:ser>
        <c:ser>
          <c:idx val="1"/>
          <c:order val="1"/>
          <c:tx>
            <c:strRef>
              <c:f>SituationAnalysis!$D$63</c:f>
              <c:strCache>
                <c:ptCount val="1"/>
                <c:pt idx="0">
                  <c:v>% Latrine need coverage</c:v>
                </c:pt>
              </c:strCache>
            </c:strRef>
          </c:tx>
          <c:spPr>
            <a:solidFill>
              <a:schemeClr val="accent2"/>
            </a:solidFill>
            <a:ln>
              <a:noFill/>
            </a:ln>
            <a:effectLst/>
            <a:sp3d/>
          </c:spPr>
          <c:invertIfNegative val="0"/>
          <c:cat>
            <c:strRef>
              <c:f>SituationAnalysis!$B$64:$B$74</c:f>
              <c:strCache>
                <c:ptCount val="10"/>
                <c:pt idx="0">
                  <c:v>Cluster 1</c:v>
                </c:pt>
                <c:pt idx="1">
                  <c:v>Cluster 10</c:v>
                </c:pt>
                <c:pt idx="2">
                  <c:v>Cluster 2</c:v>
                </c:pt>
                <c:pt idx="3">
                  <c:v>Cluster 3</c:v>
                </c:pt>
                <c:pt idx="4">
                  <c:v>Cluster 4</c:v>
                </c:pt>
                <c:pt idx="5">
                  <c:v>Cluster 5</c:v>
                </c:pt>
                <c:pt idx="6">
                  <c:v>Cluster 6</c:v>
                </c:pt>
                <c:pt idx="7">
                  <c:v>Cluster 7</c:v>
                </c:pt>
                <c:pt idx="8">
                  <c:v>Cluster 8</c:v>
                </c:pt>
                <c:pt idx="9">
                  <c:v>Cluster 9</c:v>
                </c:pt>
              </c:strCache>
            </c:strRef>
          </c:cat>
          <c:val>
            <c:numRef>
              <c:f>SituationAnalysis!$D$64:$D$74</c:f>
              <c:numCache>
                <c:formatCode>0%</c:formatCode>
                <c:ptCount val="10"/>
                <c:pt idx="0">
                  <c:v>0.79617486338797816</c:v>
                </c:pt>
                <c:pt idx="1">
                  <c:v>0.83120204603580561</c:v>
                </c:pt>
                <c:pt idx="2">
                  <c:v>0.88407929378968564</c:v>
                </c:pt>
                <c:pt idx="3">
                  <c:v>0.98746081504702199</c:v>
                </c:pt>
                <c:pt idx="4">
                  <c:v>0.8009495036685369</c:v>
                </c:pt>
                <c:pt idx="5">
                  <c:v>0.90327531021177709</c:v>
                </c:pt>
                <c:pt idx="6">
                  <c:v>0.90073909242628947</c:v>
                </c:pt>
                <c:pt idx="7">
                  <c:v>0.81552753815527534</c:v>
                </c:pt>
                <c:pt idx="8">
                  <c:v>0.79885748647023447</c:v>
                </c:pt>
                <c:pt idx="9">
                  <c:v>1</c:v>
                </c:pt>
              </c:numCache>
            </c:numRef>
          </c:val>
        </c:ser>
        <c:ser>
          <c:idx val="2"/>
          <c:order val="2"/>
          <c:tx>
            <c:strRef>
              <c:f>SituationAnalysis!$E$63</c:f>
              <c:strCache>
                <c:ptCount val="1"/>
                <c:pt idx="0">
                  <c:v>% Bathroom need coverage</c:v>
                </c:pt>
              </c:strCache>
            </c:strRef>
          </c:tx>
          <c:spPr>
            <a:solidFill>
              <a:schemeClr val="accent3"/>
            </a:solidFill>
            <a:ln>
              <a:noFill/>
            </a:ln>
            <a:effectLst/>
            <a:sp3d/>
          </c:spPr>
          <c:invertIfNegative val="0"/>
          <c:cat>
            <c:strRef>
              <c:f>SituationAnalysis!$B$64:$B$74</c:f>
              <c:strCache>
                <c:ptCount val="10"/>
                <c:pt idx="0">
                  <c:v>Cluster 1</c:v>
                </c:pt>
                <c:pt idx="1">
                  <c:v>Cluster 10</c:v>
                </c:pt>
                <c:pt idx="2">
                  <c:v>Cluster 2</c:v>
                </c:pt>
                <c:pt idx="3">
                  <c:v>Cluster 3</c:v>
                </c:pt>
                <c:pt idx="4">
                  <c:v>Cluster 4</c:v>
                </c:pt>
                <c:pt idx="5">
                  <c:v>Cluster 5</c:v>
                </c:pt>
                <c:pt idx="6">
                  <c:v>Cluster 6</c:v>
                </c:pt>
                <c:pt idx="7">
                  <c:v>Cluster 7</c:v>
                </c:pt>
                <c:pt idx="8">
                  <c:v>Cluster 8</c:v>
                </c:pt>
                <c:pt idx="9">
                  <c:v>Cluster 9</c:v>
                </c:pt>
              </c:strCache>
            </c:strRef>
          </c:cat>
          <c:val>
            <c:numRef>
              <c:f>SituationAnalysis!$E$64:$E$74</c:f>
              <c:numCache>
                <c:formatCode>0%</c:formatCode>
                <c:ptCount val="10"/>
                <c:pt idx="0">
                  <c:v>0.72923497267759563</c:v>
                </c:pt>
                <c:pt idx="1">
                  <c:v>0.59590792838874684</c:v>
                </c:pt>
                <c:pt idx="2">
                  <c:v>0.54893913582158893</c:v>
                </c:pt>
                <c:pt idx="3">
                  <c:v>1</c:v>
                </c:pt>
                <c:pt idx="4">
                  <c:v>0.48165731549417351</c:v>
                </c:pt>
                <c:pt idx="5">
                  <c:v>0.45389573376594905</c:v>
                </c:pt>
                <c:pt idx="6">
                  <c:v>0.38758642613049354</c:v>
                </c:pt>
                <c:pt idx="7">
                  <c:v>0.53151957531519578</c:v>
                </c:pt>
                <c:pt idx="8">
                  <c:v>0.2555622369212267</c:v>
                </c:pt>
                <c:pt idx="9">
                  <c:v>0.59090909090909094</c:v>
                </c:pt>
              </c:numCache>
            </c:numRef>
          </c:val>
        </c:ser>
        <c:dLbls>
          <c:showLegendKey val="0"/>
          <c:showVal val="0"/>
          <c:showCatName val="0"/>
          <c:showSerName val="0"/>
          <c:showPercent val="0"/>
          <c:showBubbleSize val="0"/>
        </c:dLbls>
        <c:gapWidth val="150"/>
        <c:shape val="box"/>
        <c:axId val="95919104"/>
        <c:axId val="95933184"/>
        <c:axId val="0"/>
      </c:bar3DChart>
      <c:catAx>
        <c:axId val="959191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33184"/>
        <c:crosses val="autoZero"/>
        <c:auto val="1"/>
        <c:lblAlgn val="ctr"/>
        <c:lblOffset val="100"/>
        <c:noMultiLvlLbl val="0"/>
      </c:catAx>
      <c:valAx>
        <c:axId val="95933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2015.xlsx]SituationAnalysis!PivotTable12</c:name>
    <c:fmtId val="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Needs Coverage</a:t>
            </a:r>
          </a:p>
        </c:rich>
      </c:tx>
      <c:layout>
        <c:manualLayout>
          <c:xMode val="edge"/>
          <c:yMode val="edge"/>
          <c:x val="0.38267455621301777"/>
          <c:y val="3.3210332103321034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
        <c:idx val="9"/>
        <c:spPr>
          <a:solidFill>
            <a:schemeClr val="accent1"/>
          </a:solidFill>
          <a:ln>
            <a:noFill/>
          </a:ln>
          <a:effectLst/>
          <a:sp3d/>
        </c:spPr>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1"/>
          </a:solidFill>
          <a:ln>
            <a:noFill/>
          </a:ln>
          <a:effectLst/>
          <a:sp3d/>
        </c:spPr>
        <c:marker>
          <c:symbol val="none"/>
        </c:marker>
      </c:pivotFmt>
      <c:pivotFmt>
        <c:idx val="14"/>
        <c:spPr>
          <a:solidFill>
            <a:schemeClr val="accent1"/>
          </a:solidFill>
          <a:ln>
            <a:noFill/>
          </a:ln>
          <a:effectLst/>
          <a:sp3d/>
        </c:spPr>
        <c:marker>
          <c:symbol val="none"/>
        </c:marker>
      </c:pivotFmt>
      <c:pivotFmt>
        <c:idx val="15"/>
        <c:spPr>
          <a:solidFill>
            <a:schemeClr val="accent1"/>
          </a:solidFill>
          <a:ln>
            <a:noFill/>
          </a:ln>
          <a:effectLst/>
          <a:sp3d/>
        </c:spPr>
        <c:marker>
          <c:symbol val="none"/>
        </c:marker>
      </c:pivotFmt>
      <c:pivotFmt>
        <c:idx val="16"/>
        <c:spPr>
          <a:solidFill>
            <a:schemeClr val="accent1"/>
          </a:solidFill>
          <a:ln>
            <a:noFill/>
          </a:ln>
          <a:effectLst/>
          <a:sp3d/>
        </c:spPr>
        <c:marker>
          <c:symbol val="none"/>
        </c:marker>
      </c:pivotFmt>
      <c:pivotFmt>
        <c:idx val="17"/>
        <c:spPr>
          <a:solidFill>
            <a:schemeClr val="accent1"/>
          </a:solidFill>
          <a:ln>
            <a:noFill/>
          </a:ln>
          <a:effectLst/>
          <a:sp3d/>
        </c:spPr>
        <c:marker>
          <c:symbol val="none"/>
        </c:marker>
      </c:pivotFmt>
      <c:pivotFmt>
        <c:idx val="18"/>
        <c:spPr>
          <a:solidFill>
            <a:schemeClr val="accent1"/>
          </a:solidFill>
          <a:ln>
            <a:noFill/>
          </a:ln>
          <a:effectLst/>
          <a:sp3d/>
        </c:spPr>
        <c:marker>
          <c:symbol val="none"/>
        </c:marker>
      </c:pivotFmt>
      <c:pivotFmt>
        <c:idx val="19"/>
        <c:spPr>
          <a:solidFill>
            <a:schemeClr val="accent2"/>
          </a:solidFill>
          <a:ln>
            <a:noFill/>
          </a:ln>
          <a:effectLst/>
          <a:sp3d/>
        </c:spPr>
        <c:marker>
          <c:symbol val="none"/>
        </c:marker>
      </c:pivotFmt>
      <c:pivotFmt>
        <c:idx val="20"/>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SituationAnalysis!$C$118</c:f>
              <c:strCache>
                <c:ptCount val="1"/>
                <c:pt idx="0">
                  <c:v>% Water Need coverage</c:v>
                </c:pt>
              </c:strCache>
            </c:strRef>
          </c:tx>
          <c:spPr>
            <a:solidFill>
              <a:schemeClr val="accent1"/>
            </a:solidFill>
            <a:ln>
              <a:noFill/>
            </a:ln>
            <a:effectLst/>
            <a:sp3d/>
          </c:spPr>
          <c:invertIfNegative val="0"/>
          <c:cat>
            <c:strRef>
              <c:f>SituationAnalysis!$B$119:$B$125</c:f>
              <c:strCache>
                <c:ptCount val="6"/>
                <c:pt idx="0">
                  <c:v>1. Small</c:v>
                </c:pt>
                <c:pt idx="1">
                  <c:v>2. Medium</c:v>
                </c:pt>
                <c:pt idx="2">
                  <c:v>3. Large</c:v>
                </c:pt>
                <c:pt idx="3">
                  <c:v>4. Big</c:v>
                </c:pt>
                <c:pt idx="4">
                  <c:v>5. Massive</c:v>
                </c:pt>
                <c:pt idx="5">
                  <c:v>(blank)</c:v>
                </c:pt>
              </c:strCache>
            </c:strRef>
          </c:cat>
          <c:val>
            <c:numRef>
              <c:f>SituationAnalysis!$C$119:$C$125</c:f>
              <c:numCache>
                <c:formatCode>0%</c:formatCode>
                <c:ptCount val="6"/>
                <c:pt idx="0">
                  <c:v>0.9803216411295429</c:v>
                </c:pt>
                <c:pt idx="1">
                  <c:v>0.98675096968257747</c:v>
                </c:pt>
                <c:pt idx="2">
                  <c:v>1</c:v>
                </c:pt>
                <c:pt idx="3">
                  <c:v>1</c:v>
                </c:pt>
                <c:pt idx="4">
                  <c:v>0.50385481148002254</c:v>
                </c:pt>
                <c:pt idx="5">
                  <c:v>1</c:v>
                </c:pt>
              </c:numCache>
            </c:numRef>
          </c:val>
        </c:ser>
        <c:ser>
          <c:idx val="1"/>
          <c:order val="1"/>
          <c:tx>
            <c:strRef>
              <c:f>SituationAnalysis!$D$118</c:f>
              <c:strCache>
                <c:ptCount val="1"/>
                <c:pt idx="0">
                  <c:v>% Latrine need coverage</c:v>
                </c:pt>
              </c:strCache>
            </c:strRef>
          </c:tx>
          <c:spPr>
            <a:solidFill>
              <a:schemeClr val="accent2"/>
            </a:solidFill>
            <a:ln>
              <a:noFill/>
            </a:ln>
            <a:effectLst/>
            <a:sp3d/>
          </c:spPr>
          <c:invertIfNegative val="0"/>
          <c:cat>
            <c:strRef>
              <c:f>SituationAnalysis!$B$119:$B$125</c:f>
              <c:strCache>
                <c:ptCount val="6"/>
                <c:pt idx="0">
                  <c:v>1. Small</c:v>
                </c:pt>
                <c:pt idx="1">
                  <c:v>2. Medium</c:v>
                </c:pt>
                <c:pt idx="2">
                  <c:v>3. Large</c:v>
                </c:pt>
                <c:pt idx="3">
                  <c:v>4. Big</c:v>
                </c:pt>
                <c:pt idx="4">
                  <c:v>5. Massive</c:v>
                </c:pt>
                <c:pt idx="5">
                  <c:v>(blank)</c:v>
                </c:pt>
              </c:strCache>
            </c:strRef>
          </c:cat>
          <c:val>
            <c:numRef>
              <c:f>SituationAnalysis!$D$119:$D$125</c:f>
              <c:numCache>
                <c:formatCode>0%</c:formatCode>
                <c:ptCount val="6"/>
                <c:pt idx="0">
                  <c:v>0.9506141572749145</c:v>
                </c:pt>
                <c:pt idx="1">
                  <c:v>0.84792804559487056</c:v>
                </c:pt>
                <c:pt idx="2">
                  <c:v>0.95364337602036997</c:v>
                </c:pt>
                <c:pt idx="3">
                  <c:v>0.72644966587626647</c:v>
                </c:pt>
                <c:pt idx="4">
                  <c:v>1</c:v>
                </c:pt>
                <c:pt idx="5">
                  <c:v>0.20408163265306123</c:v>
                </c:pt>
              </c:numCache>
            </c:numRef>
          </c:val>
        </c:ser>
        <c:ser>
          <c:idx val="2"/>
          <c:order val="2"/>
          <c:tx>
            <c:strRef>
              <c:f>SituationAnalysis!$E$118</c:f>
              <c:strCache>
                <c:ptCount val="1"/>
                <c:pt idx="0">
                  <c:v>% Bathroom need coverage</c:v>
                </c:pt>
              </c:strCache>
            </c:strRef>
          </c:tx>
          <c:spPr>
            <a:solidFill>
              <a:schemeClr val="accent3"/>
            </a:solidFill>
            <a:ln>
              <a:noFill/>
            </a:ln>
            <a:effectLst/>
            <a:sp3d/>
          </c:spPr>
          <c:invertIfNegative val="0"/>
          <c:cat>
            <c:strRef>
              <c:f>SituationAnalysis!$B$119:$B$125</c:f>
              <c:strCache>
                <c:ptCount val="6"/>
                <c:pt idx="0">
                  <c:v>1. Small</c:v>
                </c:pt>
                <c:pt idx="1">
                  <c:v>2. Medium</c:v>
                </c:pt>
                <c:pt idx="2">
                  <c:v>3. Large</c:v>
                </c:pt>
                <c:pt idx="3">
                  <c:v>4. Big</c:v>
                </c:pt>
                <c:pt idx="4">
                  <c:v>5. Massive</c:v>
                </c:pt>
                <c:pt idx="5">
                  <c:v>(blank)</c:v>
                </c:pt>
              </c:strCache>
            </c:strRef>
          </c:cat>
          <c:val>
            <c:numRef>
              <c:f>SituationAnalysis!$E$119:$E$125</c:f>
              <c:numCache>
                <c:formatCode>0%</c:formatCode>
                <c:ptCount val="6"/>
                <c:pt idx="0">
                  <c:v>0.84956312523743194</c:v>
                </c:pt>
                <c:pt idx="1">
                  <c:v>0.51537639515554501</c:v>
                </c:pt>
                <c:pt idx="2">
                  <c:v>0.39197184153373776</c:v>
                </c:pt>
                <c:pt idx="3">
                  <c:v>0.18682187252999929</c:v>
                </c:pt>
                <c:pt idx="4">
                  <c:v>0.68936409679234667</c:v>
                </c:pt>
                <c:pt idx="5">
                  <c:v>0</c:v>
                </c:pt>
              </c:numCache>
            </c:numRef>
          </c:val>
        </c:ser>
        <c:dLbls>
          <c:showLegendKey val="0"/>
          <c:showVal val="0"/>
          <c:showCatName val="0"/>
          <c:showSerName val="0"/>
          <c:showPercent val="0"/>
          <c:showBubbleSize val="0"/>
        </c:dLbls>
        <c:gapWidth val="150"/>
        <c:shape val="box"/>
        <c:axId val="95668096"/>
        <c:axId val="95669632"/>
        <c:axId val="0"/>
      </c:bar3DChart>
      <c:catAx>
        <c:axId val="956680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9632"/>
        <c:crosses val="autoZero"/>
        <c:auto val="1"/>
        <c:lblAlgn val="ctr"/>
        <c:lblOffset val="100"/>
        <c:noMultiLvlLbl val="0"/>
      </c:catAx>
      <c:valAx>
        <c:axId val="95669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68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2015.xlsx]SituationAnalysis!PivotTable13</c:name>
    <c:fmtId val="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Needs Coverage</a:t>
            </a:r>
          </a:p>
        </c:rich>
      </c:tx>
      <c:layout>
        <c:manualLayout>
          <c:xMode val="edge"/>
          <c:yMode val="edge"/>
          <c:x val="0.38267455621301777"/>
          <c:y val="3.3210332103321034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delete val="1"/>
          <c:extLst>
            <c:ext xmlns:c15="http://schemas.microsoft.com/office/drawing/2012/chart" uri="{CE6537A1-D6FC-4f65-9D91-7224C49458BB}"/>
          </c:extLst>
        </c:dLbl>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
        <c:idx val="9"/>
        <c:spPr>
          <a:solidFill>
            <a:schemeClr val="accent1"/>
          </a:solidFill>
          <a:ln>
            <a:noFill/>
          </a:ln>
          <a:effectLst/>
          <a:sp3d/>
        </c:spPr>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1"/>
          </a:solidFill>
          <a:ln>
            <a:noFill/>
          </a:ln>
          <a:effectLst/>
          <a:sp3d/>
        </c:spPr>
        <c:marker>
          <c:symbol val="none"/>
        </c:marker>
      </c:pivotFmt>
      <c:pivotFmt>
        <c:idx val="14"/>
        <c:spPr>
          <a:solidFill>
            <a:schemeClr val="accent1"/>
          </a:solidFill>
          <a:ln>
            <a:noFill/>
          </a:ln>
          <a:effectLst/>
          <a:sp3d/>
        </c:spPr>
        <c:marker>
          <c:symbol val="none"/>
        </c:marker>
      </c:pivotFmt>
      <c:pivotFmt>
        <c:idx val="15"/>
        <c:spPr>
          <a:solidFill>
            <a:schemeClr val="accent1"/>
          </a:solidFill>
          <a:ln>
            <a:noFill/>
          </a:ln>
          <a:effectLst/>
          <a:sp3d/>
        </c:spPr>
        <c:marker>
          <c:symbol val="none"/>
        </c:marker>
      </c:pivotFmt>
      <c:pivotFmt>
        <c:idx val="16"/>
        <c:spPr>
          <a:solidFill>
            <a:schemeClr val="accent1"/>
          </a:solidFill>
          <a:ln>
            <a:noFill/>
          </a:ln>
          <a:effectLst/>
          <a:sp3d/>
        </c:spPr>
        <c:marker>
          <c:symbol val="none"/>
        </c:marker>
      </c:pivotFmt>
      <c:pivotFmt>
        <c:idx val="17"/>
        <c:spPr>
          <a:solidFill>
            <a:schemeClr val="accent1"/>
          </a:solidFill>
          <a:ln>
            <a:noFill/>
          </a:ln>
          <a:effectLst/>
          <a:sp3d/>
        </c:spPr>
        <c:marker>
          <c:symbol val="none"/>
        </c:marker>
      </c:pivotFmt>
      <c:pivotFmt>
        <c:idx val="18"/>
        <c:spPr>
          <a:solidFill>
            <a:schemeClr val="accent1"/>
          </a:solidFill>
          <a:ln>
            <a:noFill/>
          </a:ln>
          <a:effectLst/>
          <a:sp3d/>
        </c:spPr>
        <c:marker>
          <c:symbol val="none"/>
        </c:marker>
      </c:pivotFmt>
      <c:pivotFmt>
        <c:idx val="19"/>
        <c:spPr>
          <a:solidFill>
            <a:schemeClr val="accent2"/>
          </a:solidFill>
          <a:ln>
            <a:noFill/>
          </a:ln>
          <a:effectLst/>
          <a:sp3d/>
        </c:spPr>
        <c:marker>
          <c:symbol val="none"/>
        </c:marker>
      </c:pivotFmt>
      <c:pivotFmt>
        <c:idx val="20"/>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SituationAnalysis!$C$137</c:f>
              <c:strCache>
                <c:ptCount val="1"/>
                <c:pt idx="0">
                  <c:v>% Water Need coverage</c:v>
                </c:pt>
              </c:strCache>
            </c:strRef>
          </c:tx>
          <c:spPr>
            <a:solidFill>
              <a:schemeClr val="accent1"/>
            </a:solidFill>
            <a:ln>
              <a:noFill/>
            </a:ln>
            <a:effectLst/>
            <a:sp3d/>
          </c:spPr>
          <c:invertIfNegative val="0"/>
          <c:cat>
            <c:strRef>
              <c:f>SituationAnalysis!$B$138:$B$141</c:f>
              <c:strCache>
                <c:ptCount val="3"/>
                <c:pt idx="0">
                  <c:v>Camp</c:v>
                </c:pt>
                <c:pt idx="1">
                  <c:v>School</c:v>
                </c:pt>
                <c:pt idx="2">
                  <c:v>Village</c:v>
                </c:pt>
              </c:strCache>
            </c:strRef>
          </c:cat>
          <c:val>
            <c:numRef>
              <c:f>SituationAnalysis!$C$138:$C$141</c:f>
              <c:numCache>
                <c:formatCode>0%</c:formatCode>
                <c:ptCount val="3"/>
                <c:pt idx="0">
                  <c:v>0.94593237727282631</c:v>
                </c:pt>
                <c:pt idx="1">
                  <c:v>1</c:v>
                </c:pt>
                <c:pt idx="2">
                  <c:v>0.68092962641181576</c:v>
                </c:pt>
              </c:numCache>
            </c:numRef>
          </c:val>
        </c:ser>
        <c:ser>
          <c:idx val="1"/>
          <c:order val="1"/>
          <c:tx>
            <c:strRef>
              <c:f>SituationAnalysis!$D$137</c:f>
              <c:strCache>
                <c:ptCount val="1"/>
                <c:pt idx="0">
                  <c:v>% Latrine need coverage</c:v>
                </c:pt>
              </c:strCache>
            </c:strRef>
          </c:tx>
          <c:spPr>
            <a:solidFill>
              <a:schemeClr val="accent2"/>
            </a:solidFill>
            <a:ln>
              <a:noFill/>
            </a:ln>
            <a:effectLst/>
            <a:sp3d/>
          </c:spPr>
          <c:invertIfNegative val="0"/>
          <c:cat>
            <c:strRef>
              <c:f>SituationAnalysis!$B$138:$B$141</c:f>
              <c:strCache>
                <c:ptCount val="3"/>
                <c:pt idx="0">
                  <c:v>Camp</c:v>
                </c:pt>
                <c:pt idx="1">
                  <c:v>School</c:v>
                </c:pt>
                <c:pt idx="2">
                  <c:v>Village</c:v>
                </c:pt>
              </c:strCache>
            </c:strRef>
          </c:cat>
          <c:val>
            <c:numRef>
              <c:f>SituationAnalysis!$D$138:$D$141</c:f>
              <c:numCache>
                <c:formatCode>0%</c:formatCode>
                <c:ptCount val="3"/>
                <c:pt idx="0">
                  <c:v>0.86574553074454852</c:v>
                </c:pt>
                <c:pt idx="1">
                  <c:v>0.88604651162790693</c:v>
                </c:pt>
                <c:pt idx="2">
                  <c:v>0.68092962641181576</c:v>
                </c:pt>
              </c:numCache>
            </c:numRef>
          </c:val>
        </c:ser>
        <c:ser>
          <c:idx val="2"/>
          <c:order val="2"/>
          <c:tx>
            <c:strRef>
              <c:f>SituationAnalysis!$E$137</c:f>
              <c:strCache>
                <c:ptCount val="1"/>
                <c:pt idx="0">
                  <c:v>% Bathroom need coverage</c:v>
                </c:pt>
              </c:strCache>
            </c:strRef>
          </c:tx>
          <c:spPr>
            <a:solidFill>
              <a:schemeClr val="accent3"/>
            </a:solidFill>
            <a:ln>
              <a:noFill/>
            </a:ln>
            <a:effectLst/>
            <a:sp3d/>
          </c:spPr>
          <c:invertIfNegative val="0"/>
          <c:cat>
            <c:strRef>
              <c:f>SituationAnalysis!$B$138:$B$141</c:f>
              <c:strCache>
                <c:ptCount val="3"/>
                <c:pt idx="0">
                  <c:v>Camp</c:v>
                </c:pt>
                <c:pt idx="1">
                  <c:v>School</c:v>
                </c:pt>
                <c:pt idx="2">
                  <c:v>Village</c:v>
                </c:pt>
              </c:strCache>
            </c:strRef>
          </c:cat>
          <c:val>
            <c:numRef>
              <c:f>SituationAnalysis!$E$138:$E$141</c:f>
              <c:numCache>
                <c:formatCode>0%</c:formatCode>
                <c:ptCount val="3"/>
                <c:pt idx="0">
                  <c:v>0.48202475279942375</c:v>
                </c:pt>
                <c:pt idx="1">
                  <c:v>0.72976744186046516</c:v>
                </c:pt>
                <c:pt idx="2">
                  <c:v>0.24837098175499567</c:v>
                </c:pt>
              </c:numCache>
            </c:numRef>
          </c:val>
        </c:ser>
        <c:dLbls>
          <c:showLegendKey val="0"/>
          <c:showVal val="0"/>
          <c:showCatName val="0"/>
          <c:showSerName val="0"/>
          <c:showPercent val="0"/>
          <c:showBubbleSize val="0"/>
        </c:dLbls>
        <c:gapWidth val="150"/>
        <c:shape val="box"/>
        <c:axId val="95818496"/>
        <c:axId val="95820032"/>
        <c:axId val="0"/>
      </c:bar3DChart>
      <c:catAx>
        <c:axId val="958184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820032"/>
        <c:crosses val="autoZero"/>
        <c:auto val="1"/>
        <c:lblAlgn val="ctr"/>
        <c:lblOffset val="100"/>
        <c:noMultiLvlLbl val="0"/>
      </c:catAx>
      <c:valAx>
        <c:axId val="95820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818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2015.xlsx]SituationAnalysis!PivotTable18</c:name>
    <c:fmtId val="1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Type of latrine coverage</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SituationAnalysis!$C$252</c:f>
              <c:strCache>
                <c:ptCount val="1"/>
                <c:pt idx="0">
                  <c:v>% Coverage Permanent Latrine</c:v>
                </c:pt>
              </c:strCache>
            </c:strRef>
          </c:tx>
          <c:spPr>
            <a:solidFill>
              <a:schemeClr val="accent1"/>
            </a:solidFill>
            <a:ln>
              <a:noFill/>
            </a:ln>
            <a:effectLst/>
            <a:sp3d/>
          </c:spPr>
          <c:invertIfNegative val="0"/>
          <c:cat>
            <c:strRef>
              <c:f>SituationAnalysis!$B$253:$B$272</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SituationAnalysis!$C$253:$C$272</c:f>
              <c:numCache>
                <c:formatCode>0%</c:formatCode>
                <c:ptCount val="19"/>
                <c:pt idx="0">
                  <c:v>0.49554489376285127</c:v>
                </c:pt>
                <c:pt idx="1">
                  <c:v>0.37360890302066774</c:v>
                </c:pt>
                <c:pt idx="2">
                  <c:v>0.73387978142076504</c:v>
                </c:pt>
                <c:pt idx="3">
                  <c:v>0</c:v>
                </c:pt>
                <c:pt idx="4">
                  <c:v>0.18067846607669616</c:v>
                </c:pt>
                <c:pt idx="5">
                  <c:v>0</c:v>
                </c:pt>
                <c:pt idx="6">
                  <c:v>0.44157430020665039</c:v>
                </c:pt>
                <c:pt idx="7">
                  <c:v>0.34883720930232559</c:v>
                </c:pt>
                <c:pt idx="8">
                  <c:v>1</c:v>
                </c:pt>
                <c:pt idx="9">
                  <c:v>0.97419354838709682</c:v>
                </c:pt>
                <c:pt idx="10">
                  <c:v>0.84633644564013288</c:v>
                </c:pt>
                <c:pt idx="11">
                  <c:v>0.11857707509881422</c:v>
                </c:pt>
                <c:pt idx="12">
                  <c:v>0.84998393832316099</c:v>
                </c:pt>
                <c:pt idx="13">
                  <c:v>0.45763688760806914</c:v>
                </c:pt>
                <c:pt idx="14">
                  <c:v>0.76923076923076927</c:v>
                </c:pt>
                <c:pt idx="15">
                  <c:v>0</c:v>
                </c:pt>
                <c:pt idx="16">
                  <c:v>0.87196467991169979</c:v>
                </c:pt>
                <c:pt idx="17">
                  <c:v>0.34524105676899347</c:v>
                </c:pt>
                <c:pt idx="18">
                  <c:v>0</c:v>
                </c:pt>
              </c:numCache>
            </c:numRef>
          </c:val>
        </c:ser>
        <c:ser>
          <c:idx val="1"/>
          <c:order val="1"/>
          <c:tx>
            <c:strRef>
              <c:f>SituationAnalysis!$D$252</c:f>
              <c:strCache>
                <c:ptCount val="1"/>
                <c:pt idx="0">
                  <c:v>% Coverage Emergency latrine</c:v>
                </c:pt>
              </c:strCache>
            </c:strRef>
          </c:tx>
          <c:spPr>
            <a:solidFill>
              <a:schemeClr val="accent2"/>
            </a:solidFill>
            <a:ln>
              <a:noFill/>
            </a:ln>
            <a:effectLst/>
            <a:sp3d/>
          </c:spPr>
          <c:invertIfNegative val="0"/>
          <c:cat>
            <c:strRef>
              <c:f>SituationAnalysis!$B$253:$B$272</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SituationAnalysis!$D$253:$D$272</c:f>
              <c:numCache>
                <c:formatCode>0%</c:formatCode>
                <c:ptCount val="19"/>
                <c:pt idx="0">
                  <c:v>0.26525017135023987</c:v>
                </c:pt>
                <c:pt idx="1">
                  <c:v>0.47416534181240061</c:v>
                </c:pt>
                <c:pt idx="2">
                  <c:v>6.2295081967213117E-2</c:v>
                </c:pt>
                <c:pt idx="3">
                  <c:v>0</c:v>
                </c:pt>
                <c:pt idx="4">
                  <c:v>0.76954277286135697</c:v>
                </c:pt>
                <c:pt idx="5">
                  <c:v>0.5714285714285714</c:v>
                </c:pt>
                <c:pt idx="6">
                  <c:v>0.38286680443359006</c:v>
                </c:pt>
                <c:pt idx="7">
                  <c:v>0.65116279069767447</c:v>
                </c:pt>
                <c:pt idx="8">
                  <c:v>0</c:v>
                </c:pt>
                <c:pt idx="9">
                  <c:v>0</c:v>
                </c:pt>
                <c:pt idx="10">
                  <c:v>0.10871973413514796</c:v>
                </c:pt>
                <c:pt idx="11">
                  <c:v>0.88142292490118579</c:v>
                </c:pt>
                <c:pt idx="12">
                  <c:v>4.1278509476389336E-2</c:v>
                </c:pt>
                <c:pt idx="13">
                  <c:v>0.4265129682997118</c:v>
                </c:pt>
                <c:pt idx="14">
                  <c:v>0.23076923076923073</c:v>
                </c:pt>
                <c:pt idx="15">
                  <c:v>0.72189349112426038</c:v>
                </c:pt>
                <c:pt idx="16">
                  <c:v>0.12803532008830024</c:v>
                </c:pt>
                <c:pt idx="17">
                  <c:v>0.50420418926314747</c:v>
                </c:pt>
                <c:pt idx="18">
                  <c:v>0.13029315960912052</c:v>
                </c:pt>
              </c:numCache>
            </c:numRef>
          </c:val>
        </c:ser>
        <c:dLbls>
          <c:showLegendKey val="0"/>
          <c:showVal val="0"/>
          <c:showCatName val="0"/>
          <c:showSerName val="0"/>
          <c:showPercent val="0"/>
          <c:showBubbleSize val="0"/>
        </c:dLbls>
        <c:gapWidth val="150"/>
        <c:shape val="box"/>
        <c:axId val="95854976"/>
        <c:axId val="95856512"/>
        <c:axId val="0"/>
      </c:bar3DChart>
      <c:catAx>
        <c:axId val="95854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856512"/>
        <c:crosses val="autoZero"/>
        <c:auto val="1"/>
        <c:lblAlgn val="ctr"/>
        <c:lblOffset val="100"/>
        <c:noMultiLvlLbl val="0"/>
      </c:catAx>
      <c:valAx>
        <c:axId val="95856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854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2015.xlsx]SituationAnalysis!PivotTable18</c:name>
    <c:fmtId val="19"/>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Type of latrine coverage</a:t>
            </a:r>
          </a:p>
        </c:rich>
      </c:tx>
      <c:layout>
        <c:manualLayout>
          <c:xMode val="edge"/>
          <c:yMode val="edge"/>
          <c:x val="0.30447836877533163"/>
          <c:y val="0"/>
        </c:manualLayout>
      </c:layout>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9.2868391451068621E-2"/>
          <c:y val="0.10326176853792557"/>
          <c:w val="0.88712553787919368"/>
          <c:h val="0.5121856530523613"/>
        </c:manualLayout>
      </c:layout>
      <c:bar3DChart>
        <c:barDir val="col"/>
        <c:grouping val="stacked"/>
        <c:varyColors val="0"/>
        <c:ser>
          <c:idx val="0"/>
          <c:order val="0"/>
          <c:tx>
            <c:strRef>
              <c:f>SituationAnalysis!$C$252</c:f>
              <c:strCache>
                <c:ptCount val="1"/>
                <c:pt idx="0">
                  <c:v>% Coverage Permanent Latrine</c:v>
                </c:pt>
              </c:strCache>
            </c:strRef>
          </c:tx>
          <c:spPr>
            <a:solidFill>
              <a:schemeClr val="accent1"/>
            </a:solidFill>
            <a:ln>
              <a:noFill/>
            </a:ln>
            <a:effectLst/>
            <a:sp3d/>
          </c:spPr>
          <c:invertIfNegative val="0"/>
          <c:cat>
            <c:strRef>
              <c:f>SituationAnalysis!$B$253:$B$272</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SituationAnalysis!$C$253:$C$272</c:f>
              <c:numCache>
                <c:formatCode>0%</c:formatCode>
                <c:ptCount val="19"/>
                <c:pt idx="0">
                  <c:v>0.49554489376285127</c:v>
                </c:pt>
                <c:pt idx="1">
                  <c:v>0.37360890302066774</c:v>
                </c:pt>
                <c:pt idx="2">
                  <c:v>0.73387978142076504</c:v>
                </c:pt>
                <c:pt idx="3">
                  <c:v>0</c:v>
                </c:pt>
                <c:pt idx="4">
                  <c:v>0.18067846607669616</c:v>
                </c:pt>
                <c:pt idx="5">
                  <c:v>0</c:v>
                </c:pt>
                <c:pt idx="6">
                  <c:v>0.44157430020665039</c:v>
                </c:pt>
                <c:pt idx="7">
                  <c:v>0.34883720930232559</c:v>
                </c:pt>
                <c:pt idx="8">
                  <c:v>1</c:v>
                </c:pt>
                <c:pt idx="9">
                  <c:v>0.97419354838709682</c:v>
                </c:pt>
                <c:pt idx="10">
                  <c:v>0.84633644564013288</c:v>
                </c:pt>
                <c:pt idx="11">
                  <c:v>0.11857707509881422</c:v>
                </c:pt>
                <c:pt idx="12">
                  <c:v>0.84998393832316099</c:v>
                </c:pt>
                <c:pt idx="13">
                  <c:v>0.45763688760806914</c:v>
                </c:pt>
                <c:pt idx="14">
                  <c:v>0.76923076923076927</c:v>
                </c:pt>
                <c:pt idx="15">
                  <c:v>0</c:v>
                </c:pt>
                <c:pt idx="16">
                  <c:v>0.87196467991169979</c:v>
                </c:pt>
                <c:pt idx="17">
                  <c:v>0.34524105676899347</c:v>
                </c:pt>
                <c:pt idx="18">
                  <c:v>0</c:v>
                </c:pt>
              </c:numCache>
            </c:numRef>
          </c:val>
        </c:ser>
        <c:ser>
          <c:idx val="1"/>
          <c:order val="1"/>
          <c:tx>
            <c:strRef>
              <c:f>SituationAnalysis!$D$252</c:f>
              <c:strCache>
                <c:ptCount val="1"/>
                <c:pt idx="0">
                  <c:v>% Coverage Emergency latrine</c:v>
                </c:pt>
              </c:strCache>
            </c:strRef>
          </c:tx>
          <c:spPr>
            <a:solidFill>
              <a:schemeClr val="accent2"/>
            </a:solidFill>
            <a:ln>
              <a:noFill/>
            </a:ln>
            <a:effectLst/>
            <a:sp3d/>
          </c:spPr>
          <c:invertIfNegative val="0"/>
          <c:cat>
            <c:strRef>
              <c:f>SituationAnalysis!$B$253:$B$272</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SituationAnalysis!$D$253:$D$272</c:f>
              <c:numCache>
                <c:formatCode>0%</c:formatCode>
                <c:ptCount val="19"/>
                <c:pt idx="0">
                  <c:v>0.26525017135023987</c:v>
                </c:pt>
                <c:pt idx="1">
                  <c:v>0.47416534181240061</c:v>
                </c:pt>
                <c:pt idx="2">
                  <c:v>6.2295081967213117E-2</c:v>
                </c:pt>
                <c:pt idx="3">
                  <c:v>0</c:v>
                </c:pt>
                <c:pt idx="4">
                  <c:v>0.76954277286135697</c:v>
                </c:pt>
                <c:pt idx="5">
                  <c:v>0.5714285714285714</c:v>
                </c:pt>
                <c:pt idx="6">
                  <c:v>0.38286680443359006</c:v>
                </c:pt>
                <c:pt idx="7">
                  <c:v>0.65116279069767447</c:v>
                </c:pt>
                <c:pt idx="8">
                  <c:v>0</c:v>
                </c:pt>
                <c:pt idx="9">
                  <c:v>0</c:v>
                </c:pt>
                <c:pt idx="10">
                  <c:v>0.10871973413514796</c:v>
                </c:pt>
                <c:pt idx="11">
                  <c:v>0.88142292490118579</c:v>
                </c:pt>
                <c:pt idx="12">
                  <c:v>4.1278509476389336E-2</c:v>
                </c:pt>
                <c:pt idx="13">
                  <c:v>0.4265129682997118</c:v>
                </c:pt>
                <c:pt idx="14">
                  <c:v>0.23076923076923073</c:v>
                </c:pt>
                <c:pt idx="15">
                  <c:v>0.72189349112426038</c:v>
                </c:pt>
                <c:pt idx="16">
                  <c:v>0.12803532008830024</c:v>
                </c:pt>
                <c:pt idx="17">
                  <c:v>0.50420418926314747</c:v>
                </c:pt>
                <c:pt idx="18">
                  <c:v>0.13029315960912052</c:v>
                </c:pt>
              </c:numCache>
            </c:numRef>
          </c:val>
        </c:ser>
        <c:dLbls>
          <c:showLegendKey val="0"/>
          <c:showVal val="0"/>
          <c:showCatName val="0"/>
          <c:showSerName val="0"/>
          <c:showPercent val="0"/>
          <c:showBubbleSize val="0"/>
        </c:dLbls>
        <c:gapWidth val="150"/>
        <c:shape val="box"/>
        <c:axId val="77326592"/>
        <c:axId val="78970880"/>
        <c:axId val="0"/>
      </c:bar3DChart>
      <c:catAx>
        <c:axId val="77326592"/>
        <c:scaling>
          <c:orientation val="minMax"/>
        </c:scaling>
        <c:delete val="0"/>
        <c:axPos val="b"/>
        <c:numFmt formatCode="General" sourceLinked="1"/>
        <c:majorTickMark val="none"/>
        <c:minorTickMark val="none"/>
        <c:tickLblPos val="nextTo"/>
        <c:spPr>
          <a:noFill/>
          <a:ln>
            <a:noFill/>
          </a:ln>
          <a:effectLst/>
        </c:spPr>
        <c:txPr>
          <a:bodyPr rot="-3480000" spcFirstLastPara="1" vertOverflow="ellipsis"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78970880"/>
        <c:crosses val="autoZero"/>
        <c:auto val="1"/>
        <c:lblAlgn val="ctr"/>
        <c:lblOffset val="100"/>
        <c:noMultiLvlLbl val="0"/>
      </c:catAx>
      <c:valAx>
        <c:axId val="78970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77326592"/>
        <c:crosses val="autoZero"/>
        <c:crossBetween val="between"/>
      </c:valAx>
      <c:spPr>
        <a:noFill/>
        <a:ln>
          <a:noFill/>
        </a:ln>
        <a:effectLst/>
      </c:spPr>
    </c:plotArea>
    <c:legend>
      <c:legendPos val="b"/>
      <c:layout>
        <c:manualLayout>
          <c:xMode val="edge"/>
          <c:yMode val="edge"/>
          <c:x val="5.7601728355384151E-2"/>
          <c:y val="0.88247738816820565"/>
          <c:w val="0.88479618619101186"/>
          <c:h val="0.11752261183179438"/>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2015.xlsx]SituationAnalysis!PivotTable20</c:name>
    <c:fmtId val="1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Type</a:t>
            </a:r>
            <a:r>
              <a:rPr lang="en-US" b="1" baseline="0"/>
              <a:t> of latrine coverage</a:t>
            </a:r>
            <a:endParaRPr lang="en-US" b="1"/>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SituationAnalysis!$C$304</c:f>
              <c:strCache>
                <c:ptCount val="1"/>
                <c:pt idx="0">
                  <c:v>%Coverage Permanent Latrine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SituationAnalysis!$B$305:$B$307</c:f>
              <c:strCache>
                <c:ptCount val="2"/>
                <c:pt idx="0">
                  <c:v>GCA</c:v>
                </c:pt>
                <c:pt idx="1">
                  <c:v>NGCA</c:v>
                </c:pt>
              </c:strCache>
            </c:strRef>
          </c:cat>
          <c:val>
            <c:numRef>
              <c:f>SituationAnalysis!$C$305:$C$307</c:f>
              <c:numCache>
                <c:formatCode>0%</c:formatCode>
                <c:ptCount val="2"/>
                <c:pt idx="0">
                  <c:v>0.54182348712310224</c:v>
                </c:pt>
                <c:pt idx="1">
                  <c:v>0.54803434028550924</c:v>
                </c:pt>
              </c:numCache>
            </c:numRef>
          </c:val>
        </c:ser>
        <c:ser>
          <c:idx val="1"/>
          <c:order val="1"/>
          <c:tx>
            <c:strRef>
              <c:f>SituationAnalysis!$D$304</c:f>
              <c:strCache>
                <c:ptCount val="1"/>
                <c:pt idx="0">
                  <c:v>% Coverage Emergency latrine</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SituationAnalysis!$B$305:$B$307</c:f>
              <c:strCache>
                <c:ptCount val="2"/>
                <c:pt idx="0">
                  <c:v>GCA</c:v>
                </c:pt>
                <c:pt idx="1">
                  <c:v>NGCA</c:v>
                </c:pt>
              </c:strCache>
            </c:strRef>
          </c:cat>
          <c:val>
            <c:numRef>
              <c:f>SituationAnalysis!$D$305:$D$307</c:f>
              <c:numCache>
                <c:formatCode>0%</c:formatCode>
                <c:ptCount val="2"/>
                <c:pt idx="0">
                  <c:v>0.28637882183786528</c:v>
                </c:pt>
                <c:pt idx="1">
                  <c:v>0.32061654172542614</c:v>
                </c:pt>
              </c:numCache>
            </c:numRef>
          </c:val>
        </c:ser>
        <c:dLbls>
          <c:showLegendKey val="0"/>
          <c:showVal val="1"/>
          <c:showCatName val="0"/>
          <c:showSerName val="0"/>
          <c:showPercent val="0"/>
          <c:showBubbleSize val="0"/>
        </c:dLbls>
        <c:gapWidth val="150"/>
        <c:shape val="box"/>
        <c:axId val="97015296"/>
        <c:axId val="97016832"/>
        <c:axId val="0"/>
      </c:bar3DChart>
      <c:catAx>
        <c:axId val="970152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016832"/>
        <c:crosses val="autoZero"/>
        <c:auto val="1"/>
        <c:lblAlgn val="ctr"/>
        <c:lblOffset val="100"/>
        <c:noMultiLvlLbl val="0"/>
      </c:catAx>
      <c:valAx>
        <c:axId val="970168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015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2015.xlsx]SituationAnalysis!PivotTable21</c:name>
    <c:fmtId val="2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Repartition of Monthly refilling kit missing</a:t>
            </a:r>
          </a:p>
        </c:rich>
      </c:tx>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2"/>
          </a:solidFill>
          <a:ln w="25400">
            <a:solidFill>
              <a:schemeClr val="lt1"/>
            </a:solidFill>
          </a:ln>
          <a:effectLst/>
          <a:sp3d contourW="25400">
            <a:contourClr>
              <a:schemeClr val="lt1"/>
            </a:contourClr>
          </a:sp3d>
        </c:spPr>
      </c:pivotFmt>
      <c:pivotFmt>
        <c:idx val="3"/>
        <c:spPr>
          <a:solidFill>
            <a:schemeClr val="accent3"/>
          </a:solidFill>
          <a:ln w="25400">
            <a:solidFill>
              <a:schemeClr val="lt1"/>
            </a:solidFill>
          </a:ln>
          <a:effectLst/>
          <a:sp3d contourW="25400">
            <a:contourClr>
              <a:schemeClr val="lt1"/>
            </a:contourClr>
          </a:sp3d>
        </c:spPr>
      </c:pivotFmt>
      <c:pivotFmt>
        <c:idx val="4"/>
        <c:spPr>
          <a:solidFill>
            <a:schemeClr val="accent4"/>
          </a:solidFill>
          <a:ln w="25400">
            <a:solidFill>
              <a:schemeClr val="lt1"/>
            </a:solidFill>
          </a:ln>
          <a:effectLst/>
          <a:sp3d contourW="25400">
            <a:contourClr>
              <a:schemeClr val="lt1"/>
            </a:contourClr>
          </a:sp3d>
        </c:spPr>
      </c:pivotFmt>
      <c:pivotFmt>
        <c:idx val="5"/>
        <c:spPr>
          <a:solidFill>
            <a:schemeClr val="accent5"/>
          </a:solidFill>
          <a:ln w="25400">
            <a:solidFill>
              <a:schemeClr val="lt1"/>
            </a:solidFill>
          </a:ln>
          <a:effectLst/>
          <a:sp3d contourW="25400">
            <a:contourClr>
              <a:schemeClr val="lt1"/>
            </a:contourClr>
          </a:sp3d>
        </c:spPr>
      </c:pivotFmt>
      <c:pivotFmt>
        <c:idx val="6"/>
        <c:spPr>
          <a:solidFill>
            <a:schemeClr val="accent6"/>
          </a:solidFill>
          <a:ln w="25400">
            <a:solidFill>
              <a:schemeClr val="lt1"/>
            </a:solidFill>
          </a:ln>
          <a:effectLst/>
          <a:sp3d contourW="25400">
            <a:contourClr>
              <a:schemeClr val="lt1"/>
            </a:contourClr>
          </a:sp3d>
        </c:spPr>
      </c:pivotFmt>
      <c:pivotFmt>
        <c:idx val="7"/>
        <c:spPr>
          <a:solidFill>
            <a:schemeClr val="accent1">
              <a:lumMod val="60000"/>
            </a:schemeClr>
          </a:solidFill>
          <a:ln w="25400">
            <a:solidFill>
              <a:schemeClr val="lt1"/>
            </a:solidFill>
          </a:ln>
          <a:effectLst/>
          <a:sp3d contourW="25400">
            <a:contourClr>
              <a:schemeClr val="lt1"/>
            </a:contourClr>
          </a:sp3d>
        </c:spPr>
      </c:pivotFmt>
      <c:pivotFmt>
        <c:idx val="8"/>
        <c:spPr>
          <a:solidFill>
            <a:schemeClr val="accent4">
              <a:lumMod val="60000"/>
            </a:schemeClr>
          </a:solidFill>
          <a:ln w="25400">
            <a:solidFill>
              <a:schemeClr val="lt1"/>
            </a:solidFill>
          </a:ln>
          <a:effectLst/>
          <a:sp3d contourW="25400">
            <a:contourClr>
              <a:schemeClr val="lt1"/>
            </a:contourClr>
          </a:sp3d>
        </c:spPr>
      </c:pivotFmt>
      <c:pivotFmt>
        <c:idx val="9"/>
        <c:spPr>
          <a:solidFill>
            <a:schemeClr val="accent5">
              <a:lumMod val="60000"/>
            </a:schemeClr>
          </a:solidFill>
          <a:ln w="25400">
            <a:solidFill>
              <a:schemeClr val="lt1"/>
            </a:solidFill>
          </a:ln>
          <a:effectLst/>
          <a:sp3d contourW="25400">
            <a:contourClr>
              <a:schemeClr val="lt1"/>
            </a:contourClr>
          </a:sp3d>
        </c:spPr>
      </c:pivotFmt>
      <c:pivotFmt>
        <c:idx val="10"/>
        <c:spPr>
          <a:solidFill>
            <a:schemeClr val="accent6">
              <a:lumMod val="60000"/>
            </a:schemeClr>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2">
              <a:lumMod val="60000"/>
            </a:schemeClr>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3">
              <a:lumMod val="60000"/>
            </a:schemeClr>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pivotFmt>
      <c:pivotFmt>
        <c:idx val="21"/>
        <c:spPr>
          <a:solidFill>
            <a:schemeClr val="accent1"/>
          </a:solidFill>
          <a:ln w="25400">
            <a:solidFill>
              <a:schemeClr val="lt1"/>
            </a:solidFill>
          </a:ln>
          <a:effectLst/>
          <a:sp3d contourW="25400">
            <a:contourClr>
              <a:schemeClr val="lt1"/>
            </a:contourClr>
          </a:sp3d>
        </c:spPr>
      </c:pivotFmt>
      <c:pivotFmt>
        <c:idx val="22"/>
        <c:spPr>
          <a:solidFill>
            <a:schemeClr val="accent1"/>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SituationAnalysis!$C$351</c:f>
              <c:strCache>
                <c:ptCount val="1"/>
                <c:pt idx="0">
                  <c:v>Total</c:v>
                </c:pt>
              </c:strCache>
            </c:strRef>
          </c:tx>
          <c:explosion val="26"/>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spPr>
              <a:solidFill>
                <a:schemeClr val="accent6"/>
              </a:solidFill>
              <a:ln w="25400">
                <a:solidFill>
                  <a:schemeClr val="lt1"/>
                </a:solidFill>
              </a:ln>
              <a:effectLst/>
              <a:sp3d contourW="25400">
                <a:contourClr>
                  <a:schemeClr val="lt1"/>
                </a:contourClr>
              </a:sp3d>
            </c:spPr>
          </c:dPt>
          <c:dPt>
            <c:idx val="6"/>
            <c:bubble3D val="0"/>
            <c:spPr>
              <a:solidFill>
                <a:schemeClr val="accent1">
                  <a:lumMod val="60000"/>
                </a:schemeClr>
              </a:solidFill>
              <a:ln w="25400">
                <a:solidFill>
                  <a:schemeClr val="lt1"/>
                </a:solidFill>
              </a:ln>
              <a:effectLst/>
              <a:sp3d contourW="25400">
                <a:contourClr>
                  <a:schemeClr val="lt1"/>
                </a:contourClr>
              </a:sp3d>
            </c:spPr>
          </c:dPt>
          <c:dPt>
            <c:idx val="7"/>
            <c:bubble3D val="0"/>
            <c:spPr>
              <a:solidFill>
                <a:schemeClr val="accent2">
                  <a:lumMod val="60000"/>
                </a:schemeClr>
              </a:solidFill>
              <a:ln w="25400">
                <a:solidFill>
                  <a:schemeClr val="lt1"/>
                </a:solidFill>
              </a:ln>
              <a:effectLst/>
              <a:sp3d contourW="25400">
                <a:contourClr>
                  <a:schemeClr val="lt1"/>
                </a:contourClr>
              </a:sp3d>
            </c:spPr>
          </c:dPt>
          <c:dPt>
            <c:idx val="8"/>
            <c:bubble3D val="0"/>
            <c:spPr>
              <a:solidFill>
                <a:schemeClr val="accent3">
                  <a:lumMod val="60000"/>
                </a:schemeClr>
              </a:solidFill>
              <a:ln w="25400">
                <a:solidFill>
                  <a:schemeClr val="lt1"/>
                </a:solidFill>
              </a:ln>
              <a:effectLst/>
              <a:sp3d contourW="25400">
                <a:contourClr>
                  <a:schemeClr val="lt1"/>
                </a:contourClr>
              </a:sp3d>
            </c:spPr>
          </c:dPt>
          <c:dPt>
            <c:idx val="9"/>
            <c:bubble3D val="0"/>
            <c:spPr>
              <a:solidFill>
                <a:schemeClr val="accent4">
                  <a:lumMod val="60000"/>
                </a:schemeClr>
              </a:solidFill>
              <a:ln w="25400">
                <a:solidFill>
                  <a:schemeClr val="lt1"/>
                </a:solidFill>
              </a:ln>
              <a:effectLst/>
              <a:sp3d contourW="25400">
                <a:contourClr>
                  <a:schemeClr val="lt1"/>
                </a:contourClr>
              </a:sp3d>
            </c:spPr>
          </c:dPt>
          <c:dPt>
            <c:idx val="10"/>
            <c:bubble3D val="0"/>
            <c:spPr>
              <a:solidFill>
                <a:schemeClr val="accent5">
                  <a:lumMod val="60000"/>
                </a:schemeClr>
              </a:solidFill>
              <a:ln w="25400">
                <a:solidFill>
                  <a:schemeClr val="lt1"/>
                </a:solidFill>
              </a:ln>
              <a:effectLst/>
              <a:sp3d contourW="25400">
                <a:contourClr>
                  <a:schemeClr val="lt1"/>
                </a:contourClr>
              </a:sp3d>
            </c:spPr>
          </c:dPt>
          <c:dPt>
            <c:idx val="11"/>
            <c:bubble3D val="0"/>
            <c:spPr>
              <a:solidFill>
                <a:schemeClr val="accent6">
                  <a:lumMod val="60000"/>
                </a:schemeClr>
              </a:solidFill>
              <a:ln w="25400">
                <a:solidFill>
                  <a:schemeClr val="lt1"/>
                </a:solidFill>
              </a:ln>
              <a:effectLst/>
              <a:sp3d contourW="25400">
                <a:contourClr>
                  <a:schemeClr val="lt1"/>
                </a:contourClr>
              </a:sp3d>
            </c:spPr>
          </c:dPt>
          <c:dPt>
            <c:idx val="12"/>
            <c:bubble3D val="0"/>
          </c:dPt>
          <c:dPt>
            <c:idx val="13"/>
            <c:bubble3D val="0"/>
          </c:dPt>
          <c:dPt>
            <c:idx val="14"/>
            <c:bubble3D val="0"/>
          </c:dPt>
          <c:dPt>
            <c:idx val="15"/>
            <c:bubble3D val="0"/>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dLbls>
          <c:cat>
            <c:strRef>
              <c:f>SituationAnalysis!$B$352:$B$364</c:f>
              <c:strCache>
                <c:ptCount val="12"/>
                <c:pt idx="0">
                  <c:v>0</c:v>
                </c:pt>
                <c:pt idx="1">
                  <c:v>2</c:v>
                </c:pt>
                <c:pt idx="2">
                  <c:v>3</c:v>
                </c:pt>
                <c:pt idx="3">
                  <c:v>4</c:v>
                </c:pt>
                <c:pt idx="4">
                  <c:v>5</c:v>
                </c:pt>
                <c:pt idx="5">
                  <c:v>6</c:v>
                </c:pt>
                <c:pt idx="6">
                  <c:v>7</c:v>
                </c:pt>
                <c:pt idx="7">
                  <c:v>8</c:v>
                </c:pt>
                <c:pt idx="8">
                  <c:v>9</c:v>
                </c:pt>
                <c:pt idx="9">
                  <c:v>10</c:v>
                </c:pt>
                <c:pt idx="10">
                  <c:v>11</c:v>
                </c:pt>
                <c:pt idx="11">
                  <c:v>12</c:v>
                </c:pt>
              </c:strCache>
            </c:strRef>
          </c:cat>
          <c:val>
            <c:numRef>
              <c:f>SituationAnalysis!$C$352:$C$364</c:f>
              <c:numCache>
                <c:formatCode>#,##0</c:formatCode>
                <c:ptCount val="12"/>
                <c:pt idx="0">
                  <c:v>7477</c:v>
                </c:pt>
                <c:pt idx="1">
                  <c:v>120</c:v>
                </c:pt>
                <c:pt idx="2">
                  <c:v>2064</c:v>
                </c:pt>
                <c:pt idx="3">
                  <c:v>888</c:v>
                </c:pt>
                <c:pt idx="4">
                  <c:v>1542</c:v>
                </c:pt>
                <c:pt idx="5">
                  <c:v>72</c:v>
                </c:pt>
                <c:pt idx="6">
                  <c:v>150</c:v>
                </c:pt>
                <c:pt idx="7">
                  <c:v>444</c:v>
                </c:pt>
                <c:pt idx="8">
                  <c:v>837</c:v>
                </c:pt>
                <c:pt idx="9">
                  <c:v>257</c:v>
                </c:pt>
                <c:pt idx="10">
                  <c:v>15</c:v>
                </c:pt>
                <c:pt idx="11">
                  <c:v>1701</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2015.xlsx]SituationAnalysis!PivotTable23</c:name>
    <c:fmtId val="2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Full HK coverage</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SituationAnalysis!$C$374</c:f>
              <c:strCache>
                <c:ptCount val="1"/>
                <c:pt idx="0">
                  <c:v>Total</c:v>
                </c:pt>
              </c:strCache>
            </c:strRef>
          </c:tx>
          <c:spPr>
            <a:solidFill>
              <a:schemeClr val="accent1"/>
            </a:solidFill>
            <a:ln>
              <a:noFill/>
            </a:ln>
            <a:effectLst/>
            <a:sp3d/>
          </c:spPr>
          <c:invertIfNegative val="0"/>
          <c:cat>
            <c:strRef>
              <c:f>SituationAnalysis!$B$375:$B$394</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SituationAnalysis!$C$375:$C$394</c:f>
              <c:numCache>
                <c:formatCode>0%</c:formatCode>
                <c:ptCount val="19"/>
                <c:pt idx="0">
                  <c:v>0.99515453373269835</c:v>
                </c:pt>
                <c:pt idx="1">
                  <c:v>0.98947713653596014</c:v>
                </c:pt>
                <c:pt idx="2">
                  <c:v>0.20683060109289617</c:v>
                </c:pt>
                <c:pt idx="3">
                  <c:v>0</c:v>
                </c:pt>
                <c:pt idx="4">
                  <c:v>0</c:v>
                </c:pt>
                <c:pt idx="5">
                  <c:v>0</c:v>
                </c:pt>
                <c:pt idx="6">
                  <c:v>0.8131350157038516</c:v>
                </c:pt>
                <c:pt idx="7">
                  <c:v>0</c:v>
                </c:pt>
                <c:pt idx="8">
                  <c:v>1</c:v>
                </c:pt>
                <c:pt idx="9">
                  <c:v>1</c:v>
                </c:pt>
                <c:pt idx="10">
                  <c:v>0.4520515136625281</c:v>
                </c:pt>
                <c:pt idx="11">
                  <c:v>0.89716089848645519</c:v>
                </c:pt>
                <c:pt idx="12">
                  <c:v>1</c:v>
                </c:pt>
                <c:pt idx="13">
                  <c:v>0.54005763688760811</c:v>
                </c:pt>
                <c:pt idx="14">
                  <c:v>0</c:v>
                </c:pt>
                <c:pt idx="15">
                  <c:v>0</c:v>
                </c:pt>
                <c:pt idx="16">
                  <c:v>0.87447320891029501</c:v>
                </c:pt>
                <c:pt idx="17">
                  <c:v>0.79710433354893273</c:v>
                </c:pt>
                <c:pt idx="18">
                  <c:v>0</c:v>
                </c:pt>
              </c:numCache>
            </c:numRef>
          </c:val>
        </c:ser>
        <c:dLbls>
          <c:showLegendKey val="0"/>
          <c:showVal val="0"/>
          <c:showCatName val="0"/>
          <c:showSerName val="0"/>
          <c:showPercent val="0"/>
          <c:showBubbleSize val="0"/>
        </c:dLbls>
        <c:gapWidth val="150"/>
        <c:shape val="box"/>
        <c:axId val="97217152"/>
        <c:axId val="97227136"/>
        <c:axId val="0"/>
      </c:bar3DChart>
      <c:catAx>
        <c:axId val="972171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227136"/>
        <c:crosses val="autoZero"/>
        <c:auto val="1"/>
        <c:lblAlgn val="ctr"/>
        <c:lblOffset val="100"/>
        <c:noMultiLvlLbl val="0"/>
      </c:catAx>
      <c:valAx>
        <c:axId val="972271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217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2015.xlsx]SituationAnalysis!PivotTable24</c:name>
    <c:fmtId val="2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Full HK coverage</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SituationAnalysis!$C$402</c:f>
              <c:strCache>
                <c:ptCount val="1"/>
                <c:pt idx="0">
                  <c:v>Total</c:v>
                </c:pt>
              </c:strCache>
            </c:strRef>
          </c:tx>
          <c:spPr>
            <a:solidFill>
              <a:schemeClr val="accent1"/>
            </a:solidFill>
            <a:ln>
              <a:noFill/>
            </a:ln>
            <a:effectLst/>
            <a:sp3d/>
          </c:spPr>
          <c:invertIfNegative val="0"/>
          <c:cat>
            <c:strRef>
              <c:f>SituationAnalysis!$B$403:$B$413</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SituationAnalysis!$C$403:$C$413</c:f>
              <c:numCache>
                <c:formatCode>0%</c:formatCode>
                <c:ptCount val="10"/>
                <c:pt idx="0">
                  <c:v>0.20683060109289617</c:v>
                </c:pt>
                <c:pt idx="1">
                  <c:v>1</c:v>
                </c:pt>
                <c:pt idx="2">
                  <c:v>1</c:v>
                </c:pt>
                <c:pt idx="3">
                  <c:v>0.91755749595954261</c:v>
                </c:pt>
                <c:pt idx="4">
                  <c:v>0.40921646862805278</c:v>
                </c:pt>
                <c:pt idx="5">
                  <c:v>0.91163164731851287</c:v>
                </c:pt>
                <c:pt idx="6">
                  <c:v>0.69209744768316972</c:v>
                </c:pt>
                <c:pt idx="7">
                  <c:v>0</c:v>
                </c:pt>
                <c:pt idx="8">
                  <c:v>0</c:v>
                </c:pt>
                <c:pt idx="9">
                  <c:v>0.90958146712622423</c:v>
                </c:pt>
              </c:numCache>
            </c:numRef>
          </c:val>
        </c:ser>
        <c:dLbls>
          <c:showLegendKey val="0"/>
          <c:showVal val="0"/>
          <c:showCatName val="0"/>
          <c:showSerName val="0"/>
          <c:showPercent val="0"/>
          <c:showBubbleSize val="0"/>
        </c:dLbls>
        <c:gapWidth val="150"/>
        <c:shape val="box"/>
        <c:axId val="97326592"/>
        <c:axId val="97328128"/>
        <c:axId val="0"/>
      </c:bar3DChart>
      <c:catAx>
        <c:axId val="973265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328128"/>
        <c:crosses val="autoZero"/>
        <c:auto val="1"/>
        <c:lblAlgn val="ctr"/>
        <c:lblOffset val="100"/>
        <c:noMultiLvlLbl val="0"/>
      </c:catAx>
      <c:valAx>
        <c:axId val="97328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326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2015.xlsx]SituationAnalysis!PivotTable25</c:name>
    <c:fmtId val="2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of HH receiving monthly</a:t>
            </a:r>
            <a:r>
              <a:rPr lang="en-US" b="1" baseline="0"/>
              <a:t> HP visit</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SituationAnalysis!$C$425</c:f>
              <c:strCache>
                <c:ptCount val="1"/>
                <c:pt idx="0">
                  <c:v>Total</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SituationAnalysis!$B$426:$B$428</c:f>
              <c:strCache>
                <c:ptCount val="2"/>
                <c:pt idx="0">
                  <c:v>GCA</c:v>
                </c:pt>
                <c:pt idx="1">
                  <c:v>NGCA</c:v>
                </c:pt>
              </c:strCache>
            </c:strRef>
          </c:cat>
          <c:val>
            <c:numRef>
              <c:f>SituationAnalysis!$C$426:$C$428</c:f>
              <c:numCache>
                <c:formatCode>0%</c:formatCode>
                <c:ptCount val="2"/>
                <c:pt idx="0">
                  <c:v>0.70327842855330502</c:v>
                </c:pt>
                <c:pt idx="1">
                  <c:v>0.55110220440881785</c:v>
                </c:pt>
              </c:numCache>
            </c:numRef>
          </c:val>
        </c:ser>
        <c:dLbls>
          <c:showLegendKey val="0"/>
          <c:showVal val="1"/>
          <c:showCatName val="0"/>
          <c:showSerName val="0"/>
          <c:showPercent val="0"/>
          <c:showBubbleSize val="0"/>
        </c:dLbls>
        <c:gapWidth val="150"/>
        <c:shape val="box"/>
        <c:axId val="97374976"/>
        <c:axId val="97377664"/>
        <c:axId val="0"/>
      </c:bar3DChart>
      <c:catAx>
        <c:axId val="97374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377664"/>
        <c:crosses val="autoZero"/>
        <c:auto val="1"/>
        <c:lblAlgn val="ctr"/>
        <c:lblOffset val="100"/>
        <c:noMultiLvlLbl val="0"/>
      </c:catAx>
      <c:valAx>
        <c:axId val="973776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374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2015.xlsx]SituationAnalysis!PivotTable26</c:name>
    <c:fmtId val="2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Community</a:t>
            </a:r>
            <a:r>
              <a:rPr lang="en-US" b="1" baseline="0"/>
              <a:t> management organisation in camps</a:t>
            </a:r>
            <a:endParaRPr lang="en-US" b="1"/>
          </a:p>
        </c:rich>
      </c:tx>
      <c:layout>
        <c:manualLayout>
          <c:xMode val="edge"/>
          <c:yMode val="edge"/>
          <c:x val="0.20189483560931695"/>
          <c:y val="5.8394160583941604E-2"/>
        </c:manualLayout>
      </c:layout>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2"/>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4"/>
          </a:solidFill>
          <a:ln w="25400">
            <a:solidFill>
              <a:schemeClr val="lt1"/>
            </a:solidFill>
          </a:ln>
          <a:effectLst/>
          <a:sp3d contourW="25400">
            <a:contourClr>
              <a:schemeClr val="lt1"/>
            </a:contourClr>
          </a:sp3d>
        </c:spPr>
      </c:pivotFmt>
      <c:pivotFmt>
        <c:idx val="4"/>
        <c:spPr>
          <a:solidFill>
            <a:schemeClr val="accent5"/>
          </a:solidFill>
          <a:ln w="25400">
            <a:solidFill>
              <a:schemeClr val="lt1"/>
            </a:solidFill>
          </a:ln>
          <a:effectLst/>
          <a:sp3d contourW="25400">
            <a:contourClr>
              <a:schemeClr val="lt1"/>
            </a:contourClr>
          </a:sp3d>
        </c:spPr>
      </c:pivotFmt>
      <c:pivotFmt>
        <c:idx val="5"/>
        <c:spPr>
          <a:solidFill>
            <a:schemeClr val="accent3"/>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6"/>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SituationAnalysis!$C$445</c:f>
              <c:strCache>
                <c:ptCount val="1"/>
                <c:pt idx="0">
                  <c:v>Total</c:v>
                </c:pt>
              </c:strCache>
            </c:strRef>
          </c:tx>
          <c:explosion val="25"/>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spPr>
              <a:solidFill>
                <a:schemeClr val="accent6"/>
              </a:solidFill>
              <a:ln w="25400">
                <a:solidFill>
                  <a:schemeClr val="lt1"/>
                </a:solidFill>
              </a:ln>
              <a:effectLst/>
              <a:sp3d contourW="25400">
                <a:contourClr>
                  <a:schemeClr val="lt1"/>
                </a:contourClr>
              </a:sp3d>
            </c:spPr>
          </c:dPt>
          <c:dPt>
            <c:idx val="6"/>
            <c:bubble3D val="0"/>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dLbls>
          <c:cat>
            <c:strRef>
              <c:f>SituationAnalysis!$B$446:$B$452</c:f>
              <c:strCache>
                <c:ptCount val="6"/>
                <c:pt idx="0">
                  <c:v>already set up</c:v>
                </c:pt>
                <c:pt idx="1">
                  <c:v>Functional and efficient</c:v>
                </c:pt>
                <c:pt idx="2">
                  <c:v>NA</c:v>
                </c:pt>
                <c:pt idx="3">
                  <c:v>Not yet set up</c:v>
                </c:pt>
                <c:pt idx="4">
                  <c:v>Set up but low results </c:v>
                </c:pt>
                <c:pt idx="5">
                  <c:v>Functional and efficient. The number of people actually leaving in the camp is 93 HH (so around 500 people) </c:v>
                </c:pt>
              </c:strCache>
            </c:strRef>
          </c:cat>
          <c:val>
            <c:numRef>
              <c:f>SituationAnalysis!$C$446:$C$452</c:f>
              <c:numCache>
                <c:formatCode>#,##0</c:formatCode>
                <c:ptCount val="6"/>
                <c:pt idx="0">
                  <c:v>2</c:v>
                </c:pt>
                <c:pt idx="1">
                  <c:v>79</c:v>
                </c:pt>
                <c:pt idx="2">
                  <c:v>3</c:v>
                </c:pt>
                <c:pt idx="3">
                  <c:v>12</c:v>
                </c:pt>
                <c:pt idx="4">
                  <c:v>56</c:v>
                </c:pt>
                <c:pt idx="5">
                  <c:v>1</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2015.xlsx]SituationAnalysis!PivotTable27</c:name>
    <c:fmtId val="3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Gender</a:t>
            </a:r>
            <a:r>
              <a:rPr lang="en-US" b="1" baseline="0"/>
              <a:t> consideration for latrines</a:t>
            </a:r>
            <a:endParaRPr lang="en-US" b="1"/>
          </a:p>
        </c:rich>
      </c:tx>
      <c:layout>
        <c:manualLayout>
          <c:xMode val="edge"/>
          <c:yMode val="edge"/>
          <c:x val="0.45214921379995354"/>
          <c:y val="9.0522720804477749E-2"/>
        </c:manualLayout>
      </c:layout>
      <c:overlay val="0"/>
      <c:spPr>
        <a:noFill/>
        <a:ln>
          <a:noFill/>
        </a:ln>
        <a:effectLst/>
      </c:sp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
      </c:pivotFmt>
      <c:pivotFmt>
        <c:idx val="7"/>
      </c:pivotFmt>
      <c:pivotFmt>
        <c:idx val="8"/>
      </c:pivotFmt>
      <c:pivotFmt>
        <c:idx val="9"/>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2"/>
          </a:solidFill>
          <a:ln w="25400">
            <a:solidFill>
              <a:schemeClr val="lt1"/>
            </a:solidFill>
          </a:ln>
          <a:effectLst/>
          <a:sp3d contourW="25400">
            <a:contourClr>
              <a:schemeClr val="lt1"/>
            </a:contourClr>
          </a:sp3d>
        </c:spPr>
      </c:pivotFmt>
      <c:pivotFmt>
        <c:idx val="18"/>
        <c:spPr>
          <a:solidFill>
            <a:schemeClr val="accent3"/>
          </a:solidFill>
          <a:ln w="25400">
            <a:solidFill>
              <a:schemeClr val="lt1"/>
            </a:solidFill>
          </a:ln>
          <a:effectLst/>
          <a:sp3d contourW="25400">
            <a:contourClr>
              <a:schemeClr val="lt1"/>
            </a:contourClr>
          </a:sp3d>
        </c:spPr>
      </c:pivotFmt>
      <c:pivotFmt>
        <c:idx val="19"/>
        <c:spPr>
          <a:solidFill>
            <a:schemeClr val="accent4"/>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pivotFmt>
      <c:pivotFmt>
        <c:idx val="21"/>
        <c:spPr>
          <a:solidFill>
            <a:schemeClr val="accent5"/>
          </a:solidFill>
          <a:ln w="25400">
            <a:solidFill>
              <a:schemeClr val="lt1"/>
            </a:solidFill>
          </a:ln>
          <a:effectLst/>
          <a:sp3d contourW="25400">
            <a:contourClr>
              <a:schemeClr val="lt1"/>
            </a:contourClr>
          </a:sp3d>
        </c:spPr>
      </c:pivotFmt>
      <c:pivotFmt>
        <c:idx val="22"/>
        <c:spPr>
          <a:solidFill>
            <a:schemeClr val="accent6"/>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SituationAnalysis!$C$464</c:f>
              <c:strCache>
                <c:ptCount val="1"/>
                <c:pt idx="0">
                  <c:v>Total</c:v>
                </c:pt>
              </c:strCache>
            </c:strRef>
          </c:tx>
          <c:explosion val="25"/>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spPr>
              <a:solidFill>
                <a:schemeClr val="accent6"/>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dLbls>
          <c:cat>
            <c:strRef>
              <c:f>SituationAnalysis!$B$465:$B$471</c:f>
              <c:strCache>
                <c:ptCount val="6"/>
                <c:pt idx="0">
                  <c:v>Latrine shared by families , not separated</c:v>
                </c:pt>
                <c:pt idx="1">
                  <c:v>Not separated yet</c:v>
                </c:pt>
                <c:pt idx="2">
                  <c:v>Separate, but not clearly perceived</c:v>
                </c:pt>
                <c:pt idx="3">
                  <c:v>Separate, clearly perceived</c:v>
                </c:pt>
                <c:pt idx="4">
                  <c:v>separated</c:v>
                </c:pt>
                <c:pt idx="5">
                  <c:v>Separated, clearly perceived</c:v>
                </c:pt>
              </c:strCache>
            </c:strRef>
          </c:cat>
          <c:val>
            <c:numRef>
              <c:f>SituationAnalysis!$C$465:$C$471</c:f>
              <c:numCache>
                <c:formatCode>0</c:formatCode>
                <c:ptCount val="6"/>
                <c:pt idx="0">
                  <c:v>75</c:v>
                </c:pt>
                <c:pt idx="1">
                  <c:v>38</c:v>
                </c:pt>
                <c:pt idx="2">
                  <c:v>7</c:v>
                </c:pt>
                <c:pt idx="3">
                  <c:v>31</c:v>
                </c:pt>
                <c:pt idx="4">
                  <c:v>1</c:v>
                </c:pt>
                <c:pt idx="5">
                  <c:v>1</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2015.xlsx]SituationAnalysis!PivotTable4</c:name>
    <c:fmtId val="3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Gender</a:t>
            </a:r>
            <a:r>
              <a:rPr lang="en-US" b="1" baseline="0"/>
              <a:t> consideration for Bathroom</a:t>
            </a:r>
            <a:endParaRPr lang="en-US" b="1"/>
          </a:p>
        </c:rich>
      </c:tx>
      <c:layout>
        <c:manualLayout>
          <c:xMode val="edge"/>
          <c:yMode val="edge"/>
          <c:x val="0.308234335179567"/>
          <c:y val="7.4854994977479661E-2"/>
        </c:manualLayout>
      </c:layout>
      <c:overlay val="0"/>
      <c:spPr>
        <a:noFill/>
        <a:ln>
          <a:noFill/>
        </a:ln>
        <a:effectLst/>
      </c:sp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
      </c:pivotFmt>
      <c:pivotFmt>
        <c:idx val="7"/>
      </c:pivotFmt>
      <c:pivotFmt>
        <c:idx val="8"/>
      </c:pivotFmt>
      <c:pivotFmt>
        <c:idx val="9"/>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2"/>
          </a:solidFill>
          <a:ln w="25400">
            <a:solidFill>
              <a:schemeClr val="lt1"/>
            </a:solidFill>
          </a:ln>
          <a:effectLst/>
          <a:sp3d contourW="25400">
            <a:contourClr>
              <a:schemeClr val="lt1"/>
            </a:contourClr>
          </a:sp3d>
        </c:spPr>
      </c:pivotFmt>
      <c:pivotFmt>
        <c:idx val="18"/>
        <c:spPr>
          <a:solidFill>
            <a:schemeClr val="accent3"/>
          </a:solidFill>
          <a:ln w="25400">
            <a:solidFill>
              <a:schemeClr val="lt1"/>
            </a:solidFill>
          </a:ln>
          <a:effectLst/>
          <a:sp3d contourW="25400">
            <a:contourClr>
              <a:schemeClr val="lt1"/>
            </a:contourClr>
          </a:sp3d>
        </c:spPr>
      </c:pivotFmt>
      <c:pivotFmt>
        <c:idx val="19"/>
        <c:spPr>
          <a:solidFill>
            <a:schemeClr val="accent4"/>
          </a:solidFill>
          <a:ln w="25400">
            <a:solidFill>
              <a:schemeClr val="lt1"/>
            </a:solidFill>
          </a:ln>
          <a:effectLst/>
          <a:sp3d contourW="25400">
            <a:contourClr>
              <a:schemeClr val="lt1"/>
            </a:contourClr>
          </a:sp3d>
        </c:spPr>
      </c:pivotFmt>
      <c:pivotFmt>
        <c:idx val="20"/>
        <c:spPr>
          <a:solidFill>
            <a:schemeClr val="accent6"/>
          </a:solidFill>
          <a:ln w="25400">
            <a:solidFill>
              <a:schemeClr val="lt1"/>
            </a:solidFill>
          </a:ln>
          <a:effectLst/>
          <a:sp3d contourW="25400">
            <a:contourClr>
              <a:schemeClr val="lt1"/>
            </a:contourClr>
          </a:sp3d>
        </c:spPr>
      </c:pivotFmt>
      <c:pivotFmt>
        <c:idx val="21"/>
        <c:spPr>
          <a:solidFill>
            <a:schemeClr val="accent5"/>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SituationAnalysis!$C$482</c:f>
              <c:strCache>
                <c:ptCount val="1"/>
                <c:pt idx="0">
                  <c:v>Total</c:v>
                </c:pt>
              </c:strCache>
            </c:strRef>
          </c:tx>
          <c:explosion val="25"/>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spPr>
              <a:solidFill>
                <a:schemeClr val="accent6"/>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dLbls>
          <c:cat>
            <c:strRef>
              <c:f>SituationAnalysis!$B$483:$B$489</c:f>
              <c:strCache>
                <c:ptCount val="6"/>
                <c:pt idx="0">
                  <c:v>Latrine shared by families , not separated</c:v>
                </c:pt>
                <c:pt idx="1">
                  <c:v>Not separated yet</c:v>
                </c:pt>
                <c:pt idx="2">
                  <c:v>Separate, but not clearly perceived</c:v>
                </c:pt>
                <c:pt idx="3">
                  <c:v>Separate, clearly perceived</c:v>
                </c:pt>
                <c:pt idx="4">
                  <c:v>separated</c:v>
                </c:pt>
                <c:pt idx="5">
                  <c:v>(blank)</c:v>
                </c:pt>
              </c:strCache>
            </c:strRef>
          </c:cat>
          <c:val>
            <c:numRef>
              <c:f>SituationAnalysis!$C$483:$C$489</c:f>
              <c:numCache>
                <c:formatCode>0</c:formatCode>
                <c:ptCount val="6"/>
                <c:pt idx="0">
                  <c:v>2</c:v>
                </c:pt>
                <c:pt idx="1">
                  <c:v>59</c:v>
                </c:pt>
                <c:pt idx="2">
                  <c:v>17</c:v>
                </c:pt>
                <c:pt idx="3">
                  <c:v>66</c:v>
                </c:pt>
                <c:pt idx="4">
                  <c:v>6</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2015.xlsx]SituationAnalysis!PivotTable6</c:name>
    <c:fmtId val="3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 of Water coverage end of project</a:t>
            </a:r>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SituationAnalysis!$C$178</c:f>
              <c:strCache>
                <c:ptCount val="1"/>
                <c:pt idx="0">
                  <c:v>% Water Need coverage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SituationAnalysis!$B$179:$B$181</c:f>
              <c:strCache>
                <c:ptCount val="2"/>
                <c:pt idx="0">
                  <c:v>GCA</c:v>
                </c:pt>
                <c:pt idx="1">
                  <c:v>NGCA</c:v>
                </c:pt>
              </c:strCache>
            </c:strRef>
          </c:cat>
          <c:val>
            <c:numRef>
              <c:f>SituationAnalysis!$C$179:$C$181</c:f>
              <c:numCache>
                <c:formatCode>0%</c:formatCode>
                <c:ptCount val="2"/>
                <c:pt idx="0">
                  <c:v>0.99087354908257219</c:v>
                </c:pt>
                <c:pt idx="1">
                  <c:v>0.88511372742402761</c:v>
                </c:pt>
              </c:numCache>
            </c:numRef>
          </c:val>
        </c:ser>
        <c:ser>
          <c:idx val="1"/>
          <c:order val="1"/>
          <c:tx>
            <c:strRef>
              <c:f>SituationAnalysis!$D$178</c:f>
              <c:strCache>
                <c:ptCount val="1"/>
                <c:pt idx="0">
                  <c:v>% Coverage projection end of project</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SituationAnalysis!$B$179:$B$181</c:f>
              <c:strCache>
                <c:ptCount val="2"/>
                <c:pt idx="0">
                  <c:v>GCA</c:v>
                </c:pt>
                <c:pt idx="1">
                  <c:v>NGCA</c:v>
                </c:pt>
              </c:strCache>
            </c:strRef>
          </c:cat>
          <c:val>
            <c:numRef>
              <c:f>SituationAnalysis!$D$179:$D$181</c:f>
              <c:numCache>
                <c:formatCode>0%</c:formatCode>
                <c:ptCount val="2"/>
                <c:pt idx="0">
                  <c:v>-2.4103638585862238E-3</c:v>
                </c:pt>
                <c:pt idx="1">
                  <c:v>0.11488627257597234</c:v>
                </c:pt>
              </c:numCache>
            </c:numRef>
          </c:val>
        </c:ser>
        <c:dLbls>
          <c:showLegendKey val="0"/>
          <c:showVal val="1"/>
          <c:showCatName val="0"/>
          <c:showSerName val="0"/>
          <c:showPercent val="0"/>
          <c:showBubbleSize val="0"/>
        </c:dLbls>
        <c:gapWidth val="150"/>
        <c:shape val="box"/>
        <c:axId val="97722368"/>
        <c:axId val="97723904"/>
        <c:axId val="0"/>
      </c:bar3DChart>
      <c:catAx>
        <c:axId val="977223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723904"/>
        <c:crosses val="autoZero"/>
        <c:auto val="1"/>
        <c:lblAlgn val="ctr"/>
        <c:lblOffset val="100"/>
        <c:noMultiLvlLbl val="0"/>
      </c:catAx>
      <c:valAx>
        <c:axId val="977239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7223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2015.xlsx]SituationAnalysis!PivotTable9</c:name>
    <c:fmtId val="3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 of latrine coverage end of project</a:t>
            </a:r>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SituationAnalysis!$C$322</c:f>
              <c:strCache>
                <c:ptCount val="1"/>
                <c:pt idx="0">
                  <c:v>% Latrine need coverage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SituationAnalysis!$B$323:$B$325</c:f>
              <c:strCache>
                <c:ptCount val="2"/>
                <c:pt idx="0">
                  <c:v>GCA</c:v>
                </c:pt>
                <c:pt idx="1">
                  <c:v>NGCA</c:v>
                </c:pt>
              </c:strCache>
            </c:strRef>
          </c:cat>
          <c:val>
            <c:numRef>
              <c:f>SituationAnalysis!$C$323:$C$325</c:f>
              <c:numCache>
                <c:formatCode>0%</c:formatCode>
                <c:ptCount val="2"/>
                <c:pt idx="0">
                  <c:v>0.83320048281673464</c:v>
                </c:pt>
                <c:pt idx="1">
                  <c:v>0.90978857178080508</c:v>
                </c:pt>
              </c:numCache>
            </c:numRef>
          </c:val>
        </c:ser>
        <c:ser>
          <c:idx val="1"/>
          <c:order val="1"/>
          <c:tx>
            <c:strRef>
              <c:f>SituationAnalysis!$D$322</c:f>
              <c:strCache>
                <c:ptCount val="1"/>
                <c:pt idx="0">
                  <c:v>% Projection latrine need coverage EOP</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SituationAnalysis!$B$323:$B$325</c:f>
              <c:strCache>
                <c:ptCount val="2"/>
                <c:pt idx="0">
                  <c:v>GCA</c:v>
                </c:pt>
                <c:pt idx="1">
                  <c:v>NGCA</c:v>
                </c:pt>
              </c:strCache>
            </c:strRef>
          </c:cat>
          <c:val>
            <c:numRef>
              <c:f>SituationAnalysis!$D$323:$D$325</c:f>
              <c:numCache>
                <c:formatCode>0%</c:formatCode>
                <c:ptCount val="2"/>
                <c:pt idx="0">
                  <c:v>1.9623539593249875E-2</c:v>
                </c:pt>
                <c:pt idx="1">
                  <c:v>6.7804968254184236E-6</c:v>
                </c:pt>
              </c:numCache>
            </c:numRef>
          </c:val>
        </c:ser>
        <c:dLbls>
          <c:showLegendKey val="0"/>
          <c:showVal val="1"/>
          <c:showCatName val="0"/>
          <c:showSerName val="0"/>
          <c:showPercent val="0"/>
          <c:showBubbleSize val="0"/>
        </c:dLbls>
        <c:gapWidth val="150"/>
        <c:shape val="box"/>
        <c:axId val="97821824"/>
        <c:axId val="97823360"/>
        <c:axId val="0"/>
      </c:bar3DChart>
      <c:catAx>
        <c:axId val="978218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823360"/>
        <c:crosses val="autoZero"/>
        <c:auto val="1"/>
        <c:lblAlgn val="ctr"/>
        <c:lblOffset val="100"/>
        <c:noMultiLvlLbl val="0"/>
      </c:catAx>
      <c:valAx>
        <c:axId val="9782336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821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2015.xlsx]SituationAnalysis!PivotTable26</c:name>
    <c:fmtId val="35"/>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Community management organisation in camps</a:t>
            </a:r>
          </a:p>
        </c:rich>
      </c:tx>
      <c:layout>
        <c:manualLayout>
          <c:xMode val="edge"/>
          <c:yMode val="edge"/>
          <c:x val="0.1560757998033751"/>
          <c:y val="5.8393994456986585E-2"/>
        </c:manualLayout>
      </c:layout>
      <c:overlay val="0"/>
      <c:spPr>
        <a:noFill/>
        <a:ln>
          <a:noFill/>
        </a:ln>
        <a:effectLst/>
      </c:sp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
        <c:idx val="12"/>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pivotFmt>
      <c:pivotFmt>
        <c:idx val="13"/>
        <c:spPr>
          <a:solidFill>
            <a:schemeClr val="accent2"/>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3"/>
          </a:solidFill>
          <a:ln w="25400">
            <a:solidFill>
              <a:schemeClr val="lt1"/>
            </a:solidFill>
          </a:ln>
          <a:effectLst/>
          <a:sp3d contourW="25400">
            <a:contourClr>
              <a:schemeClr val="lt1"/>
            </a:contourClr>
          </a:sp3d>
        </c:spPr>
      </c:pivotFmt>
      <c:pivotFmt>
        <c:idx val="16"/>
        <c:spPr>
          <a:solidFill>
            <a:schemeClr val="accent4"/>
          </a:solidFill>
          <a:ln w="25400">
            <a:solidFill>
              <a:schemeClr val="lt1"/>
            </a:solidFill>
          </a:ln>
          <a:effectLst/>
          <a:sp3d contourW="25400">
            <a:contourClr>
              <a:schemeClr val="lt1"/>
            </a:contourClr>
          </a:sp3d>
        </c:spPr>
      </c:pivotFmt>
      <c:pivotFmt>
        <c:idx val="17"/>
        <c:spPr>
          <a:solidFill>
            <a:schemeClr val="accent5"/>
          </a:solidFill>
          <a:ln w="25400">
            <a:solidFill>
              <a:schemeClr val="lt1"/>
            </a:solidFill>
          </a:ln>
          <a:effectLst/>
          <a:sp3d contourW="25400">
            <a:contourClr>
              <a:schemeClr val="lt1"/>
            </a:contourClr>
          </a:sp3d>
        </c:spPr>
        <c:dLbl>
          <c:idx val="0"/>
          <c:layout>
            <c:manualLayout>
              <c:x val="-9.8666072161112922E-2"/>
              <c:y val="-1.3863632009502462E-2"/>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dLbl>
          <c:idx val="0"/>
          <c:layout>
            <c:manualLayout>
              <c:x val="-9.8666072161112922E-2"/>
              <c:y val="-1.3863632009502462E-2"/>
            </c:manualLayout>
          </c:layout>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0"/>
        <c:spPr>
          <a:solidFill>
            <a:schemeClr val="accent6"/>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381686825229324E-2"/>
          <c:y val="0.26382541343171262"/>
          <c:w val="0.57909426270169839"/>
          <c:h val="0.63799056586458158"/>
        </c:manualLayout>
      </c:layout>
      <c:pie3DChart>
        <c:varyColors val="1"/>
        <c:ser>
          <c:idx val="0"/>
          <c:order val="0"/>
          <c:tx>
            <c:strRef>
              <c:f>SituationAnalysis!$C$445</c:f>
              <c:strCache>
                <c:ptCount val="1"/>
                <c:pt idx="0">
                  <c:v>Total</c:v>
                </c:pt>
              </c:strCache>
            </c:strRef>
          </c:tx>
          <c:explosion val="6"/>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spPr>
              <a:solidFill>
                <a:schemeClr val="accent6"/>
              </a:solidFill>
              <a:ln w="25400">
                <a:solidFill>
                  <a:schemeClr val="lt1"/>
                </a:solidFill>
              </a:ln>
              <a:effectLst/>
              <a:sp3d contourW="25400">
                <a:contourClr>
                  <a:schemeClr val="lt1"/>
                </a:contourClr>
              </a:sp3d>
            </c:spPr>
          </c:dPt>
          <c:dPt>
            <c:idx val="6"/>
            <c:bubble3D val="0"/>
          </c:dPt>
          <c:dLbls>
            <c:dLbl>
              <c:idx val="4"/>
              <c:layout>
                <c:manualLayout>
                  <c:x val="-9.8666072161112922E-2"/>
                  <c:y val="-1.3863632009502462E-2"/>
                </c:manualLayout>
              </c:layout>
              <c:dLblPos val="bestFi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dLbls>
          <c:cat>
            <c:strRef>
              <c:f>SituationAnalysis!$B$446:$B$452</c:f>
              <c:strCache>
                <c:ptCount val="6"/>
                <c:pt idx="0">
                  <c:v>already set up</c:v>
                </c:pt>
                <c:pt idx="1">
                  <c:v>Functional and efficient</c:v>
                </c:pt>
                <c:pt idx="2">
                  <c:v>NA</c:v>
                </c:pt>
                <c:pt idx="3">
                  <c:v>Not yet set up</c:v>
                </c:pt>
                <c:pt idx="4">
                  <c:v>Set up but low results </c:v>
                </c:pt>
                <c:pt idx="5">
                  <c:v>Functional and efficient. The number of people actually leaving in the camp is 93 HH (so around 500 people) </c:v>
                </c:pt>
              </c:strCache>
            </c:strRef>
          </c:cat>
          <c:val>
            <c:numRef>
              <c:f>SituationAnalysis!$C$446:$C$452</c:f>
              <c:numCache>
                <c:formatCode>#,##0</c:formatCode>
                <c:ptCount val="6"/>
                <c:pt idx="0">
                  <c:v>2</c:v>
                </c:pt>
                <c:pt idx="1">
                  <c:v>79</c:v>
                </c:pt>
                <c:pt idx="2">
                  <c:v>3</c:v>
                </c:pt>
                <c:pt idx="3">
                  <c:v>12</c:v>
                </c:pt>
                <c:pt idx="4">
                  <c:v>56</c:v>
                </c:pt>
                <c:pt idx="5">
                  <c:v>1</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2015.xlsx]SituationAnalysis!PivotTable11</c:name>
    <c:fmtId val="3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Location coverage</a:t>
            </a:r>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SituationAnalysis!$C$589:$C$590</c:f>
              <c:strCache>
                <c:ptCount val="1"/>
                <c:pt idx="0">
                  <c:v>Covered</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SituationAnalysis!$B$591:$B$593</c:f>
              <c:strCache>
                <c:ptCount val="2"/>
                <c:pt idx="0">
                  <c:v>GCA</c:v>
                </c:pt>
                <c:pt idx="1">
                  <c:v>NGCA</c:v>
                </c:pt>
              </c:strCache>
            </c:strRef>
          </c:cat>
          <c:val>
            <c:numRef>
              <c:f>SituationAnalysis!$C$591:$C$593</c:f>
              <c:numCache>
                <c:formatCode>0</c:formatCode>
                <c:ptCount val="2"/>
                <c:pt idx="0">
                  <c:v>132</c:v>
                </c:pt>
                <c:pt idx="1">
                  <c:v>25</c:v>
                </c:pt>
              </c:numCache>
            </c:numRef>
          </c:val>
        </c:ser>
        <c:ser>
          <c:idx val="1"/>
          <c:order val="1"/>
          <c:tx>
            <c:strRef>
              <c:f>SituationAnalysis!$D$589:$D$590</c:f>
              <c:strCache>
                <c:ptCount val="1"/>
                <c:pt idx="0">
                  <c:v>Not covered</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SituationAnalysis!$B$591:$B$593</c:f>
              <c:strCache>
                <c:ptCount val="2"/>
                <c:pt idx="0">
                  <c:v>GCA</c:v>
                </c:pt>
                <c:pt idx="1">
                  <c:v>NGCA</c:v>
                </c:pt>
              </c:strCache>
            </c:strRef>
          </c:cat>
          <c:val>
            <c:numRef>
              <c:f>SituationAnalysis!$D$591:$D$593</c:f>
              <c:numCache>
                <c:formatCode>0</c:formatCode>
                <c:ptCount val="2"/>
                <c:pt idx="0">
                  <c:v>10</c:v>
                </c:pt>
                <c:pt idx="1">
                  <c:v>1</c:v>
                </c:pt>
              </c:numCache>
            </c:numRef>
          </c:val>
        </c:ser>
        <c:dLbls>
          <c:showLegendKey val="0"/>
          <c:showVal val="1"/>
          <c:showCatName val="0"/>
          <c:showSerName val="0"/>
          <c:showPercent val="0"/>
          <c:showBubbleSize val="0"/>
        </c:dLbls>
        <c:gapWidth val="150"/>
        <c:shape val="box"/>
        <c:axId val="97868032"/>
        <c:axId val="97873920"/>
        <c:axId val="0"/>
      </c:bar3DChart>
      <c:catAx>
        <c:axId val="978680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873920"/>
        <c:crosses val="autoZero"/>
        <c:auto val="1"/>
        <c:lblAlgn val="ctr"/>
        <c:lblOffset val="100"/>
        <c:noMultiLvlLbl val="0"/>
      </c:catAx>
      <c:valAx>
        <c:axId val="978739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8680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2015.xlsx]SituationAnalysis!PivotTable14</c:name>
    <c:fmtId val="4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Location coverage</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SituationAnalysis!$C$610:$C$611</c:f>
              <c:strCache>
                <c:ptCount val="1"/>
                <c:pt idx="0">
                  <c:v>Covered</c:v>
                </c:pt>
              </c:strCache>
            </c:strRef>
          </c:tx>
          <c:spPr>
            <a:solidFill>
              <a:schemeClr val="accent1"/>
            </a:solidFill>
            <a:ln>
              <a:noFill/>
            </a:ln>
            <a:effectLst/>
            <a:sp3d/>
          </c:spPr>
          <c:invertIfNegative val="0"/>
          <c:cat>
            <c:strRef>
              <c:f>SituationAnalysis!$B$612:$B$622</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SituationAnalysis!$C$612:$C$622</c:f>
              <c:numCache>
                <c:formatCode>0</c:formatCode>
                <c:ptCount val="10"/>
                <c:pt idx="0">
                  <c:v>21</c:v>
                </c:pt>
                <c:pt idx="1">
                  <c:v>39</c:v>
                </c:pt>
                <c:pt idx="2">
                  <c:v>5</c:v>
                </c:pt>
                <c:pt idx="3">
                  <c:v>24</c:v>
                </c:pt>
                <c:pt idx="4">
                  <c:v>13</c:v>
                </c:pt>
                <c:pt idx="5">
                  <c:v>20</c:v>
                </c:pt>
                <c:pt idx="6">
                  <c:v>12</c:v>
                </c:pt>
                <c:pt idx="7">
                  <c:v>10</c:v>
                </c:pt>
                <c:pt idx="8">
                  <c:v>4</c:v>
                </c:pt>
                <c:pt idx="9">
                  <c:v>9</c:v>
                </c:pt>
              </c:numCache>
            </c:numRef>
          </c:val>
        </c:ser>
        <c:ser>
          <c:idx val="1"/>
          <c:order val="1"/>
          <c:tx>
            <c:strRef>
              <c:f>SituationAnalysis!$D$610:$D$611</c:f>
              <c:strCache>
                <c:ptCount val="1"/>
                <c:pt idx="0">
                  <c:v>Not covered</c:v>
                </c:pt>
              </c:strCache>
            </c:strRef>
          </c:tx>
          <c:spPr>
            <a:solidFill>
              <a:schemeClr val="accent2"/>
            </a:solidFill>
            <a:ln>
              <a:noFill/>
            </a:ln>
            <a:effectLst/>
            <a:sp3d/>
          </c:spPr>
          <c:invertIfNegative val="0"/>
          <c:cat>
            <c:strRef>
              <c:f>SituationAnalysis!$B$612:$B$622</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SituationAnalysis!$D$612:$D$622</c:f>
              <c:numCache>
                <c:formatCode>0</c:formatCode>
                <c:ptCount val="10"/>
                <c:pt idx="0">
                  <c:v>1</c:v>
                </c:pt>
                <c:pt idx="1">
                  <c:v>1</c:v>
                </c:pt>
                <c:pt idx="3">
                  <c:v>7</c:v>
                </c:pt>
                <c:pt idx="9">
                  <c:v>2</c:v>
                </c:pt>
              </c:numCache>
            </c:numRef>
          </c:val>
        </c:ser>
        <c:dLbls>
          <c:showLegendKey val="0"/>
          <c:showVal val="0"/>
          <c:showCatName val="0"/>
          <c:showSerName val="0"/>
          <c:showPercent val="0"/>
          <c:showBubbleSize val="0"/>
        </c:dLbls>
        <c:gapWidth val="150"/>
        <c:shape val="box"/>
        <c:axId val="97896320"/>
        <c:axId val="97897856"/>
        <c:axId val="0"/>
      </c:bar3DChart>
      <c:catAx>
        <c:axId val="978963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897856"/>
        <c:crosses val="autoZero"/>
        <c:auto val="1"/>
        <c:lblAlgn val="ctr"/>
        <c:lblOffset val="100"/>
        <c:noMultiLvlLbl val="0"/>
      </c:catAx>
      <c:valAx>
        <c:axId val="97897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896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2015.xlsx]SituationAnalysis!PivotTable17</c:name>
    <c:fmtId val="4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Population covered</a:t>
            </a:r>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SituationAnalysis!$C$630:$C$631</c:f>
              <c:strCache>
                <c:ptCount val="1"/>
                <c:pt idx="0">
                  <c:v>Covered</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SituationAnalysis!$B$632:$B$634</c:f>
              <c:strCache>
                <c:ptCount val="2"/>
                <c:pt idx="0">
                  <c:v>GCA</c:v>
                </c:pt>
                <c:pt idx="1">
                  <c:v>NGCA</c:v>
                </c:pt>
              </c:strCache>
            </c:strRef>
          </c:cat>
          <c:val>
            <c:numRef>
              <c:f>SituationAnalysis!$C$632:$C$634</c:f>
              <c:numCache>
                <c:formatCode>0</c:formatCode>
                <c:ptCount val="2"/>
                <c:pt idx="0">
                  <c:v>46188</c:v>
                </c:pt>
                <c:pt idx="1">
                  <c:v>38728</c:v>
                </c:pt>
              </c:numCache>
            </c:numRef>
          </c:val>
        </c:ser>
        <c:ser>
          <c:idx val="1"/>
          <c:order val="1"/>
          <c:tx>
            <c:strRef>
              <c:f>SituationAnalysis!$D$630:$D$631</c:f>
              <c:strCache>
                <c:ptCount val="1"/>
                <c:pt idx="0">
                  <c:v>Not covered</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SituationAnalysis!$B$632:$B$634</c:f>
              <c:strCache>
                <c:ptCount val="2"/>
                <c:pt idx="0">
                  <c:v>GCA</c:v>
                </c:pt>
                <c:pt idx="1">
                  <c:v>NGCA</c:v>
                </c:pt>
              </c:strCache>
            </c:strRef>
          </c:cat>
          <c:val>
            <c:numRef>
              <c:f>SituationAnalysis!$D$632:$D$634</c:f>
              <c:numCache>
                <c:formatCode>0</c:formatCode>
                <c:ptCount val="2"/>
                <c:pt idx="0">
                  <c:v>1106</c:v>
                </c:pt>
                <c:pt idx="1">
                  <c:v>1691</c:v>
                </c:pt>
              </c:numCache>
            </c:numRef>
          </c:val>
        </c:ser>
        <c:dLbls>
          <c:showLegendKey val="0"/>
          <c:showVal val="1"/>
          <c:showCatName val="0"/>
          <c:showSerName val="0"/>
          <c:showPercent val="0"/>
          <c:showBubbleSize val="0"/>
        </c:dLbls>
        <c:gapWidth val="150"/>
        <c:shape val="box"/>
        <c:axId val="105823232"/>
        <c:axId val="105825024"/>
        <c:axId val="0"/>
      </c:bar3DChart>
      <c:catAx>
        <c:axId val="1058232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825024"/>
        <c:crosses val="autoZero"/>
        <c:auto val="1"/>
        <c:lblAlgn val="ctr"/>
        <c:lblOffset val="100"/>
        <c:noMultiLvlLbl val="0"/>
      </c:catAx>
      <c:valAx>
        <c:axId val="105825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823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2015.xlsx]SituationAnalysis!PivotTable22</c:name>
    <c:fmtId val="4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Population coverage</a:t>
            </a:r>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SituationAnalysis!$C$646:$C$647</c:f>
              <c:strCache>
                <c:ptCount val="1"/>
                <c:pt idx="0">
                  <c:v>Covered</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SituationAnalysis!$B$648:$B$667</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SituationAnalysis!$C$648:$C$667</c:f>
              <c:numCache>
                <c:formatCode>0</c:formatCode>
                <c:ptCount val="19"/>
                <c:pt idx="0">
                  <c:v>8221</c:v>
                </c:pt>
                <c:pt idx="1">
                  <c:v>2561</c:v>
                </c:pt>
                <c:pt idx="2">
                  <c:v>3436</c:v>
                </c:pt>
                <c:pt idx="4">
                  <c:v>2712</c:v>
                </c:pt>
                <c:pt idx="5">
                  <c:v>35</c:v>
                </c:pt>
                <c:pt idx="6">
                  <c:v>10646</c:v>
                </c:pt>
                <c:pt idx="7">
                  <c:v>790</c:v>
                </c:pt>
                <c:pt idx="8">
                  <c:v>164</c:v>
                </c:pt>
                <c:pt idx="9">
                  <c:v>155</c:v>
                </c:pt>
                <c:pt idx="10">
                  <c:v>21830</c:v>
                </c:pt>
                <c:pt idx="11">
                  <c:v>506</c:v>
                </c:pt>
                <c:pt idx="12">
                  <c:v>6226</c:v>
                </c:pt>
                <c:pt idx="13">
                  <c:v>1735</c:v>
                </c:pt>
                <c:pt idx="14">
                  <c:v>52</c:v>
                </c:pt>
                <c:pt idx="15">
                  <c:v>221</c:v>
                </c:pt>
                <c:pt idx="16">
                  <c:v>453</c:v>
                </c:pt>
                <c:pt idx="17">
                  <c:v>24559</c:v>
                </c:pt>
                <c:pt idx="18">
                  <c:v>614</c:v>
                </c:pt>
              </c:numCache>
            </c:numRef>
          </c:val>
        </c:ser>
        <c:ser>
          <c:idx val="1"/>
          <c:order val="1"/>
          <c:tx>
            <c:strRef>
              <c:f>SituationAnalysis!$D$646:$D$647</c:f>
              <c:strCache>
                <c:ptCount val="1"/>
                <c:pt idx="0">
                  <c:v>Not covered</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SituationAnalysis!$B$648:$B$667</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SituationAnalysis!$D$648:$D$667</c:f>
              <c:numCache>
                <c:formatCode>0</c:formatCode>
                <c:ptCount val="19"/>
                <c:pt idx="2">
                  <c:v>224</c:v>
                </c:pt>
                <c:pt idx="3">
                  <c:v>17</c:v>
                </c:pt>
                <c:pt idx="6">
                  <c:v>499</c:v>
                </c:pt>
                <c:pt idx="10">
                  <c:v>262</c:v>
                </c:pt>
                <c:pt idx="12">
                  <c:v>1691</c:v>
                </c:pt>
                <c:pt idx="15">
                  <c:v>64</c:v>
                </c:pt>
                <c:pt idx="16">
                  <c:v>40</c:v>
                </c:pt>
              </c:numCache>
            </c:numRef>
          </c:val>
        </c:ser>
        <c:dLbls>
          <c:showLegendKey val="0"/>
          <c:showVal val="1"/>
          <c:showCatName val="0"/>
          <c:showSerName val="0"/>
          <c:showPercent val="0"/>
          <c:showBubbleSize val="0"/>
        </c:dLbls>
        <c:gapWidth val="150"/>
        <c:shape val="box"/>
        <c:axId val="105963904"/>
        <c:axId val="105965440"/>
        <c:axId val="0"/>
      </c:bar3DChart>
      <c:catAx>
        <c:axId val="10596390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965440"/>
        <c:crosses val="autoZero"/>
        <c:auto val="1"/>
        <c:lblAlgn val="ctr"/>
        <c:lblOffset val="100"/>
        <c:noMultiLvlLbl val="0"/>
      </c:catAx>
      <c:valAx>
        <c:axId val="105965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596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2015.xlsx]SituationAnalysis!PivotTable28</c:name>
    <c:fmtId val="4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Location documented</a:t>
            </a:r>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SituationAnalysis!$C$681:$C$682</c:f>
              <c:strCache>
                <c:ptCount val="1"/>
                <c:pt idx="0">
                  <c:v>Documented</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SituationAnalysis!$B$683:$B$685</c:f>
              <c:strCache>
                <c:ptCount val="2"/>
                <c:pt idx="0">
                  <c:v>GCA</c:v>
                </c:pt>
                <c:pt idx="1">
                  <c:v>NGCA</c:v>
                </c:pt>
              </c:strCache>
            </c:strRef>
          </c:cat>
          <c:val>
            <c:numRef>
              <c:f>SituationAnalysis!$C$683:$C$685</c:f>
              <c:numCache>
                <c:formatCode>0</c:formatCode>
                <c:ptCount val="2"/>
                <c:pt idx="0">
                  <c:v>135</c:v>
                </c:pt>
                <c:pt idx="1">
                  <c:v>30</c:v>
                </c:pt>
              </c:numCache>
            </c:numRef>
          </c:val>
        </c:ser>
        <c:ser>
          <c:idx val="1"/>
          <c:order val="1"/>
          <c:tx>
            <c:strRef>
              <c:f>SituationAnalysis!$D$681:$D$682</c:f>
              <c:strCache>
                <c:ptCount val="1"/>
                <c:pt idx="0">
                  <c:v>Not documented</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SituationAnalysis!$B$683:$B$685</c:f>
              <c:strCache>
                <c:ptCount val="2"/>
                <c:pt idx="0">
                  <c:v>GCA</c:v>
                </c:pt>
                <c:pt idx="1">
                  <c:v>NGCA</c:v>
                </c:pt>
              </c:strCache>
            </c:strRef>
          </c:cat>
          <c:val>
            <c:numRef>
              <c:f>SituationAnalysis!$D$683:$D$685</c:f>
              <c:numCache>
                <c:formatCode>0</c:formatCode>
                <c:ptCount val="2"/>
                <c:pt idx="0">
                  <c:v>9</c:v>
                </c:pt>
                <c:pt idx="1">
                  <c:v>1</c:v>
                </c:pt>
              </c:numCache>
            </c:numRef>
          </c:val>
        </c:ser>
        <c:dLbls>
          <c:showLegendKey val="0"/>
          <c:showVal val="1"/>
          <c:showCatName val="0"/>
          <c:showSerName val="0"/>
          <c:showPercent val="0"/>
          <c:showBubbleSize val="0"/>
        </c:dLbls>
        <c:gapWidth val="150"/>
        <c:shape val="box"/>
        <c:axId val="106010112"/>
        <c:axId val="106011648"/>
        <c:axId val="0"/>
      </c:bar3DChart>
      <c:catAx>
        <c:axId val="10601011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11648"/>
        <c:crosses val="autoZero"/>
        <c:auto val="1"/>
        <c:lblAlgn val="ctr"/>
        <c:lblOffset val="100"/>
        <c:noMultiLvlLbl val="0"/>
      </c:catAx>
      <c:valAx>
        <c:axId val="106011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101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2015.xlsx]SituationAnalysis!PivotTable29</c:name>
    <c:fmtId val="5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Location documented</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SituationAnalysis!$C$698:$C$699</c:f>
              <c:strCache>
                <c:ptCount val="1"/>
                <c:pt idx="0">
                  <c:v>Documented</c:v>
                </c:pt>
              </c:strCache>
            </c:strRef>
          </c:tx>
          <c:spPr>
            <a:solidFill>
              <a:schemeClr val="accent1"/>
            </a:solidFill>
            <a:ln>
              <a:noFill/>
            </a:ln>
            <a:effectLst/>
            <a:sp3d/>
          </c:spPr>
          <c:invertIfNegative val="0"/>
          <c:cat>
            <c:strRef>
              <c:f>SituationAnalysis!$B$700:$B$710</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SituationAnalysis!$C$700:$C$710</c:f>
              <c:numCache>
                <c:formatCode>0</c:formatCode>
                <c:ptCount val="10"/>
                <c:pt idx="0">
                  <c:v>22</c:v>
                </c:pt>
                <c:pt idx="1">
                  <c:v>39</c:v>
                </c:pt>
                <c:pt idx="2">
                  <c:v>5</c:v>
                </c:pt>
                <c:pt idx="3">
                  <c:v>24</c:v>
                </c:pt>
                <c:pt idx="4">
                  <c:v>15</c:v>
                </c:pt>
                <c:pt idx="5">
                  <c:v>24</c:v>
                </c:pt>
                <c:pt idx="6">
                  <c:v>12</c:v>
                </c:pt>
                <c:pt idx="7">
                  <c:v>9</c:v>
                </c:pt>
                <c:pt idx="8">
                  <c:v>4</c:v>
                </c:pt>
                <c:pt idx="9">
                  <c:v>11</c:v>
                </c:pt>
              </c:numCache>
            </c:numRef>
          </c:val>
        </c:ser>
        <c:ser>
          <c:idx val="1"/>
          <c:order val="1"/>
          <c:tx>
            <c:strRef>
              <c:f>SituationAnalysis!$D$698:$D$699</c:f>
              <c:strCache>
                <c:ptCount val="1"/>
                <c:pt idx="0">
                  <c:v>Not documented</c:v>
                </c:pt>
              </c:strCache>
            </c:strRef>
          </c:tx>
          <c:spPr>
            <a:solidFill>
              <a:schemeClr val="accent2"/>
            </a:solidFill>
            <a:ln>
              <a:noFill/>
            </a:ln>
            <a:effectLst/>
            <a:sp3d/>
          </c:spPr>
          <c:invertIfNegative val="0"/>
          <c:cat>
            <c:strRef>
              <c:f>SituationAnalysis!$B$700:$B$710</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SituationAnalysis!$D$700:$D$710</c:f>
              <c:numCache>
                <c:formatCode>0</c:formatCode>
                <c:ptCount val="10"/>
                <c:pt idx="1">
                  <c:v>1</c:v>
                </c:pt>
                <c:pt idx="3">
                  <c:v>7</c:v>
                </c:pt>
                <c:pt idx="7">
                  <c:v>1</c:v>
                </c:pt>
                <c:pt idx="9">
                  <c:v>1</c:v>
                </c:pt>
              </c:numCache>
            </c:numRef>
          </c:val>
        </c:ser>
        <c:dLbls>
          <c:showLegendKey val="0"/>
          <c:showVal val="0"/>
          <c:showCatName val="0"/>
          <c:showSerName val="0"/>
          <c:showPercent val="0"/>
          <c:showBubbleSize val="0"/>
        </c:dLbls>
        <c:gapWidth val="150"/>
        <c:shape val="box"/>
        <c:axId val="106075264"/>
        <c:axId val="106076800"/>
        <c:axId val="0"/>
      </c:bar3DChart>
      <c:catAx>
        <c:axId val="1060752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76800"/>
        <c:crosses val="autoZero"/>
        <c:auto val="1"/>
        <c:lblAlgn val="ctr"/>
        <c:lblOffset val="100"/>
        <c:noMultiLvlLbl val="0"/>
      </c:catAx>
      <c:valAx>
        <c:axId val="106076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075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2015.xlsx]SituationAnalysis!PivotTable31</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Ranking Water Coverage</a:t>
            </a:r>
          </a:p>
        </c:rich>
      </c:tx>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2"/>
          </a:solidFill>
          <a:ln w="25400">
            <a:solidFill>
              <a:schemeClr val="lt1"/>
            </a:solidFill>
          </a:ln>
          <a:effectLst/>
          <a:sp3d contourW="25400">
            <a:contourClr>
              <a:schemeClr val="lt1"/>
            </a:contourClr>
          </a:sp3d>
        </c:spPr>
      </c:pivotFmt>
      <c:pivotFmt>
        <c:idx val="3"/>
        <c:spPr>
          <a:solidFill>
            <a:schemeClr val="accent3"/>
          </a:solidFill>
          <a:ln w="25400">
            <a:solidFill>
              <a:schemeClr val="lt1"/>
            </a:solidFill>
          </a:ln>
          <a:effectLst/>
          <a:sp3d contourW="25400">
            <a:contourClr>
              <a:schemeClr val="lt1"/>
            </a:contourClr>
          </a:sp3d>
        </c:spPr>
      </c:pivotFmt>
      <c:pivotFmt>
        <c:idx val="4"/>
        <c:spPr>
          <a:solidFill>
            <a:schemeClr val="accent4"/>
          </a:solidFill>
          <a:ln w="25400">
            <a:solidFill>
              <a:schemeClr val="lt1"/>
            </a:solidFill>
          </a:ln>
          <a:effectLst/>
          <a:sp3d contourW="25400">
            <a:contourClr>
              <a:schemeClr val="lt1"/>
            </a:contourClr>
          </a:sp3d>
        </c:spPr>
      </c:pivotFmt>
      <c:pivotFmt>
        <c:idx val="5"/>
        <c:spPr>
          <a:solidFill>
            <a:schemeClr val="accent5"/>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SituationAnalysis!$C$161</c:f>
              <c:strCache>
                <c:ptCount val="1"/>
                <c:pt idx="0">
                  <c:v>Total</c:v>
                </c:pt>
              </c:strCache>
            </c:strRef>
          </c:tx>
          <c:explosion val="32"/>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dLbls>
          <c:cat>
            <c:strRef>
              <c:f>SituationAnalysis!$B$162:$B$167</c:f>
              <c:strCache>
                <c:ptCount val="5"/>
                <c:pt idx="0">
                  <c:v>0-10%</c:v>
                </c:pt>
                <c:pt idx="1">
                  <c:v>15-30%</c:v>
                </c:pt>
                <c:pt idx="2">
                  <c:v>45-60%</c:v>
                </c:pt>
                <c:pt idx="3">
                  <c:v>60-80%</c:v>
                </c:pt>
                <c:pt idx="4">
                  <c:v>80-100%</c:v>
                </c:pt>
              </c:strCache>
            </c:strRef>
          </c:cat>
          <c:val>
            <c:numRef>
              <c:f>SituationAnalysis!$C$162:$C$167</c:f>
              <c:numCache>
                <c:formatCode>0</c:formatCode>
                <c:ptCount val="5"/>
                <c:pt idx="0">
                  <c:v>13</c:v>
                </c:pt>
                <c:pt idx="1">
                  <c:v>1</c:v>
                </c:pt>
                <c:pt idx="2">
                  <c:v>1</c:v>
                </c:pt>
                <c:pt idx="3">
                  <c:v>1</c:v>
                </c:pt>
                <c:pt idx="4">
                  <c:v>159</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layout>
        <c:manualLayout>
          <c:xMode val="edge"/>
          <c:yMode val="edge"/>
          <c:x val="0.79044488077713537"/>
          <c:y val="0.26062372411781859"/>
          <c:w val="0.19733338423049743"/>
          <c:h val="0.4560207057451152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2015.xlsx]SituationAnalysis!PivotTable16</c:name>
    <c:fmtId val="16"/>
  </c:pivotSource>
  <c:chart>
    <c:title>
      <c:tx>
        <c:rich>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latin typeface="+mn-lt"/>
                <a:ea typeface="+mn-ea"/>
                <a:cs typeface="+mn-cs"/>
              </a:rPr>
              <a:t>Number of latrine missing</a:t>
            </a:r>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3"/>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5"/>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6"/>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lumMod val="60000"/>
            </a:schemeClr>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lumMod val="60000"/>
            </a:schemeClr>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3">
              <a:lumMod val="60000"/>
            </a:schemeClr>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4">
              <a:lumMod val="60000"/>
            </a:schemeClr>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SituationAnalysis!$C$221:$C$222</c:f>
              <c:strCache>
                <c:ptCount val="1"/>
                <c:pt idx="0">
                  <c:v>Cluster 1</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SituationAnalysis!$C$223:$C$225</c:f>
              <c:numCache>
                <c:formatCode>0</c:formatCode>
                <c:ptCount val="2"/>
                <c:pt idx="0">
                  <c:v>48.7</c:v>
                </c:pt>
              </c:numCache>
            </c:numRef>
          </c:val>
        </c:ser>
        <c:ser>
          <c:idx val="1"/>
          <c:order val="1"/>
          <c:tx>
            <c:strRef>
              <c:f>SituationAnalysis!$D$221:$D$222</c:f>
              <c:strCache>
                <c:ptCount val="1"/>
                <c:pt idx="0">
                  <c:v>Cluster 10</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SituationAnalysis!$D$223:$D$225</c:f>
              <c:numCache>
                <c:formatCode>0</c:formatCode>
                <c:ptCount val="2"/>
                <c:pt idx="0">
                  <c:v>52.250000000000007</c:v>
                </c:pt>
                <c:pt idx="1">
                  <c:v>43.65</c:v>
                </c:pt>
              </c:numCache>
            </c:numRef>
          </c:val>
        </c:ser>
        <c:ser>
          <c:idx val="2"/>
          <c:order val="2"/>
          <c:tx>
            <c:strRef>
              <c:f>SituationAnalysis!$E$221:$E$222</c:f>
              <c:strCache>
                <c:ptCount val="1"/>
                <c:pt idx="0">
                  <c:v>Cluster 2</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SituationAnalysis!$E$223:$E$225</c:f>
              <c:numCache>
                <c:formatCode>0</c:formatCode>
                <c:ptCount val="2"/>
                <c:pt idx="0">
                  <c:v>124.05000000000001</c:v>
                </c:pt>
                <c:pt idx="1">
                  <c:v>84.55</c:v>
                </c:pt>
              </c:numCache>
            </c:numRef>
          </c:val>
        </c:ser>
        <c:ser>
          <c:idx val="3"/>
          <c:order val="3"/>
          <c:tx>
            <c:strRef>
              <c:f>SituationAnalysis!$F$221:$F$222</c:f>
              <c:strCache>
                <c:ptCount val="1"/>
                <c:pt idx="0">
                  <c:v>Cluster 3</c:v>
                </c:pt>
              </c:strCache>
            </c:strRef>
          </c:tx>
          <c:spPr>
            <a:solidFill>
              <a:schemeClr val="accent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SituationAnalysis!$F$223:$F$225</c:f>
              <c:numCache>
                <c:formatCode>0</c:formatCode>
                <c:ptCount val="2"/>
                <c:pt idx="0">
                  <c:v>0.20000000000000018</c:v>
                </c:pt>
              </c:numCache>
            </c:numRef>
          </c:val>
        </c:ser>
        <c:ser>
          <c:idx val="4"/>
          <c:order val="4"/>
          <c:tx>
            <c:strRef>
              <c:f>SituationAnalysis!$G$221:$G$222</c:f>
              <c:strCache>
                <c:ptCount val="1"/>
                <c:pt idx="0">
                  <c:v>Cluster 4</c:v>
                </c:pt>
              </c:strCache>
            </c:strRef>
          </c:tx>
          <c:spPr>
            <a:solidFill>
              <a:schemeClr val="accent5"/>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SituationAnalysis!$G$223:$G$225</c:f>
              <c:numCache>
                <c:formatCode>0</c:formatCode>
                <c:ptCount val="2"/>
                <c:pt idx="0">
                  <c:v>413.79999999999995</c:v>
                </c:pt>
              </c:numCache>
            </c:numRef>
          </c:val>
        </c:ser>
        <c:ser>
          <c:idx val="5"/>
          <c:order val="5"/>
          <c:tx>
            <c:strRef>
              <c:f>SituationAnalysis!$H$221:$H$222</c:f>
              <c:strCache>
                <c:ptCount val="1"/>
                <c:pt idx="0">
                  <c:v>Cluster 5</c:v>
                </c:pt>
              </c:strCache>
            </c:strRef>
          </c:tx>
          <c:spPr>
            <a:solidFill>
              <a:schemeClr val="accent6"/>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SituationAnalysis!$H$223:$H$225</c:f>
              <c:numCache>
                <c:formatCode>0</c:formatCode>
                <c:ptCount val="2"/>
                <c:pt idx="1">
                  <c:v>592.04999999999995</c:v>
                </c:pt>
              </c:numCache>
            </c:numRef>
          </c:val>
        </c:ser>
        <c:ser>
          <c:idx val="6"/>
          <c:order val="6"/>
          <c:tx>
            <c:strRef>
              <c:f>SituationAnalysis!$I$221:$I$222</c:f>
              <c:strCache>
                <c:ptCount val="1"/>
                <c:pt idx="0">
                  <c:v>Cluster 6</c:v>
                </c:pt>
              </c:strCache>
            </c:strRef>
          </c:tx>
          <c:spPr>
            <a:solidFill>
              <a:schemeClr val="accent1">
                <a:lumMod val="6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SituationAnalysis!$I$223:$I$225</c:f>
              <c:numCache>
                <c:formatCode>0</c:formatCode>
                <c:ptCount val="2"/>
                <c:pt idx="0">
                  <c:v>85.149999999999991</c:v>
                </c:pt>
                <c:pt idx="1">
                  <c:v>189.85000000000005</c:v>
                </c:pt>
              </c:numCache>
            </c:numRef>
          </c:val>
        </c:ser>
        <c:ser>
          <c:idx val="7"/>
          <c:order val="7"/>
          <c:tx>
            <c:strRef>
              <c:f>SituationAnalysis!$J$221:$J$222</c:f>
              <c:strCache>
                <c:ptCount val="1"/>
                <c:pt idx="0">
                  <c:v>Cluster 7</c:v>
                </c:pt>
              </c:strCache>
            </c:strRef>
          </c:tx>
          <c:spPr>
            <a:solidFill>
              <a:schemeClr val="accent2">
                <a:lumMod val="6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SituationAnalysis!$J$223:$J$225</c:f>
              <c:numCache>
                <c:formatCode>0</c:formatCode>
                <c:ptCount val="2"/>
                <c:pt idx="0">
                  <c:v>257.7</c:v>
                </c:pt>
              </c:numCache>
            </c:numRef>
          </c:val>
        </c:ser>
        <c:ser>
          <c:idx val="8"/>
          <c:order val="8"/>
          <c:tx>
            <c:strRef>
              <c:f>SituationAnalysis!$K$221:$K$222</c:f>
              <c:strCache>
                <c:ptCount val="1"/>
                <c:pt idx="0">
                  <c:v>Cluster 8</c:v>
                </c:pt>
              </c:strCache>
            </c:strRef>
          </c:tx>
          <c:spPr>
            <a:solidFill>
              <a:schemeClr val="accent3">
                <a:lumMod val="6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SituationAnalysis!$K$223:$K$225</c:f>
              <c:numCache>
                <c:formatCode>0</c:formatCode>
                <c:ptCount val="2"/>
                <c:pt idx="0">
                  <c:v>141.70000000000002</c:v>
                </c:pt>
              </c:numCache>
            </c:numRef>
          </c:val>
        </c:ser>
        <c:ser>
          <c:idx val="9"/>
          <c:order val="9"/>
          <c:tx>
            <c:strRef>
              <c:f>SituationAnalysis!$L$221:$L$222</c:f>
              <c:strCache>
                <c:ptCount val="1"/>
                <c:pt idx="0">
                  <c:v>Cluster 9</c:v>
                </c:pt>
              </c:strCache>
            </c:strRef>
          </c:tx>
          <c:spPr>
            <a:solidFill>
              <a:schemeClr val="accent4">
                <a:lumMod val="60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SituationAnalysis!$B$223:$B$225</c:f>
              <c:strCache>
                <c:ptCount val="2"/>
                <c:pt idx="0">
                  <c:v>GCA</c:v>
                </c:pt>
                <c:pt idx="1">
                  <c:v>NGCA</c:v>
                </c:pt>
              </c:strCache>
            </c:strRef>
          </c:cat>
          <c:val>
            <c:numRef>
              <c:f>SituationAnalysis!$L$223:$L$225</c:f>
              <c:numCache>
                <c:formatCode>0</c:formatCode>
                <c:ptCount val="2"/>
                <c:pt idx="0">
                  <c:v>17.799999999999997</c:v>
                </c:pt>
                <c:pt idx="1">
                  <c:v>22.3</c:v>
                </c:pt>
              </c:numCache>
            </c:numRef>
          </c:val>
        </c:ser>
        <c:dLbls>
          <c:showLegendKey val="0"/>
          <c:showVal val="1"/>
          <c:showCatName val="0"/>
          <c:showSerName val="0"/>
          <c:showPercent val="0"/>
          <c:showBubbleSize val="0"/>
        </c:dLbls>
        <c:gapWidth val="150"/>
        <c:shape val="box"/>
        <c:axId val="106354560"/>
        <c:axId val="106356096"/>
        <c:axId val="0"/>
      </c:bar3DChart>
      <c:catAx>
        <c:axId val="10635456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356096"/>
        <c:crosses val="autoZero"/>
        <c:auto val="1"/>
        <c:lblAlgn val="ctr"/>
        <c:lblOffset val="100"/>
        <c:noMultiLvlLbl val="0"/>
      </c:catAx>
      <c:valAx>
        <c:axId val="106356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354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2015.xlsx]SituationAnalysis!PivotTable10</c:name>
    <c:fmtId val="4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 of Bathroom</a:t>
            </a:r>
            <a:r>
              <a:rPr lang="en-US" b="1" baseline="0"/>
              <a:t> coverage end of project</a:t>
            </a:r>
            <a:endParaRPr lang="en-US" b="1"/>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SituationAnalysis!$C$334</c:f>
              <c:strCache>
                <c:ptCount val="1"/>
                <c:pt idx="0">
                  <c:v>% Bathroom need coverage</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SituationAnalysis!$B$335:$B$337</c:f>
              <c:strCache>
                <c:ptCount val="2"/>
                <c:pt idx="0">
                  <c:v>GCA</c:v>
                </c:pt>
                <c:pt idx="1">
                  <c:v>NGCA</c:v>
                </c:pt>
              </c:strCache>
            </c:strRef>
          </c:cat>
          <c:val>
            <c:numRef>
              <c:f>SituationAnalysis!$C$335:$C$337</c:f>
              <c:numCache>
                <c:formatCode>0%</c:formatCode>
                <c:ptCount val="2"/>
                <c:pt idx="0">
                  <c:v>0.54520658011587098</c:v>
                </c:pt>
                <c:pt idx="1">
                  <c:v>0.368044731438185</c:v>
                </c:pt>
              </c:numCache>
            </c:numRef>
          </c:val>
        </c:ser>
        <c:ser>
          <c:idx val="1"/>
          <c:order val="1"/>
          <c:tx>
            <c:strRef>
              <c:f>SituationAnalysis!$D$334</c:f>
              <c:strCache>
                <c:ptCount val="1"/>
                <c:pt idx="0">
                  <c:v>% Projection Bathrrom coverage EOP</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SituationAnalysis!$B$335:$B$337</c:f>
              <c:strCache>
                <c:ptCount val="2"/>
                <c:pt idx="0">
                  <c:v>GCA</c:v>
                </c:pt>
                <c:pt idx="1">
                  <c:v>NGCA</c:v>
                </c:pt>
              </c:strCache>
            </c:strRef>
          </c:cat>
          <c:val>
            <c:numRef>
              <c:f>SituationAnalysis!$D$335:$D$337</c:f>
              <c:numCache>
                <c:formatCode>0%</c:formatCode>
                <c:ptCount val="2"/>
                <c:pt idx="0">
                  <c:v>1.6285363893940128E-3</c:v>
                </c:pt>
                <c:pt idx="1">
                  <c:v>2.4152007719141734E-3</c:v>
                </c:pt>
              </c:numCache>
            </c:numRef>
          </c:val>
        </c:ser>
        <c:dLbls>
          <c:showLegendKey val="0"/>
          <c:showVal val="1"/>
          <c:showCatName val="0"/>
          <c:showSerName val="0"/>
          <c:showPercent val="0"/>
          <c:showBubbleSize val="0"/>
        </c:dLbls>
        <c:gapWidth val="150"/>
        <c:shape val="box"/>
        <c:axId val="107518976"/>
        <c:axId val="107528960"/>
        <c:axId val="0"/>
      </c:bar3DChart>
      <c:catAx>
        <c:axId val="107518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28960"/>
        <c:crosses val="autoZero"/>
        <c:auto val="1"/>
        <c:lblAlgn val="ctr"/>
        <c:lblOffset val="100"/>
        <c:noMultiLvlLbl val="0"/>
      </c:catAx>
      <c:valAx>
        <c:axId val="107528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51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2015.xlsx]SituationAnalysis!PivotTable30</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Needs coverage</a:t>
            </a:r>
          </a:p>
        </c:rich>
      </c:tx>
      <c:overlay val="0"/>
      <c:spPr>
        <a:noFill/>
        <a:ln>
          <a:noFill/>
        </a:ln>
        <a:effectLst/>
      </c:spPr>
    </c:title>
    <c:autoTitleDeleted val="0"/>
    <c:pivotFmts>
      <c:pivotFmt>
        <c:idx val="0"/>
        <c:spPr>
          <a:solidFill>
            <a:schemeClr val="accent1"/>
          </a:solidFill>
          <a:ln>
            <a:noFill/>
          </a:ln>
          <a:effectLst/>
        </c:spPr>
        <c:marker>
          <c:symbol val="none"/>
        </c:marker>
      </c:pivotFmt>
      <c:pivotFmt>
        <c:idx val="1"/>
        <c:spPr>
          <a:solidFill>
            <a:schemeClr val="accent2"/>
          </a:solidFill>
          <a:ln>
            <a:noFill/>
          </a:ln>
          <a:effectLst/>
        </c:spPr>
        <c:marker>
          <c:symbol val="none"/>
        </c:marker>
      </c:pivotFmt>
      <c:pivotFmt>
        <c:idx val="2"/>
        <c:spPr>
          <a:solidFill>
            <a:schemeClr val="accent3"/>
          </a:solidFill>
          <a:ln>
            <a:noFill/>
          </a:ln>
          <a:effectLst/>
        </c:spPr>
        <c:marker>
          <c:symbol val="none"/>
        </c:marker>
      </c:pivotFmt>
    </c:pivotFmts>
    <c:plotArea>
      <c:layout/>
      <c:barChart>
        <c:barDir val="col"/>
        <c:grouping val="clustered"/>
        <c:varyColors val="0"/>
        <c:ser>
          <c:idx val="0"/>
          <c:order val="0"/>
          <c:tx>
            <c:strRef>
              <c:f>SituationAnalysis!$AA$83</c:f>
              <c:strCache>
                <c:ptCount val="1"/>
                <c:pt idx="0">
                  <c:v>% Water Need coverage</c:v>
                </c:pt>
              </c:strCache>
            </c:strRef>
          </c:tx>
          <c:spPr>
            <a:solidFill>
              <a:schemeClr val="accent1"/>
            </a:solidFill>
            <a:ln>
              <a:noFill/>
            </a:ln>
            <a:effectLst/>
          </c:spPr>
          <c:invertIfNegative val="0"/>
          <c:cat>
            <c:strRef>
              <c:f>SituationAnalysis!$Z$84:$Z$237</c:f>
              <c:strCache>
                <c:ptCount val="153"/>
                <c:pt idx="0">
                  <c:v>5 Ward Baptist Church(lon Khin)</c:v>
                </c:pt>
                <c:pt idx="1">
                  <c:v>5 Ward RC Church(lon Khin)</c:v>
                </c:pt>
                <c:pt idx="2">
                  <c:v>AD-2000 Extension camp</c:v>
                </c:pt>
                <c:pt idx="3">
                  <c:v>AD-2000 Tharthana Compound*</c:v>
                </c:pt>
                <c:pt idx="4">
                  <c:v>AG Church, Hmaw Si Sa</c:v>
                </c:pt>
                <c:pt idx="5">
                  <c:v>AG Church, Maw Wan</c:v>
                </c:pt>
                <c:pt idx="6">
                  <c:v>Agritural Compound (KBC)</c:v>
                </c:pt>
                <c:pt idx="7">
                  <c:v>Aung Thar Church</c:v>
                </c:pt>
                <c:pt idx="8">
                  <c:v>Bang Lung</c:v>
                </c:pt>
                <c:pt idx="9">
                  <c:v>Baptist Church, Hmaw Si Sar(Lon Khin)</c:v>
                </c:pt>
                <c:pt idx="10">
                  <c:v>Baptist Church, Naung Hmee VT</c:v>
                </c:pt>
                <c:pt idx="11">
                  <c:v>Baptist Church, Sai Ra village</c:v>
                </c:pt>
                <c:pt idx="12">
                  <c:v>Border Post 8</c:v>
                </c:pt>
                <c:pt idx="13">
                  <c:v>Bum Tsit Pa * (1)</c:v>
                </c:pt>
                <c:pt idx="14">
                  <c:v>Bum Tsit Pa * (2)</c:v>
                </c:pt>
                <c:pt idx="15">
                  <c:v>Chin Church, Seik Mu</c:v>
                </c:pt>
                <c:pt idx="16">
                  <c:v>Chipwi KBC camp</c:v>
                </c:pt>
                <c:pt idx="17">
                  <c:v>Clutural Compound</c:v>
                </c:pt>
                <c:pt idx="18">
                  <c:v>Dhama Rakhita, Nyein Chan Tar Yar Ward(Lon Khin)</c:v>
                </c:pt>
                <c:pt idx="19">
                  <c:v>Du Kahtawng Qtr. 14</c:v>
                </c:pt>
                <c:pt idx="20">
                  <c:v>Du Kahtawng Qtr. 4</c:v>
                </c:pt>
                <c:pt idx="21">
                  <c:v>Du Kahtawng Qtr. 5</c:v>
                </c:pt>
                <c:pt idx="22">
                  <c:v>Dum Bung </c:v>
                </c:pt>
                <c:pt idx="23">
                  <c:v>Hkat Cho </c:v>
                </c:pt>
                <c:pt idx="24">
                  <c:v>Hkau Shau (BP 12)</c:v>
                </c:pt>
                <c:pt idx="25">
                  <c:v>Hlaing Naung Baptist</c:v>
                </c:pt>
                <c:pt idx="26">
                  <c:v>Hmaw Wan, Anglican</c:v>
                </c:pt>
                <c:pt idx="27">
                  <c:v>Hpakant Baptist Church, Nam Ma Hpit</c:v>
                </c:pt>
                <c:pt idx="28">
                  <c:v>Hpare Hkyer - BP6</c:v>
                </c:pt>
                <c:pt idx="29">
                  <c:v>Hpun Lum Yang </c:v>
                </c:pt>
                <c:pt idx="30">
                  <c:v>Htoi San Church*</c:v>
                </c:pt>
                <c:pt idx="31">
                  <c:v>Jan Mai Kawng Baptist Church</c:v>
                </c:pt>
                <c:pt idx="32">
                  <c:v>Jan Mai Kawng Catholic Church</c:v>
                </c:pt>
                <c:pt idx="33">
                  <c:v>Jaw 2</c:v>
                </c:pt>
                <c:pt idx="34">
                  <c:v>Je Yang Hka </c:v>
                </c:pt>
                <c:pt idx="35">
                  <c:v>Kachin Su Baptist Church (ECCD)</c:v>
                </c:pt>
                <c:pt idx="36">
                  <c:v>Khar Nan (1) Baptist Church</c:v>
                </c:pt>
                <c:pt idx="37">
                  <c:v>Kone Khem Camp</c:v>
                </c:pt>
                <c:pt idx="38">
                  <c:v>Kutkai downtown (KBC Church)</c:v>
                </c:pt>
                <c:pt idx="39">
                  <c:v>Kutkai downtown (RC Church)</c:v>
                </c:pt>
                <c:pt idx="40">
                  <c:v>Kyun Pin Thar Baptist Church</c:v>
                </c:pt>
                <c:pt idx="41">
                  <c:v>Kyun Taw Baptist Church </c:v>
                </c:pt>
                <c:pt idx="42">
                  <c:v>La Ja</c:v>
                </c:pt>
                <c:pt idx="43">
                  <c:v>Laiza Market 3 / Laiza Gat</c:v>
                </c:pt>
                <c:pt idx="44">
                  <c:v>Lana Zup Ja *</c:v>
                </c:pt>
                <c:pt idx="45">
                  <c:v>Le Kone Bethlehem Church</c:v>
                </c:pt>
                <c:pt idx="46">
                  <c:v>Le Kone Ziun Baptist Church </c:v>
                </c:pt>
                <c:pt idx="47">
                  <c:v>Lhaovao Baptist Church (LBC)</c:v>
                </c:pt>
                <c:pt idx="48">
                  <c:v>Lisu Baptist Church, Maw Shan Vil,. Seik Mu</c:v>
                </c:pt>
                <c:pt idx="49">
                  <c:v>Lisu Baptist Church, Maw Wan Ward</c:v>
                </c:pt>
                <c:pt idx="50">
                  <c:v>Lisu Boarding-House</c:v>
                </c:pt>
                <c:pt idx="51">
                  <c:v>Loi Je Baptist Church</c:v>
                </c:pt>
                <c:pt idx="52">
                  <c:v>Loi Je Catholic Church</c:v>
                </c:pt>
                <c:pt idx="53">
                  <c:v>Loi Je Lisu  (1) Camp</c:v>
                </c:pt>
                <c:pt idx="54">
                  <c:v>Loi Je Lisu  (2) Camp</c:v>
                </c:pt>
                <c:pt idx="55">
                  <c:v>Loi Je Lisu  (3) Camp</c:v>
                </c:pt>
                <c:pt idx="56">
                  <c:v>Loi Je Nyaung Na Pin </c:v>
                </c:pt>
                <c:pt idx="57">
                  <c:v>Loi Je Seng Ja </c:v>
                </c:pt>
                <c:pt idx="58">
                  <c:v>Machanbaw-KBC</c:v>
                </c:pt>
                <c:pt idx="59">
                  <c:v>Mading Baptist Church</c:v>
                </c:pt>
                <c:pt idx="60">
                  <c:v>Maga Yang </c:v>
                </c:pt>
                <c:pt idx="61">
                  <c:v>Maina AG Church</c:v>
                </c:pt>
                <c:pt idx="62">
                  <c:v>Maina Catholic Church (St. Joseph)</c:v>
                </c:pt>
                <c:pt idx="63">
                  <c:v>Maina KBC (Bawng Ring)</c:v>
                </c:pt>
                <c:pt idx="64">
                  <c:v>Maina Lawang Baptist Church</c:v>
                </c:pt>
                <c:pt idx="65">
                  <c:v>Maing Khaung Baptist Church</c:v>
                </c:pt>
                <c:pt idx="66">
                  <c:v>Maing Khaung Catholic Church</c:v>
                </c:pt>
                <c:pt idx="67">
                  <c:v>Maliyang Baptist Church</c:v>
                </c:pt>
                <c:pt idx="68">
                  <c:v>Man Bung Catholic compound</c:v>
                </c:pt>
                <c:pt idx="69">
                  <c:v>Man Bung Edin Baptist Church</c:v>
                </c:pt>
                <c:pt idx="70">
                  <c:v>Man Hkring Baptist Church</c:v>
                </c:pt>
                <c:pt idx="71">
                  <c:v>Man Wing Baptist Church*</c:v>
                </c:pt>
                <c:pt idx="72">
                  <c:v>Man Wing Catholic Church*</c:v>
                </c:pt>
                <c:pt idx="73">
                  <c:v>Mandalay Monestry</c:v>
                </c:pt>
                <c:pt idx="74">
                  <c:v>Mandung - Jinghpaw</c:v>
                </c:pt>
                <c:pt idx="75">
                  <c:v>Mandung - RC</c:v>
                </c:pt>
                <c:pt idx="76">
                  <c:v>Mang Hawng Baptist Church</c:v>
                </c:pt>
                <c:pt idx="77">
                  <c:v>Mansi Baptist Church*</c:v>
                </c:pt>
                <c:pt idx="78">
                  <c:v>Maw Hpawng Hka Nan Baptist Church</c:v>
                </c:pt>
                <c:pt idx="79">
                  <c:v>Maw Hpawng Lhaovo Baptist Church</c:v>
                </c:pt>
                <c:pt idx="80">
                  <c:v>Maw Wan, Mu-yin Baptist Church</c:v>
                </c:pt>
                <c:pt idx="81">
                  <c:v>Mine Yu Lay village</c:v>
                </c:pt>
                <c:pt idx="82">
                  <c:v>Momauk Baptist Church</c:v>
                </c:pt>
                <c:pt idx="83">
                  <c:v>Mungji Pa Dabang (Baptist Church)         </c:v>
                </c:pt>
                <c:pt idx="84">
                  <c:v>Mungji Pa Dabang (RC Church)         </c:v>
                </c:pt>
                <c:pt idx="85">
                  <c:v>Muse KBC Church</c:v>
                </c:pt>
                <c:pt idx="86">
                  <c:v>Muse RC Church</c:v>
                </c:pt>
                <c:pt idx="87">
                  <c:v>Mu-yin Baptist Church</c:v>
                </c:pt>
                <c:pt idx="88">
                  <c:v>MWG -RC2</c:v>
                </c:pt>
                <c:pt idx="89">
                  <c:v>Nam Hkam - Nay Win Ni (Palawng)</c:v>
                </c:pt>
                <c:pt idx="90">
                  <c:v>Nam Hkam (KBC Jaw Wang)</c:v>
                </c:pt>
                <c:pt idx="91">
                  <c:v>Nam Hkam Catholic Church ( St. Thomas I)</c:v>
                </c:pt>
                <c:pt idx="92">
                  <c:v>Nam Hkawng/Manaung kaung</c:v>
                </c:pt>
                <c:pt idx="93">
                  <c:v>Nam Hpak Ka Mare </c:v>
                </c:pt>
                <c:pt idx="94">
                  <c:v>Nam Ma Phyit, COC</c:v>
                </c:pt>
                <c:pt idx="95">
                  <c:v>Namtu Baptist</c:v>
                </c:pt>
                <c:pt idx="96">
                  <c:v>Nan Kway St. John Catholic Church</c:v>
                </c:pt>
                <c:pt idx="97">
                  <c:v>Nant Hlaing Church</c:v>
                </c:pt>
                <c:pt idx="98">
                  <c:v>Nant Ma Hpit Catholic Church</c:v>
                </c:pt>
                <c:pt idx="99">
                  <c:v>Narte</c:v>
                </c:pt>
                <c:pt idx="100">
                  <c:v>Nat Gyi Kone Baptist Church </c:v>
                </c:pt>
                <c:pt idx="101">
                  <c:v>Naung Khaing</c:v>
                </c:pt>
                <c:pt idx="102">
                  <c:v>Nawng Hee Village</c:v>
                </c:pt>
                <c:pt idx="103">
                  <c:v>Nawng Ing (Indawgyi) Baptist Church  </c:v>
                </c:pt>
                <c:pt idx="104">
                  <c:v>Nhkawng Pa </c:v>
                </c:pt>
                <c:pt idx="105">
                  <c:v>Ni Thaw Ka Monestry</c:v>
                </c:pt>
                <c:pt idx="106">
                  <c:v>Njang Dung Baptist Church </c:v>
                </c:pt>
                <c:pt idx="107">
                  <c:v>Pa Dauk Myaing(Pa La Na)</c:v>
                </c:pt>
                <c:pt idx="108">
                  <c:v>Pa Kahtawng 1 A</c:v>
                </c:pt>
                <c:pt idx="109">
                  <c:v>Pa Kahtawng 1B</c:v>
                </c:pt>
                <c:pt idx="110">
                  <c:v>Pa Kahtawng 2</c:v>
                </c:pt>
                <c:pt idx="111">
                  <c:v>Pajau / Jan Mai</c:v>
                </c:pt>
                <c:pt idx="112">
                  <c:v>Pan Wa</c:v>
                </c:pt>
                <c:pt idx="113">
                  <c:v>Phan Khar Kone*</c:v>
                </c:pt>
                <c:pt idx="114">
                  <c:v>Post 6 Camp</c:v>
                </c:pt>
                <c:pt idx="115">
                  <c:v>Qtr. 2 Lhaovo Baptist Church</c:v>
                </c:pt>
                <c:pt idx="116">
                  <c:v>Qtr. 2 Myoma Baptist Church</c:v>
                </c:pt>
                <c:pt idx="117">
                  <c:v>Qtr. 3 Mu-yin  Baptist Church</c:v>
                </c:pt>
                <c:pt idx="118">
                  <c:v>Qtr. 4 Monestry (Thargaya Thayett Taw)</c:v>
                </c:pt>
                <c:pt idx="119">
                  <c:v>Rawan Baptist Church, Maw Shan Vil., Seik Mu</c:v>
                </c:pt>
                <c:pt idx="120">
                  <c:v>Robert Church*</c:v>
                </c:pt>
                <c:pt idx="121">
                  <c:v>Sai Nai Baptish Church, Maw Shan Vil., Seki Mu</c:v>
                </c:pt>
                <c:pt idx="122">
                  <c:v>Shatapru Sut Ngai Tawng</c:v>
                </c:pt>
                <c:pt idx="123">
                  <c:v>Shatapru Thida Aye Baptist Church</c:v>
                </c:pt>
                <c:pt idx="124">
                  <c:v>Shing Jai</c:v>
                </c:pt>
                <c:pt idx="125">
                  <c:v>Shwe Gu Baptist Church</c:v>
                </c:pt>
                <c:pt idx="126">
                  <c:v>Shwe Gu Catholic Church</c:v>
                </c:pt>
                <c:pt idx="127">
                  <c:v>Shwe Zet Baptist Church</c:v>
                </c:pt>
                <c:pt idx="128">
                  <c:v>St. Patrick Catholic Church </c:v>
                </c:pt>
                <c:pt idx="129">
                  <c:v>Ta Gun Taing Monastery (Shwe Kyi Na)</c:v>
                </c:pt>
                <c:pt idx="130">
                  <c:v>Tat Kone (Ra Da Kawng)</c:v>
                </c:pt>
                <c:pt idx="131">
                  <c:v>Tat Kone Baptist Church</c:v>
                </c:pt>
                <c:pt idx="132">
                  <c:v>Tat Kone COC Baptist / Tat Kone Htoi San</c:v>
                </c:pt>
                <c:pt idx="133">
                  <c:v>Tat Kone Emanuel Church</c:v>
                </c:pt>
                <c:pt idx="134">
                  <c:v>Tat Kone Galile Baptist Church</c:v>
                </c:pt>
                <c:pt idx="135">
                  <c:v>Tat Kone San Pya Baptist Church</c:v>
                </c:pt>
                <c:pt idx="136">
                  <c:v>Thargaya Lisu Baptist Church</c:v>
                </c:pt>
                <c:pt idx="137">
                  <c:v>Waingmaw AG Church</c:v>
                </c:pt>
                <c:pt idx="138">
                  <c:v>Waingmaw Baptist Zonal Office</c:v>
                </c:pt>
                <c:pt idx="139">
                  <c:v>Ward 2 Sai Taung Baptist Church, Seik Mu </c:v>
                </c:pt>
                <c:pt idx="140">
                  <c:v>Woi Chyai </c:v>
                </c:pt>
                <c:pt idx="141">
                  <c:v>Wun Tho Buddhist Monastery</c:v>
                </c:pt>
                <c:pt idx="142">
                  <c:v>Yoe Kyi Monastery</c:v>
                </c:pt>
                <c:pt idx="143">
                  <c:v>Yumar Baptist Church</c:v>
                </c:pt>
                <c:pt idx="144">
                  <c:v>Zai Awng / Mung Ga Zup</c:v>
                </c:pt>
                <c:pt idx="145">
                  <c:v>Zup Aung Camp</c:v>
                </c:pt>
                <c:pt idx="146">
                  <c:v>Woi Chyai (Mong Lai)</c:v>
                </c:pt>
                <c:pt idx="147">
                  <c:v>Lone Sut</c:v>
                </c:pt>
                <c:pt idx="148">
                  <c:v>Bum Tsit Pa * (3)</c:v>
                </c:pt>
                <c:pt idx="149">
                  <c:v>Ku Day Maw KBC</c:v>
                </c:pt>
                <c:pt idx="150">
                  <c:v>Loi Je Lisu  (4) Camp</c:v>
                </c:pt>
                <c:pt idx="151">
                  <c:v>Nam Ja Rap</c:v>
                </c:pt>
                <c:pt idx="152">
                  <c:v>Pan Wa (Saw Zam) camp </c:v>
                </c:pt>
              </c:strCache>
            </c:strRef>
          </c:cat>
          <c:val>
            <c:numRef>
              <c:f>SituationAnalysis!$AA$84:$AA$237</c:f>
              <c:numCache>
                <c:formatCode>0%</c:formatCode>
                <c:ptCount val="153"/>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0.50385481148002254</c:v>
                </c:pt>
                <c:pt idx="35">
                  <c:v>1</c:v>
                </c:pt>
                <c:pt idx="36">
                  <c:v>1</c:v>
                </c:pt>
                <c:pt idx="37">
                  <c:v>1</c:v>
                </c:pt>
                <c:pt idx="38">
                  <c:v>1</c:v>
                </c:pt>
                <c:pt idx="39">
                  <c:v>1</c:v>
                </c:pt>
                <c:pt idx="40">
                  <c:v>1</c:v>
                </c:pt>
                <c:pt idx="41">
                  <c:v>1</c:v>
                </c:pt>
                <c:pt idx="42">
                  <c:v>0</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0.95238095238095244</c:v>
                </c:pt>
                <c:pt idx="89">
                  <c:v>1</c:v>
                </c:pt>
                <c:pt idx="90">
                  <c:v>1</c:v>
                </c:pt>
                <c:pt idx="91">
                  <c:v>1</c:v>
                </c:pt>
                <c:pt idx="92">
                  <c:v>0</c:v>
                </c:pt>
                <c:pt idx="93">
                  <c:v>1</c:v>
                </c:pt>
                <c:pt idx="94">
                  <c:v>1</c:v>
                </c:pt>
                <c:pt idx="95">
                  <c:v>1</c:v>
                </c:pt>
                <c:pt idx="96">
                  <c:v>1</c:v>
                </c:pt>
                <c:pt idx="97">
                  <c:v>1</c:v>
                </c:pt>
                <c:pt idx="98">
                  <c:v>1</c:v>
                </c:pt>
                <c:pt idx="99">
                  <c:v>1</c:v>
                </c:pt>
                <c:pt idx="100">
                  <c:v>1</c:v>
                </c:pt>
                <c:pt idx="101">
                  <c:v>0.17241379310344829</c:v>
                </c:pt>
                <c:pt idx="102">
                  <c:v>1</c:v>
                </c:pt>
                <c:pt idx="103">
                  <c:v>1</c:v>
                </c:pt>
                <c:pt idx="104">
                  <c:v>1</c:v>
                </c:pt>
                <c:pt idx="105">
                  <c:v>0.8</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0</c:v>
                </c:pt>
                <c:pt idx="149">
                  <c:v>1</c:v>
                </c:pt>
                <c:pt idx="150">
                  <c:v>1</c:v>
                </c:pt>
                <c:pt idx="151">
                  <c:v>0</c:v>
                </c:pt>
                <c:pt idx="152">
                  <c:v>1</c:v>
                </c:pt>
              </c:numCache>
            </c:numRef>
          </c:val>
        </c:ser>
        <c:ser>
          <c:idx val="1"/>
          <c:order val="1"/>
          <c:tx>
            <c:strRef>
              <c:f>SituationAnalysis!$AB$83</c:f>
              <c:strCache>
                <c:ptCount val="1"/>
                <c:pt idx="0">
                  <c:v>% Latrine need coverage</c:v>
                </c:pt>
              </c:strCache>
            </c:strRef>
          </c:tx>
          <c:spPr>
            <a:solidFill>
              <a:schemeClr val="accent2"/>
            </a:solidFill>
            <a:ln>
              <a:noFill/>
            </a:ln>
            <a:effectLst/>
          </c:spPr>
          <c:invertIfNegative val="0"/>
          <c:cat>
            <c:strRef>
              <c:f>SituationAnalysis!$Z$84:$Z$237</c:f>
              <c:strCache>
                <c:ptCount val="153"/>
                <c:pt idx="0">
                  <c:v>5 Ward Baptist Church(lon Khin)</c:v>
                </c:pt>
                <c:pt idx="1">
                  <c:v>5 Ward RC Church(lon Khin)</c:v>
                </c:pt>
                <c:pt idx="2">
                  <c:v>AD-2000 Extension camp</c:v>
                </c:pt>
                <c:pt idx="3">
                  <c:v>AD-2000 Tharthana Compound*</c:v>
                </c:pt>
                <c:pt idx="4">
                  <c:v>AG Church, Hmaw Si Sa</c:v>
                </c:pt>
                <c:pt idx="5">
                  <c:v>AG Church, Maw Wan</c:v>
                </c:pt>
                <c:pt idx="6">
                  <c:v>Agritural Compound (KBC)</c:v>
                </c:pt>
                <c:pt idx="7">
                  <c:v>Aung Thar Church</c:v>
                </c:pt>
                <c:pt idx="8">
                  <c:v>Bang Lung</c:v>
                </c:pt>
                <c:pt idx="9">
                  <c:v>Baptist Church, Hmaw Si Sar(Lon Khin)</c:v>
                </c:pt>
                <c:pt idx="10">
                  <c:v>Baptist Church, Naung Hmee VT</c:v>
                </c:pt>
                <c:pt idx="11">
                  <c:v>Baptist Church, Sai Ra village</c:v>
                </c:pt>
                <c:pt idx="12">
                  <c:v>Border Post 8</c:v>
                </c:pt>
                <c:pt idx="13">
                  <c:v>Bum Tsit Pa * (1)</c:v>
                </c:pt>
                <c:pt idx="14">
                  <c:v>Bum Tsit Pa * (2)</c:v>
                </c:pt>
                <c:pt idx="15">
                  <c:v>Chin Church, Seik Mu</c:v>
                </c:pt>
                <c:pt idx="16">
                  <c:v>Chipwi KBC camp</c:v>
                </c:pt>
                <c:pt idx="17">
                  <c:v>Clutural Compound</c:v>
                </c:pt>
                <c:pt idx="18">
                  <c:v>Dhama Rakhita, Nyein Chan Tar Yar Ward(Lon Khin)</c:v>
                </c:pt>
                <c:pt idx="19">
                  <c:v>Du Kahtawng Qtr. 14</c:v>
                </c:pt>
                <c:pt idx="20">
                  <c:v>Du Kahtawng Qtr. 4</c:v>
                </c:pt>
                <c:pt idx="21">
                  <c:v>Du Kahtawng Qtr. 5</c:v>
                </c:pt>
                <c:pt idx="22">
                  <c:v>Dum Bung </c:v>
                </c:pt>
                <c:pt idx="23">
                  <c:v>Hkat Cho </c:v>
                </c:pt>
                <c:pt idx="24">
                  <c:v>Hkau Shau (BP 12)</c:v>
                </c:pt>
                <c:pt idx="25">
                  <c:v>Hlaing Naung Baptist</c:v>
                </c:pt>
                <c:pt idx="26">
                  <c:v>Hmaw Wan, Anglican</c:v>
                </c:pt>
                <c:pt idx="27">
                  <c:v>Hpakant Baptist Church, Nam Ma Hpit</c:v>
                </c:pt>
                <c:pt idx="28">
                  <c:v>Hpare Hkyer - BP6</c:v>
                </c:pt>
                <c:pt idx="29">
                  <c:v>Hpun Lum Yang </c:v>
                </c:pt>
                <c:pt idx="30">
                  <c:v>Htoi San Church*</c:v>
                </c:pt>
                <c:pt idx="31">
                  <c:v>Jan Mai Kawng Baptist Church</c:v>
                </c:pt>
                <c:pt idx="32">
                  <c:v>Jan Mai Kawng Catholic Church</c:v>
                </c:pt>
                <c:pt idx="33">
                  <c:v>Jaw 2</c:v>
                </c:pt>
                <c:pt idx="34">
                  <c:v>Je Yang Hka </c:v>
                </c:pt>
                <c:pt idx="35">
                  <c:v>Kachin Su Baptist Church (ECCD)</c:v>
                </c:pt>
                <c:pt idx="36">
                  <c:v>Khar Nan (1) Baptist Church</c:v>
                </c:pt>
                <c:pt idx="37">
                  <c:v>Kone Khem Camp</c:v>
                </c:pt>
                <c:pt idx="38">
                  <c:v>Kutkai downtown (KBC Church)</c:v>
                </c:pt>
                <c:pt idx="39">
                  <c:v>Kutkai downtown (RC Church)</c:v>
                </c:pt>
                <c:pt idx="40">
                  <c:v>Kyun Pin Thar Baptist Church</c:v>
                </c:pt>
                <c:pt idx="41">
                  <c:v>Kyun Taw Baptist Church </c:v>
                </c:pt>
                <c:pt idx="42">
                  <c:v>La Ja</c:v>
                </c:pt>
                <c:pt idx="43">
                  <c:v>Laiza Market 3 / Laiza Gat</c:v>
                </c:pt>
                <c:pt idx="44">
                  <c:v>Lana Zup Ja *</c:v>
                </c:pt>
                <c:pt idx="45">
                  <c:v>Le Kone Bethlehem Church</c:v>
                </c:pt>
                <c:pt idx="46">
                  <c:v>Le Kone Ziun Baptist Church </c:v>
                </c:pt>
                <c:pt idx="47">
                  <c:v>Lhaovao Baptist Church (LBC)</c:v>
                </c:pt>
                <c:pt idx="48">
                  <c:v>Lisu Baptist Church, Maw Shan Vil,. Seik Mu</c:v>
                </c:pt>
                <c:pt idx="49">
                  <c:v>Lisu Baptist Church, Maw Wan Ward</c:v>
                </c:pt>
                <c:pt idx="50">
                  <c:v>Lisu Boarding-House</c:v>
                </c:pt>
                <c:pt idx="51">
                  <c:v>Loi Je Baptist Church</c:v>
                </c:pt>
                <c:pt idx="52">
                  <c:v>Loi Je Catholic Church</c:v>
                </c:pt>
                <c:pt idx="53">
                  <c:v>Loi Je Lisu  (1) Camp</c:v>
                </c:pt>
                <c:pt idx="54">
                  <c:v>Loi Je Lisu  (2) Camp</c:v>
                </c:pt>
                <c:pt idx="55">
                  <c:v>Loi Je Lisu  (3) Camp</c:v>
                </c:pt>
                <c:pt idx="56">
                  <c:v>Loi Je Nyaung Na Pin </c:v>
                </c:pt>
                <c:pt idx="57">
                  <c:v>Loi Je Seng Ja </c:v>
                </c:pt>
                <c:pt idx="58">
                  <c:v>Machanbaw-KBC</c:v>
                </c:pt>
                <c:pt idx="59">
                  <c:v>Mading Baptist Church</c:v>
                </c:pt>
                <c:pt idx="60">
                  <c:v>Maga Yang </c:v>
                </c:pt>
                <c:pt idx="61">
                  <c:v>Maina AG Church</c:v>
                </c:pt>
                <c:pt idx="62">
                  <c:v>Maina Catholic Church (St. Joseph)</c:v>
                </c:pt>
                <c:pt idx="63">
                  <c:v>Maina KBC (Bawng Ring)</c:v>
                </c:pt>
                <c:pt idx="64">
                  <c:v>Maina Lawang Baptist Church</c:v>
                </c:pt>
                <c:pt idx="65">
                  <c:v>Maing Khaung Baptist Church</c:v>
                </c:pt>
                <c:pt idx="66">
                  <c:v>Maing Khaung Catholic Church</c:v>
                </c:pt>
                <c:pt idx="67">
                  <c:v>Maliyang Baptist Church</c:v>
                </c:pt>
                <c:pt idx="68">
                  <c:v>Man Bung Catholic compound</c:v>
                </c:pt>
                <c:pt idx="69">
                  <c:v>Man Bung Edin Baptist Church</c:v>
                </c:pt>
                <c:pt idx="70">
                  <c:v>Man Hkring Baptist Church</c:v>
                </c:pt>
                <c:pt idx="71">
                  <c:v>Man Wing Baptist Church*</c:v>
                </c:pt>
                <c:pt idx="72">
                  <c:v>Man Wing Catholic Church*</c:v>
                </c:pt>
                <c:pt idx="73">
                  <c:v>Mandalay Monestry</c:v>
                </c:pt>
                <c:pt idx="74">
                  <c:v>Mandung - Jinghpaw</c:v>
                </c:pt>
                <c:pt idx="75">
                  <c:v>Mandung - RC</c:v>
                </c:pt>
                <c:pt idx="76">
                  <c:v>Mang Hawng Baptist Church</c:v>
                </c:pt>
                <c:pt idx="77">
                  <c:v>Mansi Baptist Church*</c:v>
                </c:pt>
                <c:pt idx="78">
                  <c:v>Maw Hpawng Hka Nan Baptist Church</c:v>
                </c:pt>
                <c:pt idx="79">
                  <c:v>Maw Hpawng Lhaovo Baptist Church</c:v>
                </c:pt>
                <c:pt idx="80">
                  <c:v>Maw Wan, Mu-yin Baptist Church</c:v>
                </c:pt>
                <c:pt idx="81">
                  <c:v>Mine Yu Lay village</c:v>
                </c:pt>
                <c:pt idx="82">
                  <c:v>Momauk Baptist Church</c:v>
                </c:pt>
                <c:pt idx="83">
                  <c:v>Mungji Pa Dabang (Baptist Church)         </c:v>
                </c:pt>
                <c:pt idx="84">
                  <c:v>Mungji Pa Dabang (RC Church)         </c:v>
                </c:pt>
                <c:pt idx="85">
                  <c:v>Muse KBC Church</c:v>
                </c:pt>
                <c:pt idx="86">
                  <c:v>Muse RC Church</c:v>
                </c:pt>
                <c:pt idx="87">
                  <c:v>Mu-yin Baptist Church</c:v>
                </c:pt>
                <c:pt idx="88">
                  <c:v>MWG -RC2</c:v>
                </c:pt>
                <c:pt idx="89">
                  <c:v>Nam Hkam - Nay Win Ni (Palawng)</c:v>
                </c:pt>
                <c:pt idx="90">
                  <c:v>Nam Hkam (KBC Jaw Wang)</c:v>
                </c:pt>
                <c:pt idx="91">
                  <c:v>Nam Hkam Catholic Church ( St. Thomas I)</c:v>
                </c:pt>
                <c:pt idx="92">
                  <c:v>Nam Hkawng/Manaung kaung</c:v>
                </c:pt>
                <c:pt idx="93">
                  <c:v>Nam Hpak Ka Mare </c:v>
                </c:pt>
                <c:pt idx="94">
                  <c:v>Nam Ma Phyit, COC</c:v>
                </c:pt>
                <c:pt idx="95">
                  <c:v>Namtu Baptist</c:v>
                </c:pt>
                <c:pt idx="96">
                  <c:v>Nan Kway St. John Catholic Church</c:v>
                </c:pt>
                <c:pt idx="97">
                  <c:v>Nant Hlaing Church</c:v>
                </c:pt>
                <c:pt idx="98">
                  <c:v>Nant Ma Hpit Catholic Church</c:v>
                </c:pt>
                <c:pt idx="99">
                  <c:v>Narte</c:v>
                </c:pt>
                <c:pt idx="100">
                  <c:v>Nat Gyi Kone Baptist Church </c:v>
                </c:pt>
                <c:pt idx="101">
                  <c:v>Naung Khaing</c:v>
                </c:pt>
                <c:pt idx="102">
                  <c:v>Nawng Hee Village</c:v>
                </c:pt>
                <c:pt idx="103">
                  <c:v>Nawng Ing (Indawgyi) Baptist Church  </c:v>
                </c:pt>
                <c:pt idx="104">
                  <c:v>Nhkawng Pa </c:v>
                </c:pt>
                <c:pt idx="105">
                  <c:v>Ni Thaw Ka Monestry</c:v>
                </c:pt>
                <c:pt idx="106">
                  <c:v>Njang Dung Baptist Church </c:v>
                </c:pt>
                <c:pt idx="107">
                  <c:v>Pa Dauk Myaing(Pa La Na)</c:v>
                </c:pt>
                <c:pt idx="108">
                  <c:v>Pa Kahtawng 1 A</c:v>
                </c:pt>
                <c:pt idx="109">
                  <c:v>Pa Kahtawng 1B</c:v>
                </c:pt>
                <c:pt idx="110">
                  <c:v>Pa Kahtawng 2</c:v>
                </c:pt>
                <c:pt idx="111">
                  <c:v>Pajau / Jan Mai</c:v>
                </c:pt>
                <c:pt idx="112">
                  <c:v>Pan Wa</c:v>
                </c:pt>
                <c:pt idx="113">
                  <c:v>Phan Khar Kone*</c:v>
                </c:pt>
                <c:pt idx="114">
                  <c:v>Post 6 Camp</c:v>
                </c:pt>
                <c:pt idx="115">
                  <c:v>Qtr. 2 Lhaovo Baptist Church</c:v>
                </c:pt>
                <c:pt idx="116">
                  <c:v>Qtr. 2 Myoma Baptist Church</c:v>
                </c:pt>
                <c:pt idx="117">
                  <c:v>Qtr. 3 Mu-yin  Baptist Church</c:v>
                </c:pt>
                <c:pt idx="118">
                  <c:v>Qtr. 4 Monestry (Thargaya Thayett Taw)</c:v>
                </c:pt>
                <c:pt idx="119">
                  <c:v>Rawan Baptist Church, Maw Shan Vil., Seik Mu</c:v>
                </c:pt>
                <c:pt idx="120">
                  <c:v>Robert Church*</c:v>
                </c:pt>
                <c:pt idx="121">
                  <c:v>Sai Nai Baptish Church, Maw Shan Vil., Seki Mu</c:v>
                </c:pt>
                <c:pt idx="122">
                  <c:v>Shatapru Sut Ngai Tawng</c:v>
                </c:pt>
                <c:pt idx="123">
                  <c:v>Shatapru Thida Aye Baptist Church</c:v>
                </c:pt>
                <c:pt idx="124">
                  <c:v>Shing Jai</c:v>
                </c:pt>
                <c:pt idx="125">
                  <c:v>Shwe Gu Baptist Church</c:v>
                </c:pt>
                <c:pt idx="126">
                  <c:v>Shwe Gu Catholic Church</c:v>
                </c:pt>
                <c:pt idx="127">
                  <c:v>Shwe Zet Baptist Church</c:v>
                </c:pt>
                <c:pt idx="128">
                  <c:v>St. Patrick Catholic Church </c:v>
                </c:pt>
                <c:pt idx="129">
                  <c:v>Ta Gun Taing Monastery (Shwe Kyi Na)</c:v>
                </c:pt>
                <c:pt idx="130">
                  <c:v>Tat Kone (Ra Da Kawng)</c:v>
                </c:pt>
                <c:pt idx="131">
                  <c:v>Tat Kone Baptist Church</c:v>
                </c:pt>
                <c:pt idx="132">
                  <c:v>Tat Kone COC Baptist / Tat Kone Htoi San</c:v>
                </c:pt>
                <c:pt idx="133">
                  <c:v>Tat Kone Emanuel Church</c:v>
                </c:pt>
                <c:pt idx="134">
                  <c:v>Tat Kone Galile Baptist Church</c:v>
                </c:pt>
                <c:pt idx="135">
                  <c:v>Tat Kone San Pya Baptist Church</c:v>
                </c:pt>
                <c:pt idx="136">
                  <c:v>Thargaya Lisu Baptist Church</c:v>
                </c:pt>
                <c:pt idx="137">
                  <c:v>Waingmaw AG Church</c:v>
                </c:pt>
                <c:pt idx="138">
                  <c:v>Waingmaw Baptist Zonal Office</c:v>
                </c:pt>
                <c:pt idx="139">
                  <c:v>Ward 2 Sai Taung Baptist Church, Seik Mu </c:v>
                </c:pt>
                <c:pt idx="140">
                  <c:v>Woi Chyai </c:v>
                </c:pt>
                <c:pt idx="141">
                  <c:v>Wun Tho Buddhist Monastery</c:v>
                </c:pt>
                <c:pt idx="142">
                  <c:v>Yoe Kyi Monastery</c:v>
                </c:pt>
                <c:pt idx="143">
                  <c:v>Yumar Baptist Church</c:v>
                </c:pt>
                <c:pt idx="144">
                  <c:v>Zai Awng / Mung Ga Zup</c:v>
                </c:pt>
                <c:pt idx="145">
                  <c:v>Zup Aung Camp</c:v>
                </c:pt>
                <c:pt idx="146">
                  <c:v>Woi Chyai (Mong Lai)</c:v>
                </c:pt>
                <c:pt idx="147">
                  <c:v>Lone Sut</c:v>
                </c:pt>
                <c:pt idx="148">
                  <c:v>Bum Tsit Pa * (3)</c:v>
                </c:pt>
                <c:pt idx="149">
                  <c:v>Ku Day Maw KBC</c:v>
                </c:pt>
                <c:pt idx="150">
                  <c:v>Loi Je Lisu  (4) Camp</c:v>
                </c:pt>
                <c:pt idx="151">
                  <c:v>Nam Ja Rap</c:v>
                </c:pt>
                <c:pt idx="152">
                  <c:v>Pan Wa (Saw Zam) camp </c:v>
                </c:pt>
              </c:strCache>
            </c:strRef>
          </c:cat>
          <c:val>
            <c:numRef>
              <c:f>SituationAnalysis!$AB$84:$AB$237</c:f>
              <c:numCache>
                <c:formatCode>0%</c:formatCode>
                <c:ptCount val="153"/>
                <c:pt idx="0">
                  <c:v>0.27777777777777779</c:v>
                </c:pt>
                <c:pt idx="1">
                  <c:v>0.89411764705882357</c:v>
                </c:pt>
                <c:pt idx="2">
                  <c:v>0.45977011494252873</c:v>
                </c:pt>
                <c:pt idx="3">
                  <c:v>0.53191489361702127</c:v>
                </c:pt>
                <c:pt idx="4">
                  <c:v>0.8875739644970414</c:v>
                </c:pt>
                <c:pt idx="5">
                  <c:v>1</c:v>
                </c:pt>
                <c:pt idx="6">
                  <c:v>0.98684210526315785</c:v>
                </c:pt>
                <c:pt idx="7">
                  <c:v>1</c:v>
                </c:pt>
                <c:pt idx="8">
                  <c:v>1</c:v>
                </c:pt>
                <c:pt idx="9">
                  <c:v>0.91743119266055051</c:v>
                </c:pt>
                <c:pt idx="10">
                  <c:v>1</c:v>
                </c:pt>
                <c:pt idx="11">
                  <c:v>1</c:v>
                </c:pt>
                <c:pt idx="12">
                  <c:v>1</c:v>
                </c:pt>
                <c:pt idx="13">
                  <c:v>1</c:v>
                </c:pt>
                <c:pt idx="14">
                  <c:v>1</c:v>
                </c:pt>
                <c:pt idx="15">
                  <c:v>1</c:v>
                </c:pt>
                <c:pt idx="16">
                  <c:v>0.5725190839694656</c:v>
                </c:pt>
                <c:pt idx="17">
                  <c:v>1</c:v>
                </c:pt>
                <c:pt idx="18">
                  <c:v>1</c:v>
                </c:pt>
                <c:pt idx="19">
                  <c:v>0.7407407407407407</c:v>
                </c:pt>
                <c:pt idx="20">
                  <c:v>1</c:v>
                </c:pt>
                <c:pt idx="21">
                  <c:v>0.76923076923076927</c:v>
                </c:pt>
                <c:pt idx="22">
                  <c:v>1</c:v>
                </c:pt>
                <c:pt idx="23">
                  <c:v>1</c:v>
                </c:pt>
                <c:pt idx="24">
                  <c:v>1</c:v>
                </c:pt>
                <c:pt idx="25">
                  <c:v>1</c:v>
                </c:pt>
                <c:pt idx="26">
                  <c:v>1</c:v>
                </c:pt>
                <c:pt idx="27">
                  <c:v>0.61657032755298646</c:v>
                </c:pt>
                <c:pt idx="28">
                  <c:v>1</c:v>
                </c:pt>
                <c:pt idx="29">
                  <c:v>1</c:v>
                </c:pt>
                <c:pt idx="30">
                  <c:v>0.74688796680497926</c:v>
                </c:pt>
                <c:pt idx="31">
                  <c:v>1</c:v>
                </c:pt>
                <c:pt idx="32">
                  <c:v>0.85470085470085466</c:v>
                </c:pt>
                <c:pt idx="33">
                  <c:v>0.91743119266055051</c:v>
                </c:pt>
                <c:pt idx="34">
                  <c:v>1</c:v>
                </c:pt>
                <c:pt idx="35">
                  <c:v>1</c:v>
                </c:pt>
                <c:pt idx="36">
                  <c:v>1</c:v>
                </c:pt>
                <c:pt idx="37">
                  <c:v>1</c:v>
                </c:pt>
                <c:pt idx="38">
                  <c:v>0.61971830985915488</c:v>
                </c:pt>
                <c:pt idx="39">
                  <c:v>1</c:v>
                </c:pt>
                <c:pt idx="40">
                  <c:v>0.88888888888888884</c:v>
                </c:pt>
                <c:pt idx="41">
                  <c:v>1</c:v>
                </c:pt>
                <c:pt idx="42">
                  <c:v>0</c:v>
                </c:pt>
                <c:pt idx="43">
                  <c:v>5.1590713671539126E-2</c:v>
                </c:pt>
                <c:pt idx="44">
                  <c:v>0.71846934791097228</c:v>
                </c:pt>
                <c:pt idx="45">
                  <c:v>0.6097560975609756</c:v>
                </c:pt>
                <c:pt idx="46">
                  <c:v>0.94839609483960952</c:v>
                </c:pt>
                <c:pt idx="47">
                  <c:v>0.88748019017432644</c:v>
                </c:pt>
                <c:pt idx="48">
                  <c:v>1</c:v>
                </c:pt>
                <c:pt idx="49">
                  <c:v>1</c:v>
                </c:pt>
                <c:pt idx="50">
                  <c:v>0.79566003616636527</c:v>
                </c:pt>
                <c:pt idx="51">
                  <c:v>1</c:v>
                </c:pt>
                <c:pt idx="52">
                  <c:v>0.59782608695652173</c:v>
                </c:pt>
                <c:pt idx="53">
                  <c:v>0.54919908466819223</c:v>
                </c:pt>
                <c:pt idx="54">
                  <c:v>1</c:v>
                </c:pt>
                <c:pt idx="55">
                  <c:v>1</c:v>
                </c:pt>
                <c:pt idx="56">
                  <c:v>1</c:v>
                </c:pt>
                <c:pt idx="57">
                  <c:v>1</c:v>
                </c:pt>
                <c:pt idx="58">
                  <c:v>0.5714285714285714</c:v>
                </c:pt>
                <c:pt idx="59">
                  <c:v>1</c:v>
                </c:pt>
                <c:pt idx="60">
                  <c:v>1</c:v>
                </c:pt>
                <c:pt idx="61">
                  <c:v>0.74882995319812795</c:v>
                </c:pt>
                <c:pt idx="62">
                  <c:v>0.77795786061588335</c:v>
                </c:pt>
                <c:pt idx="63">
                  <c:v>1</c:v>
                </c:pt>
                <c:pt idx="64">
                  <c:v>1</c:v>
                </c:pt>
                <c:pt idx="65">
                  <c:v>0.95079232693911597</c:v>
                </c:pt>
                <c:pt idx="66">
                  <c:v>0.85178875638841567</c:v>
                </c:pt>
                <c:pt idx="67">
                  <c:v>0.75235109717868343</c:v>
                </c:pt>
                <c:pt idx="68">
                  <c:v>0.86513994910941472</c:v>
                </c:pt>
                <c:pt idx="69">
                  <c:v>0.80428954423592491</c:v>
                </c:pt>
                <c:pt idx="70">
                  <c:v>1</c:v>
                </c:pt>
                <c:pt idx="71">
                  <c:v>0.47058823529411764</c:v>
                </c:pt>
                <c:pt idx="72">
                  <c:v>0.80913850547358401</c:v>
                </c:pt>
                <c:pt idx="73">
                  <c:v>1</c:v>
                </c:pt>
                <c:pt idx="74">
                  <c:v>1</c:v>
                </c:pt>
                <c:pt idx="75">
                  <c:v>1</c:v>
                </c:pt>
                <c:pt idx="76">
                  <c:v>1</c:v>
                </c:pt>
                <c:pt idx="77">
                  <c:v>0.86830680173661356</c:v>
                </c:pt>
                <c:pt idx="78">
                  <c:v>1</c:v>
                </c:pt>
                <c:pt idx="79">
                  <c:v>1</c:v>
                </c:pt>
                <c:pt idx="80">
                  <c:v>1</c:v>
                </c:pt>
                <c:pt idx="81">
                  <c:v>1</c:v>
                </c:pt>
                <c:pt idx="82">
                  <c:v>0.68493150684931503</c:v>
                </c:pt>
                <c:pt idx="83">
                  <c:v>1</c:v>
                </c:pt>
                <c:pt idx="84">
                  <c:v>1</c:v>
                </c:pt>
                <c:pt idx="85">
                  <c:v>1</c:v>
                </c:pt>
                <c:pt idx="86">
                  <c:v>1</c:v>
                </c:pt>
                <c:pt idx="87">
                  <c:v>0.83333333333333337</c:v>
                </c:pt>
                <c:pt idx="88">
                  <c:v>0.69387755102040816</c:v>
                </c:pt>
                <c:pt idx="89">
                  <c:v>0.98765432098765427</c:v>
                </c:pt>
                <c:pt idx="90">
                  <c:v>0.52770448548812665</c:v>
                </c:pt>
                <c:pt idx="91">
                  <c:v>1</c:v>
                </c:pt>
                <c:pt idx="92">
                  <c:v>1</c:v>
                </c:pt>
                <c:pt idx="93">
                  <c:v>1</c:v>
                </c:pt>
                <c:pt idx="94">
                  <c:v>1</c:v>
                </c:pt>
                <c:pt idx="95">
                  <c:v>1</c:v>
                </c:pt>
                <c:pt idx="96">
                  <c:v>1</c:v>
                </c:pt>
                <c:pt idx="97">
                  <c:v>1</c:v>
                </c:pt>
                <c:pt idx="98">
                  <c:v>0.73529411764705888</c:v>
                </c:pt>
                <c:pt idx="99">
                  <c:v>0.20408163265306123</c:v>
                </c:pt>
                <c:pt idx="100">
                  <c:v>1</c:v>
                </c:pt>
                <c:pt idx="101">
                  <c:v>0.45977011494252873</c:v>
                </c:pt>
                <c:pt idx="102">
                  <c:v>1</c:v>
                </c:pt>
                <c:pt idx="103">
                  <c:v>0.96153846153846156</c:v>
                </c:pt>
                <c:pt idx="104">
                  <c:v>1</c:v>
                </c:pt>
                <c:pt idx="105">
                  <c:v>1</c:v>
                </c:pt>
                <c:pt idx="106">
                  <c:v>0.69868995633187769</c:v>
                </c:pt>
                <c:pt idx="107">
                  <c:v>1</c:v>
                </c:pt>
                <c:pt idx="108">
                  <c:v>1</c:v>
                </c:pt>
                <c:pt idx="109">
                  <c:v>1</c:v>
                </c:pt>
                <c:pt idx="110">
                  <c:v>1</c:v>
                </c:pt>
                <c:pt idx="111">
                  <c:v>1</c:v>
                </c:pt>
                <c:pt idx="112">
                  <c:v>0.99071207430340558</c:v>
                </c:pt>
                <c:pt idx="113">
                  <c:v>1</c:v>
                </c:pt>
                <c:pt idx="114">
                  <c:v>1</c:v>
                </c:pt>
                <c:pt idx="115">
                  <c:v>0.65040650406504064</c:v>
                </c:pt>
                <c:pt idx="116">
                  <c:v>0.76190476190476186</c:v>
                </c:pt>
                <c:pt idx="117">
                  <c:v>0.82840236686390534</c:v>
                </c:pt>
                <c:pt idx="118">
                  <c:v>1</c:v>
                </c:pt>
                <c:pt idx="119">
                  <c:v>1</c:v>
                </c:pt>
                <c:pt idx="120">
                  <c:v>0.76719576719576721</c:v>
                </c:pt>
                <c:pt idx="121">
                  <c:v>1</c:v>
                </c:pt>
                <c:pt idx="122">
                  <c:v>0.75</c:v>
                </c:pt>
                <c:pt idx="123">
                  <c:v>1</c:v>
                </c:pt>
                <c:pt idx="124">
                  <c:v>1</c:v>
                </c:pt>
                <c:pt idx="125">
                  <c:v>1</c:v>
                </c:pt>
                <c:pt idx="126">
                  <c:v>1</c:v>
                </c:pt>
                <c:pt idx="127">
                  <c:v>0.75294117647058822</c:v>
                </c:pt>
                <c:pt idx="128">
                  <c:v>1</c:v>
                </c:pt>
                <c:pt idx="129">
                  <c:v>1</c:v>
                </c:pt>
                <c:pt idx="130">
                  <c:v>1</c:v>
                </c:pt>
                <c:pt idx="131">
                  <c:v>0.77519379844961245</c:v>
                </c:pt>
                <c:pt idx="132">
                  <c:v>1</c:v>
                </c:pt>
                <c:pt idx="133">
                  <c:v>1</c:v>
                </c:pt>
                <c:pt idx="134">
                  <c:v>1</c:v>
                </c:pt>
                <c:pt idx="135">
                  <c:v>1</c:v>
                </c:pt>
                <c:pt idx="136">
                  <c:v>0.84690553745928343</c:v>
                </c:pt>
                <c:pt idx="137">
                  <c:v>0.44776119402985076</c:v>
                </c:pt>
                <c:pt idx="138">
                  <c:v>1</c:v>
                </c:pt>
                <c:pt idx="139">
                  <c:v>0.94736842105263153</c:v>
                </c:pt>
                <c:pt idx="140">
                  <c:v>1</c:v>
                </c:pt>
                <c:pt idx="141">
                  <c:v>1</c:v>
                </c:pt>
                <c:pt idx="142">
                  <c:v>1</c:v>
                </c:pt>
                <c:pt idx="143">
                  <c:v>1</c:v>
                </c:pt>
                <c:pt idx="144">
                  <c:v>1</c:v>
                </c:pt>
                <c:pt idx="145">
                  <c:v>1</c:v>
                </c:pt>
                <c:pt idx="146">
                  <c:v>1</c:v>
                </c:pt>
                <c:pt idx="147">
                  <c:v>1</c:v>
                </c:pt>
                <c:pt idx="148">
                  <c:v>1</c:v>
                </c:pt>
                <c:pt idx="149">
                  <c:v>0.5357142857142857</c:v>
                </c:pt>
                <c:pt idx="150">
                  <c:v>0.84388185654008441</c:v>
                </c:pt>
                <c:pt idx="151">
                  <c:v>0</c:v>
                </c:pt>
                <c:pt idx="152">
                  <c:v>0.48484848484848486</c:v>
                </c:pt>
              </c:numCache>
            </c:numRef>
          </c:val>
        </c:ser>
        <c:ser>
          <c:idx val="2"/>
          <c:order val="2"/>
          <c:tx>
            <c:strRef>
              <c:f>SituationAnalysis!$AC$83</c:f>
              <c:strCache>
                <c:ptCount val="1"/>
                <c:pt idx="0">
                  <c:v>% Bathroom need coverage</c:v>
                </c:pt>
              </c:strCache>
            </c:strRef>
          </c:tx>
          <c:spPr>
            <a:solidFill>
              <a:schemeClr val="accent3"/>
            </a:solidFill>
            <a:ln>
              <a:noFill/>
            </a:ln>
            <a:effectLst/>
          </c:spPr>
          <c:invertIfNegative val="0"/>
          <c:cat>
            <c:strRef>
              <c:f>SituationAnalysis!$Z$84:$Z$237</c:f>
              <c:strCache>
                <c:ptCount val="153"/>
                <c:pt idx="0">
                  <c:v>5 Ward Baptist Church(lon Khin)</c:v>
                </c:pt>
                <c:pt idx="1">
                  <c:v>5 Ward RC Church(lon Khin)</c:v>
                </c:pt>
                <c:pt idx="2">
                  <c:v>AD-2000 Extension camp</c:v>
                </c:pt>
                <c:pt idx="3">
                  <c:v>AD-2000 Tharthana Compound*</c:v>
                </c:pt>
                <c:pt idx="4">
                  <c:v>AG Church, Hmaw Si Sa</c:v>
                </c:pt>
                <c:pt idx="5">
                  <c:v>AG Church, Maw Wan</c:v>
                </c:pt>
                <c:pt idx="6">
                  <c:v>Agritural Compound (KBC)</c:v>
                </c:pt>
                <c:pt idx="7">
                  <c:v>Aung Thar Church</c:v>
                </c:pt>
                <c:pt idx="8">
                  <c:v>Bang Lung</c:v>
                </c:pt>
                <c:pt idx="9">
                  <c:v>Baptist Church, Hmaw Si Sar(Lon Khin)</c:v>
                </c:pt>
                <c:pt idx="10">
                  <c:v>Baptist Church, Naung Hmee VT</c:v>
                </c:pt>
                <c:pt idx="11">
                  <c:v>Baptist Church, Sai Ra village</c:v>
                </c:pt>
                <c:pt idx="12">
                  <c:v>Border Post 8</c:v>
                </c:pt>
                <c:pt idx="13">
                  <c:v>Bum Tsit Pa * (1)</c:v>
                </c:pt>
                <c:pt idx="14">
                  <c:v>Bum Tsit Pa * (2)</c:v>
                </c:pt>
                <c:pt idx="15">
                  <c:v>Chin Church, Seik Mu</c:v>
                </c:pt>
                <c:pt idx="16">
                  <c:v>Chipwi KBC camp</c:v>
                </c:pt>
                <c:pt idx="17">
                  <c:v>Clutural Compound</c:v>
                </c:pt>
                <c:pt idx="18">
                  <c:v>Dhama Rakhita, Nyein Chan Tar Yar Ward(Lon Khin)</c:v>
                </c:pt>
                <c:pt idx="19">
                  <c:v>Du Kahtawng Qtr. 14</c:v>
                </c:pt>
                <c:pt idx="20">
                  <c:v>Du Kahtawng Qtr. 4</c:v>
                </c:pt>
                <c:pt idx="21">
                  <c:v>Du Kahtawng Qtr. 5</c:v>
                </c:pt>
                <c:pt idx="22">
                  <c:v>Dum Bung </c:v>
                </c:pt>
                <c:pt idx="23">
                  <c:v>Hkat Cho </c:v>
                </c:pt>
                <c:pt idx="24">
                  <c:v>Hkau Shau (BP 12)</c:v>
                </c:pt>
                <c:pt idx="25">
                  <c:v>Hlaing Naung Baptist</c:v>
                </c:pt>
                <c:pt idx="26">
                  <c:v>Hmaw Wan, Anglican</c:v>
                </c:pt>
                <c:pt idx="27">
                  <c:v>Hpakant Baptist Church, Nam Ma Hpit</c:v>
                </c:pt>
                <c:pt idx="28">
                  <c:v>Hpare Hkyer - BP6</c:v>
                </c:pt>
                <c:pt idx="29">
                  <c:v>Hpun Lum Yang </c:v>
                </c:pt>
                <c:pt idx="30">
                  <c:v>Htoi San Church*</c:v>
                </c:pt>
                <c:pt idx="31">
                  <c:v>Jan Mai Kawng Baptist Church</c:v>
                </c:pt>
                <c:pt idx="32">
                  <c:v>Jan Mai Kawng Catholic Church</c:v>
                </c:pt>
                <c:pt idx="33">
                  <c:v>Jaw 2</c:v>
                </c:pt>
                <c:pt idx="34">
                  <c:v>Je Yang Hka </c:v>
                </c:pt>
                <c:pt idx="35">
                  <c:v>Kachin Su Baptist Church (ECCD)</c:v>
                </c:pt>
                <c:pt idx="36">
                  <c:v>Khar Nan (1) Baptist Church</c:v>
                </c:pt>
                <c:pt idx="37">
                  <c:v>Kone Khem Camp</c:v>
                </c:pt>
                <c:pt idx="38">
                  <c:v>Kutkai downtown (KBC Church)</c:v>
                </c:pt>
                <c:pt idx="39">
                  <c:v>Kutkai downtown (RC Church)</c:v>
                </c:pt>
                <c:pt idx="40">
                  <c:v>Kyun Pin Thar Baptist Church</c:v>
                </c:pt>
                <c:pt idx="41">
                  <c:v>Kyun Taw Baptist Church </c:v>
                </c:pt>
                <c:pt idx="42">
                  <c:v>La Ja</c:v>
                </c:pt>
                <c:pt idx="43">
                  <c:v>Laiza Market 3 / Laiza Gat</c:v>
                </c:pt>
                <c:pt idx="44">
                  <c:v>Lana Zup Ja *</c:v>
                </c:pt>
                <c:pt idx="45">
                  <c:v>Le Kone Bethlehem Church</c:v>
                </c:pt>
                <c:pt idx="46">
                  <c:v>Le Kone Ziun Baptist Church </c:v>
                </c:pt>
                <c:pt idx="47">
                  <c:v>Lhaovao Baptist Church (LBC)</c:v>
                </c:pt>
                <c:pt idx="48">
                  <c:v>Lisu Baptist Church, Maw Shan Vil,. Seik Mu</c:v>
                </c:pt>
                <c:pt idx="49">
                  <c:v>Lisu Baptist Church, Maw Wan Ward</c:v>
                </c:pt>
                <c:pt idx="50">
                  <c:v>Lisu Boarding-House</c:v>
                </c:pt>
                <c:pt idx="51">
                  <c:v>Loi Je Baptist Church</c:v>
                </c:pt>
                <c:pt idx="52">
                  <c:v>Loi Je Catholic Church</c:v>
                </c:pt>
                <c:pt idx="53">
                  <c:v>Loi Je Lisu  (1) Camp</c:v>
                </c:pt>
                <c:pt idx="54">
                  <c:v>Loi Je Lisu  (2) Camp</c:v>
                </c:pt>
                <c:pt idx="55">
                  <c:v>Loi Je Lisu  (3) Camp</c:v>
                </c:pt>
                <c:pt idx="56">
                  <c:v>Loi Je Nyaung Na Pin </c:v>
                </c:pt>
                <c:pt idx="57">
                  <c:v>Loi Je Seng Ja </c:v>
                </c:pt>
                <c:pt idx="58">
                  <c:v>Machanbaw-KBC</c:v>
                </c:pt>
                <c:pt idx="59">
                  <c:v>Mading Baptist Church</c:v>
                </c:pt>
                <c:pt idx="60">
                  <c:v>Maga Yang </c:v>
                </c:pt>
                <c:pt idx="61">
                  <c:v>Maina AG Church</c:v>
                </c:pt>
                <c:pt idx="62">
                  <c:v>Maina Catholic Church (St. Joseph)</c:v>
                </c:pt>
                <c:pt idx="63">
                  <c:v>Maina KBC (Bawng Ring)</c:v>
                </c:pt>
                <c:pt idx="64">
                  <c:v>Maina Lawang Baptist Church</c:v>
                </c:pt>
                <c:pt idx="65">
                  <c:v>Maing Khaung Baptist Church</c:v>
                </c:pt>
                <c:pt idx="66">
                  <c:v>Maing Khaung Catholic Church</c:v>
                </c:pt>
                <c:pt idx="67">
                  <c:v>Maliyang Baptist Church</c:v>
                </c:pt>
                <c:pt idx="68">
                  <c:v>Man Bung Catholic compound</c:v>
                </c:pt>
                <c:pt idx="69">
                  <c:v>Man Bung Edin Baptist Church</c:v>
                </c:pt>
                <c:pt idx="70">
                  <c:v>Man Hkring Baptist Church</c:v>
                </c:pt>
                <c:pt idx="71">
                  <c:v>Man Wing Baptist Church*</c:v>
                </c:pt>
                <c:pt idx="72">
                  <c:v>Man Wing Catholic Church*</c:v>
                </c:pt>
                <c:pt idx="73">
                  <c:v>Mandalay Monestry</c:v>
                </c:pt>
                <c:pt idx="74">
                  <c:v>Mandung - Jinghpaw</c:v>
                </c:pt>
                <c:pt idx="75">
                  <c:v>Mandung - RC</c:v>
                </c:pt>
                <c:pt idx="76">
                  <c:v>Mang Hawng Baptist Church</c:v>
                </c:pt>
                <c:pt idx="77">
                  <c:v>Mansi Baptist Church*</c:v>
                </c:pt>
                <c:pt idx="78">
                  <c:v>Maw Hpawng Hka Nan Baptist Church</c:v>
                </c:pt>
                <c:pt idx="79">
                  <c:v>Maw Hpawng Lhaovo Baptist Church</c:v>
                </c:pt>
                <c:pt idx="80">
                  <c:v>Maw Wan, Mu-yin Baptist Church</c:v>
                </c:pt>
                <c:pt idx="81">
                  <c:v>Mine Yu Lay village</c:v>
                </c:pt>
                <c:pt idx="82">
                  <c:v>Momauk Baptist Church</c:v>
                </c:pt>
                <c:pt idx="83">
                  <c:v>Mungji Pa Dabang (Baptist Church)         </c:v>
                </c:pt>
                <c:pt idx="84">
                  <c:v>Mungji Pa Dabang (RC Church)         </c:v>
                </c:pt>
                <c:pt idx="85">
                  <c:v>Muse KBC Church</c:v>
                </c:pt>
                <c:pt idx="86">
                  <c:v>Muse RC Church</c:v>
                </c:pt>
                <c:pt idx="87">
                  <c:v>Mu-yin Baptist Church</c:v>
                </c:pt>
                <c:pt idx="88">
                  <c:v>MWG -RC2</c:v>
                </c:pt>
                <c:pt idx="89">
                  <c:v>Nam Hkam - Nay Win Ni (Palawng)</c:v>
                </c:pt>
                <c:pt idx="90">
                  <c:v>Nam Hkam (KBC Jaw Wang)</c:v>
                </c:pt>
                <c:pt idx="91">
                  <c:v>Nam Hkam Catholic Church ( St. Thomas I)</c:v>
                </c:pt>
                <c:pt idx="92">
                  <c:v>Nam Hkawng/Manaung kaung</c:v>
                </c:pt>
                <c:pt idx="93">
                  <c:v>Nam Hpak Ka Mare </c:v>
                </c:pt>
                <c:pt idx="94">
                  <c:v>Nam Ma Phyit, COC</c:v>
                </c:pt>
                <c:pt idx="95">
                  <c:v>Namtu Baptist</c:v>
                </c:pt>
                <c:pt idx="96">
                  <c:v>Nan Kway St. John Catholic Church</c:v>
                </c:pt>
                <c:pt idx="97">
                  <c:v>Nant Hlaing Church</c:v>
                </c:pt>
                <c:pt idx="98">
                  <c:v>Nant Ma Hpit Catholic Church</c:v>
                </c:pt>
                <c:pt idx="99">
                  <c:v>Narte</c:v>
                </c:pt>
                <c:pt idx="100">
                  <c:v>Nat Gyi Kone Baptist Church </c:v>
                </c:pt>
                <c:pt idx="101">
                  <c:v>Naung Khaing</c:v>
                </c:pt>
                <c:pt idx="102">
                  <c:v>Nawng Hee Village</c:v>
                </c:pt>
                <c:pt idx="103">
                  <c:v>Nawng Ing (Indawgyi) Baptist Church  </c:v>
                </c:pt>
                <c:pt idx="104">
                  <c:v>Nhkawng Pa </c:v>
                </c:pt>
                <c:pt idx="105">
                  <c:v>Ni Thaw Ka Monestry</c:v>
                </c:pt>
                <c:pt idx="106">
                  <c:v>Njang Dung Baptist Church </c:v>
                </c:pt>
                <c:pt idx="107">
                  <c:v>Pa Dauk Myaing(Pa La Na)</c:v>
                </c:pt>
                <c:pt idx="108">
                  <c:v>Pa Kahtawng 1 A</c:v>
                </c:pt>
                <c:pt idx="109">
                  <c:v>Pa Kahtawng 1B</c:v>
                </c:pt>
                <c:pt idx="110">
                  <c:v>Pa Kahtawng 2</c:v>
                </c:pt>
                <c:pt idx="111">
                  <c:v>Pajau / Jan Mai</c:v>
                </c:pt>
                <c:pt idx="112">
                  <c:v>Pan Wa</c:v>
                </c:pt>
                <c:pt idx="113">
                  <c:v>Phan Khar Kone*</c:v>
                </c:pt>
                <c:pt idx="114">
                  <c:v>Post 6 Camp</c:v>
                </c:pt>
                <c:pt idx="115">
                  <c:v>Qtr. 2 Lhaovo Baptist Church</c:v>
                </c:pt>
                <c:pt idx="116">
                  <c:v>Qtr. 2 Myoma Baptist Church</c:v>
                </c:pt>
                <c:pt idx="117">
                  <c:v>Qtr. 3 Mu-yin  Baptist Church</c:v>
                </c:pt>
                <c:pt idx="118">
                  <c:v>Qtr. 4 Monestry (Thargaya Thayett Taw)</c:v>
                </c:pt>
                <c:pt idx="119">
                  <c:v>Rawan Baptist Church, Maw Shan Vil., Seik Mu</c:v>
                </c:pt>
                <c:pt idx="120">
                  <c:v>Robert Church*</c:v>
                </c:pt>
                <c:pt idx="121">
                  <c:v>Sai Nai Baptish Church, Maw Shan Vil., Seki Mu</c:v>
                </c:pt>
                <c:pt idx="122">
                  <c:v>Shatapru Sut Ngai Tawng</c:v>
                </c:pt>
                <c:pt idx="123">
                  <c:v>Shatapru Thida Aye Baptist Church</c:v>
                </c:pt>
                <c:pt idx="124">
                  <c:v>Shing Jai</c:v>
                </c:pt>
                <c:pt idx="125">
                  <c:v>Shwe Gu Baptist Church</c:v>
                </c:pt>
                <c:pt idx="126">
                  <c:v>Shwe Gu Catholic Church</c:v>
                </c:pt>
                <c:pt idx="127">
                  <c:v>Shwe Zet Baptist Church</c:v>
                </c:pt>
                <c:pt idx="128">
                  <c:v>St. Patrick Catholic Church </c:v>
                </c:pt>
                <c:pt idx="129">
                  <c:v>Ta Gun Taing Monastery (Shwe Kyi Na)</c:v>
                </c:pt>
                <c:pt idx="130">
                  <c:v>Tat Kone (Ra Da Kawng)</c:v>
                </c:pt>
                <c:pt idx="131">
                  <c:v>Tat Kone Baptist Church</c:v>
                </c:pt>
                <c:pt idx="132">
                  <c:v>Tat Kone COC Baptist / Tat Kone Htoi San</c:v>
                </c:pt>
                <c:pt idx="133">
                  <c:v>Tat Kone Emanuel Church</c:v>
                </c:pt>
                <c:pt idx="134">
                  <c:v>Tat Kone Galile Baptist Church</c:v>
                </c:pt>
                <c:pt idx="135">
                  <c:v>Tat Kone San Pya Baptist Church</c:v>
                </c:pt>
                <c:pt idx="136">
                  <c:v>Thargaya Lisu Baptist Church</c:v>
                </c:pt>
                <c:pt idx="137">
                  <c:v>Waingmaw AG Church</c:v>
                </c:pt>
                <c:pt idx="138">
                  <c:v>Waingmaw Baptist Zonal Office</c:v>
                </c:pt>
                <c:pt idx="139">
                  <c:v>Ward 2 Sai Taung Baptist Church, Seik Mu </c:v>
                </c:pt>
                <c:pt idx="140">
                  <c:v>Woi Chyai </c:v>
                </c:pt>
                <c:pt idx="141">
                  <c:v>Wun Tho Buddhist Monastery</c:v>
                </c:pt>
                <c:pt idx="142">
                  <c:v>Yoe Kyi Monastery</c:v>
                </c:pt>
                <c:pt idx="143">
                  <c:v>Yumar Baptist Church</c:v>
                </c:pt>
                <c:pt idx="144">
                  <c:v>Zai Awng / Mung Ga Zup</c:v>
                </c:pt>
                <c:pt idx="145">
                  <c:v>Zup Aung Camp</c:v>
                </c:pt>
                <c:pt idx="146">
                  <c:v>Woi Chyai (Mong Lai)</c:v>
                </c:pt>
                <c:pt idx="147">
                  <c:v>Lone Sut</c:v>
                </c:pt>
                <c:pt idx="148">
                  <c:v>Bum Tsit Pa * (3)</c:v>
                </c:pt>
                <c:pt idx="149">
                  <c:v>Ku Day Maw KBC</c:v>
                </c:pt>
                <c:pt idx="150">
                  <c:v>Loi Je Lisu  (4) Camp</c:v>
                </c:pt>
                <c:pt idx="151">
                  <c:v>Nam Ja Rap</c:v>
                </c:pt>
                <c:pt idx="152">
                  <c:v>Pan Wa (Saw Zam) camp </c:v>
                </c:pt>
              </c:strCache>
            </c:strRef>
          </c:cat>
          <c:val>
            <c:numRef>
              <c:f>SituationAnalysis!$AC$84:$AC$237</c:f>
              <c:numCache>
                <c:formatCode>0%</c:formatCode>
                <c:ptCount val="153"/>
                <c:pt idx="0">
                  <c:v>0.55555555555555558</c:v>
                </c:pt>
                <c:pt idx="1">
                  <c:v>0.47058823529411764</c:v>
                </c:pt>
                <c:pt idx="2">
                  <c:v>0.22988505747126436</c:v>
                </c:pt>
                <c:pt idx="3">
                  <c:v>0.21276595744680851</c:v>
                </c:pt>
                <c:pt idx="4">
                  <c:v>0.59171597633136097</c:v>
                </c:pt>
                <c:pt idx="5">
                  <c:v>1</c:v>
                </c:pt>
                <c:pt idx="6">
                  <c:v>0.49342105263157893</c:v>
                </c:pt>
                <c:pt idx="7">
                  <c:v>0</c:v>
                </c:pt>
                <c:pt idx="8">
                  <c:v>1</c:v>
                </c:pt>
                <c:pt idx="9">
                  <c:v>0.91743119266055051</c:v>
                </c:pt>
                <c:pt idx="10">
                  <c:v>1</c:v>
                </c:pt>
                <c:pt idx="11">
                  <c:v>1</c:v>
                </c:pt>
                <c:pt idx="12">
                  <c:v>0.15503875968992248</c:v>
                </c:pt>
                <c:pt idx="13">
                  <c:v>0.53908355795148244</c:v>
                </c:pt>
                <c:pt idx="14">
                  <c:v>0.34168564920273348</c:v>
                </c:pt>
                <c:pt idx="15">
                  <c:v>1</c:v>
                </c:pt>
                <c:pt idx="16">
                  <c:v>0.76335877862595425</c:v>
                </c:pt>
                <c:pt idx="17">
                  <c:v>0.96899224806201545</c:v>
                </c:pt>
                <c:pt idx="18">
                  <c:v>0.89552238805970152</c:v>
                </c:pt>
                <c:pt idx="19">
                  <c:v>1</c:v>
                </c:pt>
                <c:pt idx="20">
                  <c:v>1</c:v>
                </c:pt>
                <c:pt idx="21">
                  <c:v>1</c:v>
                </c:pt>
                <c:pt idx="22">
                  <c:v>0.64516129032258063</c:v>
                </c:pt>
                <c:pt idx="23">
                  <c:v>0.79207920792079212</c:v>
                </c:pt>
                <c:pt idx="24">
                  <c:v>0.25951557093425603</c:v>
                </c:pt>
                <c:pt idx="25">
                  <c:v>1</c:v>
                </c:pt>
                <c:pt idx="26">
                  <c:v>1</c:v>
                </c:pt>
                <c:pt idx="27">
                  <c:v>0.5780346820809249</c:v>
                </c:pt>
                <c:pt idx="28">
                  <c:v>0.45819014891179838</c:v>
                </c:pt>
                <c:pt idx="29">
                  <c:v>0.26223776223776224</c:v>
                </c:pt>
                <c:pt idx="30">
                  <c:v>0.82987551867219922</c:v>
                </c:pt>
                <c:pt idx="31">
                  <c:v>0.41067761806981518</c:v>
                </c:pt>
                <c:pt idx="32">
                  <c:v>0.21367521367521367</c:v>
                </c:pt>
                <c:pt idx="33">
                  <c:v>1</c:v>
                </c:pt>
                <c:pt idx="34">
                  <c:v>0.68936409679234667</c:v>
                </c:pt>
                <c:pt idx="35">
                  <c:v>1</c:v>
                </c:pt>
                <c:pt idx="36">
                  <c:v>1</c:v>
                </c:pt>
                <c:pt idx="37">
                  <c:v>0.30769230769230771</c:v>
                </c:pt>
                <c:pt idx="38">
                  <c:v>0.56338028169014087</c:v>
                </c:pt>
                <c:pt idx="39">
                  <c:v>1</c:v>
                </c:pt>
                <c:pt idx="40">
                  <c:v>1</c:v>
                </c:pt>
                <c:pt idx="41">
                  <c:v>1</c:v>
                </c:pt>
                <c:pt idx="42">
                  <c:v>0</c:v>
                </c:pt>
                <c:pt idx="43">
                  <c:v>8.5984522785898534E-2</c:v>
                </c:pt>
                <c:pt idx="44">
                  <c:v>3.9047247169074581E-2</c:v>
                </c:pt>
                <c:pt idx="45">
                  <c:v>0.3048780487804878</c:v>
                </c:pt>
                <c:pt idx="46">
                  <c:v>0.2789400278940028</c:v>
                </c:pt>
                <c:pt idx="47">
                  <c:v>1</c:v>
                </c:pt>
                <c:pt idx="48">
                  <c:v>1</c:v>
                </c:pt>
                <c:pt idx="49">
                  <c:v>1</c:v>
                </c:pt>
                <c:pt idx="50">
                  <c:v>0.72332730560578662</c:v>
                </c:pt>
                <c:pt idx="51">
                  <c:v>0.57471264367816088</c:v>
                </c:pt>
                <c:pt idx="52">
                  <c:v>0.54347826086956519</c:v>
                </c:pt>
                <c:pt idx="53">
                  <c:v>0.2288329519450801</c:v>
                </c:pt>
                <c:pt idx="54">
                  <c:v>0.49504950495049505</c:v>
                </c:pt>
                <c:pt idx="55">
                  <c:v>1</c:v>
                </c:pt>
                <c:pt idx="56">
                  <c:v>1</c:v>
                </c:pt>
                <c:pt idx="57">
                  <c:v>0.84745762711864403</c:v>
                </c:pt>
                <c:pt idx="58">
                  <c:v>0</c:v>
                </c:pt>
                <c:pt idx="59">
                  <c:v>0.91743119266055051</c:v>
                </c:pt>
                <c:pt idx="60">
                  <c:v>0.14234875444839859</c:v>
                </c:pt>
                <c:pt idx="61">
                  <c:v>0.93603744149765988</c:v>
                </c:pt>
                <c:pt idx="62">
                  <c:v>0</c:v>
                </c:pt>
                <c:pt idx="63">
                  <c:v>0.28887818969667789</c:v>
                </c:pt>
                <c:pt idx="64">
                  <c:v>1</c:v>
                </c:pt>
                <c:pt idx="65">
                  <c:v>0.50041701417848206</c:v>
                </c:pt>
                <c:pt idx="66">
                  <c:v>0.51107325383304936</c:v>
                </c:pt>
                <c:pt idx="67">
                  <c:v>0.62695924764890287</c:v>
                </c:pt>
                <c:pt idx="68">
                  <c:v>0.59372349448685324</c:v>
                </c:pt>
                <c:pt idx="69">
                  <c:v>0.80428954423592491</c:v>
                </c:pt>
                <c:pt idx="70">
                  <c:v>0.22123893805309736</c:v>
                </c:pt>
                <c:pt idx="71">
                  <c:v>0.14705882352941177</c:v>
                </c:pt>
                <c:pt idx="72">
                  <c:v>0.19038553069966682</c:v>
                </c:pt>
                <c:pt idx="73">
                  <c:v>1</c:v>
                </c:pt>
                <c:pt idx="74">
                  <c:v>0</c:v>
                </c:pt>
                <c:pt idx="75">
                  <c:v>1</c:v>
                </c:pt>
                <c:pt idx="76">
                  <c:v>1</c:v>
                </c:pt>
                <c:pt idx="77">
                  <c:v>0.86830680173661356</c:v>
                </c:pt>
                <c:pt idx="78">
                  <c:v>1</c:v>
                </c:pt>
                <c:pt idx="79">
                  <c:v>1</c:v>
                </c:pt>
                <c:pt idx="80">
                  <c:v>1</c:v>
                </c:pt>
                <c:pt idx="81">
                  <c:v>0</c:v>
                </c:pt>
                <c:pt idx="82">
                  <c:v>0.54794520547945202</c:v>
                </c:pt>
                <c:pt idx="83">
                  <c:v>0</c:v>
                </c:pt>
                <c:pt idx="84">
                  <c:v>0.5714285714285714</c:v>
                </c:pt>
                <c:pt idx="85">
                  <c:v>1</c:v>
                </c:pt>
                <c:pt idx="86">
                  <c:v>1</c:v>
                </c:pt>
                <c:pt idx="87">
                  <c:v>1</c:v>
                </c:pt>
                <c:pt idx="88">
                  <c:v>0.81632653061224492</c:v>
                </c:pt>
                <c:pt idx="89">
                  <c:v>0.30864197530864196</c:v>
                </c:pt>
                <c:pt idx="90">
                  <c:v>0.52770448548812665</c:v>
                </c:pt>
                <c:pt idx="91">
                  <c:v>0.85470085470085466</c:v>
                </c:pt>
                <c:pt idx="92">
                  <c:v>1</c:v>
                </c:pt>
                <c:pt idx="93">
                  <c:v>0.74349442379182151</c:v>
                </c:pt>
                <c:pt idx="94">
                  <c:v>1</c:v>
                </c:pt>
                <c:pt idx="95">
                  <c:v>1</c:v>
                </c:pt>
                <c:pt idx="96">
                  <c:v>0.97402597402597402</c:v>
                </c:pt>
                <c:pt idx="97">
                  <c:v>1</c:v>
                </c:pt>
                <c:pt idx="98">
                  <c:v>0.73529411764705888</c:v>
                </c:pt>
                <c:pt idx="99">
                  <c:v>0</c:v>
                </c:pt>
                <c:pt idx="100">
                  <c:v>1</c:v>
                </c:pt>
                <c:pt idx="101">
                  <c:v>0</c:v>
                </c:pt>
                <c:pt idx="102">
                  <c:v>1</c:v>
                </c:pt>
                <c:pt idx="103">
                  <c:v>1</c:v>
                </c:pt>
                <c:pt idx="104">
                  <c:v>0.36742192284139619</c:v>
                </c:pt>
                <c:pt idx="105">
                  <c:v>1</c:v>
                </c:pt>
                <c:pt idx="106">
                  <c:v>0.8733624454148472</c:v>
                </c:pt>
                <c:pt idx="107">
                  <c:v>1</c:v>
                </c:pt>
                <c:pt idx="108">
                  <c:v>0.14903129657228018</c:v>
                </c:pt>
                <c:pt idx="109">
                  <c:v>0.39840637450199201</c:v>
                </c:pt>
                <c:pt idx="110">
                  <c:v>0.74349442379182151</c:v>
                </c:pt>
                <c:pt idx="111">
                  <c:v>0.51948051948051943</c:v>
                </c:pt>
                <c:pt idx="112">
                  <c:v>0.61919504643962853</c:v>
                </c:pt>
                <c:pt idx="113">
                  <c:v>0.61199510403916768</c:v>
                </c:pt>
                <c:pt idx="114">
                  <c:v>0.3125</c:v>
                </c:pt>
                <c:pt idx="115">
                  <c:v>0.81300813008130079</c:v>
                </c:pt>
                <c:pt idx="116">
                  <c:v>0.63492063492063489</c:v>
                </c:pt>
                <c:pt idx="117">
                  <c:v>1</c:v>
                </c:pt>
                <c:pt idx="118">
                  <c:v>1</c:v>
                </c:pt>
                <c:pt idx="119">
                  <c:v>1</c:v>
                </c:pt>
                <c:pt idx="120">
                  <c:v>0.18518518518518517</c:v>
                </c:pt>
                <c:pt idx="121">
                  <c:v>1</c:v>
                </c:pt>
                <c:pt idx="122">
                  <c:v>0.5</c:v>
                </c:pt>
                <c:pt idx="123">
                  <c:v>1</c:v>
                </c:pt>
                <c:pt idx="124">
                  <c:v>0.34403669724770641</c:v>
                </c:pt>
                <c:pt idx="125">
                  <c:v>1</c:v>
                </c:pt>
                <c:pt idx="126">
                  <c:v>1</c:v>
                </c:pt>
                <c:pt idx="127">
                  <c:v>0.23529411764705882</c:v>
                </c:pt>
                <c:pt idx="128">
                  <c:v>1</c:v>
                </c:pt>
                <c:pt idx="129">
                  <c:v>1</c:v>
                </c:pt>
                <c:pt idx="130">
                  <c:v>1</c:v>
                </c:pt>
                <c:pt idx="131">
                  <c:v>0.77519379844961245</c:v>
                </c:pt>
                <c:pt idx="132">
                  <c:v>1</c:v>
                </c:pt>
                <c:pt idx="133">
                  <c:v>1</c:v>
                </c:pt>
                <c:pt idx="134">
                  <c:v>1</c:v>
                </c:pt>
                <c:pt idx="135">
                  <c:v>0.83333333333333337</c:v>
                </c:pt>
                <c:pt idx="136">
                  <c:v>1</c:v>
                </c:pt>
                <c:pt idx="137">
                  <c:v>1</c:v>
                </c:pt>
                <c:pt idx="138">
                  <c:v>1</c:v>
                </c:pt>
                <c:pt idx="139">
                  <c:v>1</c:v>
                </c:pt>
                <c:pt idx="140">
                  <c:v>1</c:v>
                </c:pt>
                <c:pt idx="141">
                  <c:v>1</c:v>
                </c:pt>
                <c:pt idx="142">
                  <c:v>1</c:v>
                </c:pt>
                <c:pt idx="143">
                  <c:v>1</c:v>
                </c:pt>
                <c:pt idx="144">
                  <c:v>0.49180327868852458</c:v>
                </c:pt>
                <c:pt idx="145">
                  <c:v>0</c:v>
                </c:pt>
                <c:pt idx="146">
                  <c:v>1</c:v>
                </c:pt>
                <c:pt idx="147">
                  <c:v>0</c:v>
                </c:pt>
                <c:pt idx="148">
                  <c:v>0.99502487562189057</c:v>
                </c:pt>
                <c:pt idx="149">
                  <c:v>0.44642857142857145</c:v>
                </c:pt>
                <c:pt idx="150">
                  <c:v>0.84388185654008441</c:v>
                </c:pt>
                <c:pt idx="151">
                  <c:v>0</c:v>
                </c:pt>
                <c:pt idx="152">
                  <c:v>0</c:v>
                </c:pt>
              </c:numCache>
            </c:numRef>
          </c:val>
        </c:ser>
        <c:dLbls>
          <c:showLegendKey val="0"/>
          <c:showVal val="0"/>
          <c:showCatName val="0"/>
          <c:showSerName val="0"/>
          <c:showPercent val="0"/>
          <c:showBubbleSize val="0"/>
        </c:dLbls>
        <c:gapWidth val="219"/>
        <c:overlap val="-27"/>
        <c:axId val="107830656"/>
        <c:axId val="107844736"/>
      </c:barChart>
      <c:catAx>
        <c:axId val="107830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844736"/>
        <c:crosses val="autoZero"/>
        <c:auto val="1"/>
        <c:lblAlgn val="ctr"/>
        <c:lblOffset val="100"/>
        <c:noMultiLvlLbl val="0"/>
      </c:catAx>
      <c:valAx>
        <c:axId val="1078447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830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2015.xlsx]SituationAnalysis!PivotTable27</c:name>
    <c:fmtId val="35"/>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Gender consideration for latrines</a:t>
            </a:r>
          </a:p>
        </c:rich>
      </c:tx>
      <c:layout>
        <c:manualLayout>
          <c:xMode val="edge"/>
          <c:yMode val="edge"/>
          <c:x val="0.21927264228957677"/>
          <c:y val="3.2552017954277451E-2"/>
        </c:manualLayout>
      </c:layout>
      <c:overlay val="0"/>
      <c:spPr>
        <a:noFill/>
        <a:ln>
          <a:noFill/>
        </a:ln>
        <a:effectLst/>
      </c:sp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6"/>
      </c:pivotFmt>
      <c:pivotFmt>
        <c:idx val="7"/>
      </c:pivotFmt>
      <c:pivotFmt>
        <c:idx val="8"/>
      </c:pivotFmt>
      <c:pivotFmt>
        <c:idx val="9"/>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pivotFmt>
      <c:pivotFmt>
        <c:idx val="21"/>
        <c:spPr>
          <a:solidFill>
            <a:schemeClr val="accent1"/>
          </a:solidFill>
          <a:ln w="25400">
            <a:solidFill>
              <a:schemeClr val="lt1"/>
            </a:solidFill>
          </a:ln>
          <a:effectLst/>
          <a:sp3d contourW="25400">
            <a:contourClr>
              <a:schemeClr val="lt1"/>
            </a:contourClr>
          </a:sp3d>
        </c:spPr>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
        <c:idx val="28"/>
        <c:spPr>
          <a:solidFill>
            <a:schemeClr val="accent1"/>
          </a:solidFill>
          <a:ln w="25400">
            <a:solidFill>
              <a:schemeClr val="lt1"/>
            </a:solidFill>
          </a:ln>
          <a:effectLst/>
          <a:sp3d contourW="25400">
            <a:contourClr>
              <a:schemeClr val="lt1"/>
            </a:contourClr>
          </a:sp3d>
        </c:spPr>
      </c:pivotFmt>
      <c:pivotFmt>
        <c:idx val="29"/>
        <c:spPr>
          <a:solidFill>
            <a:schemeClr val="accent1"/>
          </a:solidFill>
          <a:ln w="25400">
            <a:solidFill>
              <a:schemeClr val="lt1"/>
            </a:solidFill>
          </a:ln>
          <a:effectLst/>
          <a:sp3d contourW="25400">
            <a:contourClr>
              <a:schemeClr val="lt1"/>
            </a:contourClr>
          </a:sp3d>
        </c:spPr>
      </c:pivotFmt>
      <c:pivotFmt>
        <c:idx val="30"/>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15:layout/>
            </c:ext>
          </c:extLst>
        </c:dLbl>
      </c:pivotFmt>
      <c:pivotFmt>
        <c:idx val="31"/>
        <c:spPr>
          <a:solidFill>
            <a:schemeClr val="accent1"/>
          </a:solidFill>
          <a:ln w="25400">
            <a:solidFill>
              <a:schemeClr val="lt1"/>
            </a:solidFill>
          </a:ln>
          <a:effectLst/>
          <a:sp3d contourW="25400">
            <a:contourClr>
              <a:schemeClr val="lt1"/>
            </a:contourClr>
          </a:sp3d>
        </c:spPr>
      </c:pivotFmt>
      <c:pivotFmt>
        <c:idx val="32"/>
        <c:spPr>
          <a:solidFill>
            <a:schemeClr val="accent2"/>
          </a:solidFill>
          <a:ln w="25400">
            <a:solidFill>
              <a:schemeClr val="lt1"/>
            </a:solidFill>
          </a:ln>
          <a:effectLst/>
          <a:sp3d contourW="25400">
            <a:contourClr>
              <a:schemeClr val="lt1"/>
            </a:contourClr>
          </a:sp3d>
        </c:spPr>
      </c:pivotFmt>
      <c:pivotFmt>
        <c:idx val="33"/>
        <c:spPr>
          <a:solidFill>
            <a:schemeClr val="accent3"/>
          </a:solidFill>
          <a:ln w="25400">
            <a:solidFill>
              <a:schemeClr val="lt1"/>
            </a:solidFill>
          </a:ln>
          <a:effectLst/>
          <a:sp3d contourW="25400">
            <a:contourClr>
              <a:schemeClr val="lt1"/>
            </a:contourClr>
          </a:sp3d>
        </c:spPr>
      </c:pivotFmt>
      <c:pivotFmt>
        <c:idx val="34"/>
        <c:spPr>
          <a:solidFill>
            <a:schemeClr val="accent4"/>
          </a:solidFill>
          <a:ln w="25400">
            <a:solidFill>
              <a:schemeClr val="lt1"/>
            </a:solidFill>
          </a:ln>
          <a:effectLst/>
          <a:sp3d contourW="25400">
            <a:contourClr>
              <a:schemeClr val="lt1"/>
            </a:contourClr>
          </a:sp3d>
        </c:spPr>
      </c:pivotFmt>
      <c:pivotFmt>
        <c:idx val="35"/>
        <c:spPr>
          <a:solidFill>
            <a:schemeClr val="accent5"/>
          </a:solidFill>
          <a:ln w="25400">
            <a:solidFill>
              <a:schemeClr val="lt1"/>
            </a:solidFill>
          </a:ln>
          <a:effectLst/>
          <a:sp3d contourW="25400">
            <a:contourClr>
              <a:schemeClr val="lt1"/>
            </a:contourClr>
          </a:sp3d>
        </c:spPr>
        <c:dLbl>
          <c:idx val="0"/>
          <c:layout>
            <c:manualLayout>
              <c:x val="-0.12113436162945383"/>
              <c:y val="2.5318574308646202E-3"/>
            </c:manualLayout>
          </c:layout>
          <c:dLblPos val="bestFit"/>
          <c:showLegendKey val="0"/>
          <c:showVal val="0"/>
          <c:showCatName val="0"/>
          <c:showSerName val="0"/>
          <c:showPercent val="1"/>
          <c:showBubbleSize val="0"/>
          <c:extLst>
            <c:ext xmlns:c15="http://schemas.microsoft.com/office/drawing/2012/chart" uri="{CE6537A1-D6FC-4f65-9D91-7224C49458BB}">
              <c15:layout>
                <c:manualLayout>
                  <c:w val="6.5433789954337906E-2"/>
                  <c:h val="0.12874434173989122"/>
                </c:manualLayout>
              </c15:layout>
            </c:ext>
          </c:extLst>
        </c:dLbl>
      </c:pivotFmt>
      <c:pivotFmt>
        <c:idx val="36"/>
        <c:spPr>
          <a:solidFill>
            <a:schemeClr val="accent6"/>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7625930320353791E-2"/>
          <c:y val="0.22364106660580471"/>
          <c:w val="0.54192535864523783"/>
          <c:h val="0.61832173152268999"/>
        </c:manualLayout>
      </c:layout>
      <c:pie3DChart>
        <c:varyColors val="1"/>
        <c:ser>
          <c:idx val="0"/>
          <c:order val="0"/>
          <c:tx>
            <c:strRef>
              <c:f>SituationAnalysis!$C$464</c:f>
              <c:strCache>
                <c:ptCount val="1"/>
                <c:pt idx="0">
                  <c:v>Total</c:v>
                </c:pt>
              </c:strCache>
            </c:strRef>
          </c:tx>
          <c:explosion val="6"/>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spPr>
              <a:solidFill>
                <a:schemeClr val="accent6"/>
              </a:solidFill>
              <a:ln w="25400">
                <a:solidFill>
                  <a:schemeClr val="lt1"/>
                </a:solidFill>
              </a:ln>
              <a:effectLst/>
              <a:sp3d contourW="25400">
                <a:contourClr>
                  <a:schemeClr val="lt1"/>
                </a:contourClr>
              </a:sp3d>
            </c:spPr>
          </c:dPt>
          <c:dLbls>
            <c:dLbl>
              <c:idx val="4"/>
              <c:layout>
                <c:manualLayout>
                  <c:x val="-0.12113436162945383"/>
                  <c:y val="2.5318574308646202E-3"/>
                </c:manualLayout>
              </c:layout>
              <c:dLblPos val="bestFit"/>
              <c:showLegendKey val="0"/>
              <c:showVal val="0"/>
              <c:showCatName val="0"/>
              <c:showSerName val="0"/>
              <c:showPercent val="1"/>
              <c:showBubbleSize val="0"/>
              <c:extLst>
                <c:ext xmlns:c15="http://schemas.microsoft.com/office/drawing/2012/chart" uri="{CE6537A1-D6FC-4f65-9D91-7224C49458BB}">
                  <c15:layout>
                    <c:manualLayout>
                      <c:w val="6.5433789954337906E-2"/>
                      <c:h val="0.12874434173989122"/>
                    </c:manualLayout>
                  </c15:layout>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dLbls>
          <c:cat>
            <c:strRef>
              <c:f>SituationAnalysis!$B$465:$B$471</c:f>
              <c:strCache>
                <c:ptCount val="6"/>
                <c:pt idx="0">
                  <c:v>Latrine shared by families , not separated</c:v>
                </c:pt>
                <c:pt idx="1">
                  <c:v>Not separated yet</c:v>
                </c:pt>
                <c:pt idx="2">
                  <c:v>Separate, but not clearly perceived</c:v>
                </c:pt>
                <c:pt idx="3">
                  <c:v>Separate, clearly perceived</c:v>
                </c:pt>
                <c:pt idx="4">
                  <c:v>separated</c:v>
                </c:pt>
                <c:pt idx="5">
                  <c:v>Separated, clearly perceived</c:v>
                </c:pt>
              </c:strCache>
            </c:strRef>
          </c:cat>
          <c:val>
            <c:numRef>
              <c:f>SituationAnalysis!$C$465:$C$471</c:f>
              <c:numCache>
                <c:formatCode>0</c:formatCode>
                <c:ptCount val="6"/>
                <c:pt idx="0">
                  <c:v>75</c:v>
                </c:pt>
                <c:pt idx="1">
                  <c:v>38</c:v>
                </c:pt>
                <c:pt idx="2">
                  <c:v>7</c:v>
                </c:pt>
                <c:pt idx="3">
                  <c:v>31</c:v>
                </c:pt>
                <c:pt idx="4">
                  <c:v>1</c:v>
                </c:pt>
                <c:pt idx="5">
                  <c:v>1</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2015.xlsx]SituationAnalysis!PivotTable19</c:name>
    <c:fmtId val="2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Latrine Type coverage</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SituationAnalysis!$C$282</c:f>
              <c:strCache>
                <c:ptCount val="1"/>
                <c:pt idx="0">
                  <c:v>% Coverage Permanent Latrine</c:v>
                </c:pt>
              </c:strCache>
            </c:strRef>
          </c:tx>
          <c:spPr>
            <a:solidFill>
              <a:schemeClr val="accent1"/>
            </a:solidFill>
            <a:ln>
              <a:noFill/>
            </a:ln>
            <a:effectLst/>
            <a:sp3d/>
          </c:spPr>
          <c:invertIfNegative val="0"/>
          <c:cat>
            <c:strRef>
              <c:f>SituationAnalysis!$B$283:$B$293</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SituationAnalysis!$C$283:$C$293</c:f>
              <c:numCache>
                <c:formatCode>0%</c:formatCode>
                <c:ptCount val="10"/>
                <c:pt idx="0">
                  <c:v>0.73387978142076504</c:v>
                </c:pt>
                <c:pt idx="1">
                  <c:v>0.80788291776366739</c:v>
                </c:pt>
                <c:pt idx="2">
                  <c:v>0.98746081504702199</c:v>
                </c:pt>
                <c:pt idx="3">
                  <c:v>0.52628398791540787</c:v>
                </c:pt>
                <c:pt idx="4">
                  <c:v>0.49081422370324901</c:v>
                </c:pt>
                <c:pt idx="5">
                  <c:v>0.67090518954144485</c:v>
                </c:pt>
                <c:pt idx="6">
                  <c:v>0.2777040477770405</c:v>
                </c:pt>
                <c:pt idx="7">
                  <c:v>0.14732411304870716</c:v>
                </c:pt>
                <c:pt idx="8">
                  <c:v>0.40404040404040403</c:v>
                </c:pt>
                <c:pt idx="9">
                  <c:v>0.34344172451589333</c:v>
                </c:pt>
              </c:numCache>
            </c:numRef>
          </c:val>
        </c:ser>
        <c:ser>
          <c:idx val="1"/>
          <c:order val="1"/>
          <c:tx>
            <c:strRef>
              <c:f>SituationAnalysis!$D$282</c:f>
              <c:strCache>
                <c:ptCount val="1"/>
                <c:pt idx="0">
                  <c:v>%  Coverage Emergency latrine</c:v>
                </c:pt>
              </c:strCache>
            </c:strRef>
          </c:tx>
          <c:spPr>
            <a:solidFill>
              <a:schemeClr val="accent2"/>
            </a:solidFill>
            <a:ln>
              <a:noFill/>
            </a:ln>
            <a:effectLst/>
            <a:sp3d/>
          </c:spPr>
          <c:invertIfNegative val="0"/>
          <c:cat>
            <c:strRef>
              <c:f>SituationAnalysis!$B$283:$B$293</c:f>
              <c:strCache>
                <c:ptCount val="10"/>
                <c:pt idx="0">
                  <c:v>Cluster 1</c:v>
                </c:pt>
                <c:pt idx="1">
                  <c:v>Cluster 2</c:v>
                </c:pt>
                <c:pt idx="2">
                  <c:v>Cluster 3</c:v>
                </c:pt>
                <c:pt idx="3">
                  <c:v>Cluster 4</c:v>
                </c:pt>
                <c:pt idx="4">
                  <c:v>Cluster 5</c:v>
                </c:pt>
                <c:pt idx="5">
                  <c:v>Cluster 6</c:v>
                </c:pt>
                <c:pt idx="6">
                  <c:v>Cluster 7</c:v>
                </c:pt>
                <c:pt idx="7">
                  <c:v>Cluster 8</c:v>
                </c:pt>
                <c:pt idx="8">
                  <c:v>Cluster 9</c:v>
                </c:pt>
                <c:pt idx="9">
                  <c:v>Cluster 10</c:v>
                </c:pt>
              </c:strCache>
            </c:strRef>
          </c:cat>
          <c:val>
            <c:numRef>
              <c:f>SituationAnalysis!$D$283:$D$293</c:f>
              <c:numCache>
                <c:formatCode>0%</c:formatCode>
                <c:ptCount val="10"/>
                <c:pt idx="0">
                  <c:v>6.2295081967213117E-2</c:v>
                </c:pt>
                <c:pt idx="1">
                  <c:v>7.6196376026018281E-2</c:v>
                </c:pt>
                <c:pt idx="2">
                  <c:v>0</c:v>
                </c:pt>
                <c:pt idx="3">
                  <c:v>0.27466551575312903</c:v>
                </c:pt>
                <c:pt idx="4">
                  <c:v>0.41246108650852809</c:v>
                </c:pt>
                <c:pt idx="5">
                  <c:v>0.22983390288484462</c:v>
                </c:pt>
                <c:pt idx="6">
                  <c:v>0.53782349037823496</c:v>
                </c:pt>
                <c:pt idx="7">
                  <c:v>0.6515333734215274</c:v>
                </c:pt>
                <c:pt idx="8">
                  <c:v>0.59595959595959591</c:v>
                </c:pt>
                <c:pt idx="9">
                  <c:v>0.48776032151991233</c:v>
                </c:pt>
              </c:numCache>
            </c:numRef>
          </c:val>
        </c:ser>
        <c:dLbls>
          <c:showLegendKey val="0"/>
          <c:showVal val="0"/>
          <c:showCatName val="0"/>
          <c:showSerName val="0"/>
          <c:showPercent val="0"/>
          <c:showBubbleSize val="0"/>
        </c:dLbls>
        <c:gapWidth val="150"/>
        <c:shape val="box"/>
        <c:axId val="107625472"/>
        <c:axId val="107639552"/>
        <c:axId val="0"/>
      </c:bar3DChart>
      <c:catAx>
        <c:axId val="1076254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639552"/>
        <c:crosses val="autoZero"/>
        <c:auto val="1"/>
        <c:lblAlgn val="ctr"/>
        <c:lblOffset val="100"/>
        <c:noMultiLvlLbl val="0"/>
      </c:catAx>
      <c:valAx>
        <c:axId val="1076395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625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2015.xlsx]SituationAnalysis!PivotTable15</c:name>
    <c:fmtId val="1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Number of latrine missing</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SituationAnalysis!$C$194:$C$195</c:f>
              <c:strCache>
                <c:ptCount val="1"/>
                <c:pt idx="0">
                  <c:v>GCA</c:v>
                </c:pt>
              </c:strCache>
            </c:strRef>
          </c:tx>
          <c:spPr>
            <a:solidFill>
              <a:schemeClr val="accent1"/>
            </a:solidFill>
            <a:ln>
              <a:noFill/>
            </a:ln>
            <a:effectLst/>
            <a:sp3d/>
          </c:spPr>
          <c:invertIfNegative val="0"/>
          <c:cat>
            <c:strRef>
              <c:f>SituationAnalysis!$B$196:$B$215</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SituationAnalysis!$C$196:$C$215</c:f>
              <c:numCache>
                <c:formatCode>0</c:formatCode>
                <c:ptCount val="19"/>
                <c:pt idx="0">
                  <c:v>222.29999999999998</c:v>
                </c:pt>
                <c:pt idx="1">
                  <c:v>35.4</c:v>
                </c:pt>
                <c:pt idx="2">
                  <c:v>48.7</c:v>
                </c:pt>
                <c:pt idx="3">
                  <c:v>0.85</c:v>
                </c:pt>
                <c:pt idx="4">
                  <c:v>130.60000000000002</c:v>
                </c:pt>
                <c:pt idx="5">
                  <c:v>1.75</c:v>
                </c:pt>
                <c:pt idx="6">
                  <c:v>262.14999999999998</c:v>
                </c:pt>
                <c:pt idx="7">
                  <c:v>15.2</c:v>
                </c:pt>
                <c:pt idx="8">
                  <c:v>0</c:v>
                </c:pt>
                <c:pt idx="9">
                  <c:v>0.20000000000000018</c:v>
                </c:pt>
                <c:pt idx="10">
                  <c:v>184.95</c:v>
                </c:pt>
                <c:pt idx="11">
                  <c:v>27.299999999999997</c:v>
                </c:pt>
                <c:pt idx="12">
                  <c:v>46.7</c:v>
                </c:pt>
                <c:pt idx="13">
                  <c:v>55.05</c:v>
                </c:pt>
                <c:pt idx="14">
                  <c:v>2.6</c:v>
                </c:pt>
                <c:pt idx="15">
                  <c:v>14.249999999999998</c:v>
                </c:pt>
                <c:pt idx="16">
                  <c:v>4.9000000000000004</c:v>
                </c:pt>
                <c:pt idx="17">
                  <c:v>77.349999999999994</c:v>
                </c:pt>
                <c:pt idx="18">
                  <c:v>11.1</c:v>
                </c:pt>
              </c:numCache>
            </c:numRef>
          </c:val>
        </c:ser>
        <c:ser>
          <c:idx val="1"/>
          <c:order val="1"/>
          <c:tx>
            <c:strRef>
              <c:f>SituationAnalysis!$D$194:$D$195</c:f>
              <c:strCache>
                <c:ptCount val="1"/>
                <c:pt idx="0">
                  <c:v>NGCA</c:v>
                </c:pt>
              </c:strCache>
            </c:strRef>
          </c:tx>
          <c:spPr>
            <a:solidFill>
              <a:schemeClr val="accent2"/>
            </a:solidFill>
            <a:ln>
              <a:noFill/>
            </a:ln>
            <a:effectLst/>
            <a:sp3d/>
          </c:spPr>
          <c:invertIfNegative val="0"/>
          <c:cat>
            <c:strRef>
              <c:f>SituationAnalysis!$B$196:$B$215</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SituationAnalysis!$D$196:$D$215</c:f>
              <c:numCache>
                <c:formatCode>0</c:formatCode>
                <c:ptCount val="19"/>
                <c:pt idx="1">
                  <c:v>43.65</c:v>
                </c:pt>
                <c:pt idx="6">
                  <c:v>94.050000000000011</c:v>
                </c:pt>
                <c:pt idx="7">
                  <c:v>22.3</c:v>
                </c:pt>
                <c:pt idx="10">
                  <c:v>95.8</c:v>
                </c:pt>
                <c:pt idx="12">
                  <c:v>84.55</c:v>
                </c:pt>
                <c:pt idx="17">
                  <c:v>592.04999999999995</c:v>
                </c:pt>
              </c:numCache>
            </c:numRef>
          </c:val>
        </c:ser>
        <c:dLbls>
          <c:showLegendKey val="0"/>
          <c:showVal val="0"/>
          <c:showCatName val="0"/>
          <c:showSerName val="0"/>
          <c:showPercent val="0"/>
          <c:showBubbleSize val="0"/>
        </c:dLbls>
        <c:gapWidth val="150"/>
        <c:shape val="box"/>
        <c:axId val="107666048"/>
        <c:axId val="107676032"/>
        <c:axId val="0"/>
      </c:bar3DChart>
      <c:catAx>
        <c:axId val="1076660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676032"/>
        <c:crosses val="autoZero"/>
        <c:auto val="1"/>
        <c:lblAlgn val="ctr"/>
        <c:lblOffset val="100"/>
        <c:noMultiLvlLbl val="0"/>
      </c:catAx>
      <c:valAx>
        <c:axId val="107676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666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2015.xlsx]Funds analysis!PivotTable2</c:name>
    <c:fmtId val="8"/>
  </c:pivotSource>
  <c:chart>
    <c:title>
      <c:tx>
        <c:rich>
          <a:bodyPr/>
          <a:lstStyle/>
          <a:p>
            <a:pPr>
              <a:defRPr sz="1400"/>
            </a:pPr>
            <a:r>
              <a:rPr lang="en-US" sz="1400"/>
              <a:t>DONORS</a:t>
            </a:r>
            <a:r>
              <a:rPr lang="en-US" sz="1400" baseline="0"/>
              <a:t> FUNDING</a:t>
            </a:r>
            <a:endParaRPr lang="en-US" sz="1400">
              <a:solidFill>
                <a:srgbClr val="FF0000"/>
              </a:solidFill>
            </a:endParaRPr>
          </a:p>
        </c:rich>
      </c:tx>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dLbl>
          <c:idx val="0"/>
          <c:layout>
            <c:manualLayout>
              <c:x val="5.946545414217589E-2"/>
              <c:y val="-0.1189238845144357"/>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3"/>
        <c:dLbl>
          <c:idx val="0"/>
          <c:layout>
            <c:manualLayout>
              <c:x val="6.6003659753798377E-2"/>
              <c:y val="-1.5044088590049839E-2"/>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4"/>
        <c:marker>
          <c:symbol val="none"/>
        </c:marker>
        <c:dLbl>
          <c:idx val="0"/>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5"/>
        <c:dLbl>
          <c:idx val="0"/>
          <c:layout>
            <c:manualLayout>
              <c:x val="5.946545414217589E-2"/>
              <c:y val="-0.1189238845144357"/>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16"/>
        <c:dLbl>
          <c:idx val="0"/>
          <c:layout>
            <c:manualLayout>
              <c:x val="-0.10547935324878284"/>
              <c:y val="-0.10599319572803956"/>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17"/>
        <c:dLbl>
          <c:idx val="0"/>
          <c:layout>
            <c:manualLayout>
              <c:x val="0.13221509286530023"/>
              <c:y val="-0.14823952615611244"/>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18"/>
        <c:dLbl>
          <c:idx val="0"/>
          <c:layout>
            <c:manualLayout>
              <c:x val="1.3367944941996755E-2"/>
              <c:y val="3.7459007768794947E-2"/>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19"/>
        <c:dLbl>
          <c:idx val="0"/>
          <c:layout>
            <c:manualLayout>
              <c:x val="5.2573781330768767E-2"/>
              <c:y val="0.20311584799116147"/>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20"/>
        <c:dLbl>
          <c:idx val="0"/>
          <c:layout>
            <c:manualLayout>
              <c:x val="-8.6406804111318052E-3"/>
              <c:y val="0.19588981638987768"/>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21"/>
        <c:dLbl>
          <c:idx val="0"/>
          <c:layout>
            <c:manualLayout>
              <c:x val="0.13819829296147143"/>
              <c:y val="-6.9367842800273569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2"/>
        <c:dLbl>
          <c:idx val="0"/>
          <c:layout>
            <c:manualLayout>
              <c:x val="-8.9854691350604074E-2"/>
              <c:y val="-0.23238254739315725"/>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23"/>
        <c:dLbl>
          <c:idx val="0"/>
          <c:layout>
            <c:manualLayout>
              <c:x val="-4.5496483741059093E-2"/>
              <c:y val="0.11570484716693265"/>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24"/>
        <c:dLbl>
          <c:idx val="0"/>
          <c:layout>
            <c:manualLayout>
              <c:x val="-0.10028911462403077"/>
              <c:y val="-6.9890658155481126E-3"/>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25"/>
        <c:dLbl>
          <c:idx val="0"/>
          <c:layout>
            <c:manualLayout>
              <c:x val="6.3101520706858205E-2"/>
              <c:y val="-0.16302632271188819"/>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26"/>
        <c:dLbl>
          <c:idx val="0"/>
          <c:layout>
            <c:manualLayout>
              <c:x val="1.3842038829115826E-2"/>
              <c:y val="8.3047629903723053E-2"/>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27"/>
        <c:dLbl>
          <c:idx val="0"/>
          <c:layout>
            <c:manualLayout>
              <c:x val="4.5852467391957683E-2"/>
              <c:y val="3.6941891868193535E-2"/>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28"/>
        <c:dLbl>
          <c:idx val="0"/>
          <c:layout>
            <c:manualLayout>
              <c:x val="9.2312315922341761E-3"/>
              <c:y val="-0.17308432562299422"/>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29"/>
        <c:dLbl>
          <c:idx val="0"/>
          <c:layout>
            <c:manualLayout>
              <c:x val="1.3397547634789926E-2"/>
              <c:y val="-0.12856588569524577"/>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30"/>
        <c:dLbl>
          <c:idx val="0"/>
          <c:layout>
            <c:manualLayout>
              <c:x val="-5.9089529362264831E-2"/>
              <c:y val="0.10295363274468197"/>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16592816742977551"/>
          <c:y val="0.25175345913052627"/>
          <c:w val="0.74775786005472722"/>
          <c:h val="0.61369520690754775"/>
        </c:manualLayout>
      </c:layout>
      <c:pie3DChart>
        <c:varyColors val="1"/>
        <c:ser>
          <c:idx val="0"/>
          <c:order val="0"/>
          <c:tx>
            <c:strRef>
              <c:f>'Funds analysis'!$C$8:$C$9</c:f>
              <c:strCache>
                <c:ptCount val="1"/>
                <c:pt idx="0">
                  <c:v>Total</c:v>
                </c:pt>
              </c:strCache>
            </c:strRef>
          </c:tx>
          <c:explosion val="25"/>
          <c:dLbls>
            <c:dLbl>
              <c:idx val="0"/>
              <c:layout>
                <c:manualLayout>
                  <c:x val="1.3397547634789926E-2"/>
                  <c:y val="-0.12856588569524577"/>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
              <c:layout>
                <c:manualLayout>
                  <c:x val="5.946545414217589E-2"/>
                  <c:y val="-0.1189238845144357"/>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2"/>
              <c:layout>
                <c:manualLayout>
                  <c:x val="1.3367944941996755E-2"/>
                  <c:y val="3.7459007768794947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3"/>
              <c:layout>
                <c:manualLayout>
                  <c:x val="1.3842038829115826E-2"/>
                  <c:y val="8.3047629903723053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4"/>
              <c:layout>
                <c:manualLayout>
                  <c:x val="4.5852467391957683E-2"/>
                  <c:y val="3.6941891868193535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5"/>
              <c:layout>
                <c:manualLayout>
                  <c:x val="5.2573781330768767E-2"/>
                  <c:y val="0.20311584799116147"/>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6"/>
              <c:layout>
                <c:manualLayout>
                  <c:x val="-8.6406804111318052E-3"/>
                  <c:y val="0.19588981638987768"/>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4.5496483741059093E-2"/>
                  <c:y val="0.11570484716693265"/>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layout>
                <c:manualLayout>
                  <c:x val="-5.9089529362264831E-2"/>
                  <c:y val="0.10295363274468197"/>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9"/>
              <c:layout>
                <c:manualLayout>
                  <c:x val="-0.10028911462403077"/>
                  <c:y val="-6.9890658155481126E-3"/>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0"/>
              <c:layout>
                <c:manualLayout>
                  <c:x val="-0.10547935324878284"/>
                  <c:y val="-0.10599319572803956"/>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1"/>
              <c:layout>
                <c:manualLayout>
                  <c:x val="-8.9854691350604074E-2"/>
                  <c:y val="-0.23238254739315725"/>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2"/>
              <c:layout>
                <c:manualLayout>
                  <c:x val="9.2312315922341761E-3"/>
                  <c:y val="-0.1730843256229942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3"/>
              <c:layout>
                <c:manualLayout>
                  <c:x val="6.3101520706858205E-2"/>
                  <c:y val="-0.16302632271188819"/>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14"/>
              <c:layout>
                <c:manualLayout>
                  <c:x val="0.13221509286530023"/>
                  <c:y val="-0.14823952615611244"/>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a:lstStyle/>
              <a:p>
                <a:pPr>
                  <a:defRPr/>
                </a:pPr>
                <a:endParaRPr lang="en-US"/>
              </a:p>
            </c:txPr>
            <c:showLegendKey val="0"/>
            <c:showVal val="1"/>
            <c:showCatName val="1"/>
            <c:showSerName val="0"/>
            <c:showPercent val="1"/>
            <c:showBubbleSize val="0"/>
            <c:separator>
</c:separator>
            <c:showLeaderLines val="1"/>
          </c:dLbls>
          <c:cat>
            <c:strRef>
              <c:f>'Funds analysis'!$B$10:$B$26</c:f>
              <c:strCache>
                <c:ptCount val="16"/>
                <c:pt idx="0">
                  <c:v>ECHO</c:v>
                </c:pt>
                <c:pt idx="1">
                  <c:v>Germany</c:v>
                </c:pt>
                <c:pt idx="2">
                  <c:v>HMSF</c:v>
                </c:pt>
                <c:pt idx="3">
                  <c:v>OFDA</c:v>
                </c:pt>
                <c:pt idx="4">
                  <c:v>CERF</c:v>
                </c:pt>
                <c:pt idx="5">
                  <c:v>Canada</c:v>
                </c:pt>
                <c:pt idx="6">
                  <c:v>Australian</c:v>
                </c:pt>
                <c:pt idx="7">
                  <c:v>France</c:v>
                </c:pt>
                <c:pt idx="8">
                  <c:v>Irland</c:v>
                </c:pt>
                <c:pt idx="9">
                  <c:v>Sweden</c:v>
                </c:pt>
                <c:pt idx="10">
                  <c:v>CIDA</c:v>
                </c:pt>
                <c:pt idx="11">
                  <c:v>Japan</c:v>
                </c:pt>
                <c:pt idx="12">
                  <c:v>SC seed funding</c:v>
                </c:pt>
                <c:pt idx="13">
                  <c:v>SIDA</c:v>
                </c:pt>
                <c:pt idx="14">
                  <c:v>Start fund</c:v>
                </c:pt>
                <c:pt idx="15">
                  <c:v>DFAT</c:v>
                </c:pt>
              </c:strCache>
            </c:strRef>
          </c:cat>
          <c:val>
            <c:numRef>
              <c:f>'Funds analysis'!$C$10:$C$26</c:f>
              <c:numCache>
                <c:formatCode>#,##0</c:formatCode>
                <c:ptCount val="16"/>
                <c:pt idx="0">
                  <c:v>3902592</c:v>
                </c:pt>
                <c:pt idx="1">
                  <c:v>338770</c:v>
                </c:pt>
                <c:pt idx="2">
                  <c:v>346135</c:v>
                </c:pt>
                <c:pt idx="3">
                  <c:v>2224995</c:v>
                </c:pt>
                <c:pt idx="4">
                  <c:v>2195052.61</c:v>
                </c:pt>
                <c:pt idx="5">
                  <c:v>292113</c:v>
                </c:pt>
                <c:pt idx="6">
                  <c:v>515029</c:v>
                </c:pt>
                <c:pt idx="7">
                  <c:v>197000</c:v>
                </c:pt>
                <c:pt idx="8">
                  <c:v>245165</c:v>
                </c:pt>
                <c:pt idx="9">
                  <c:v>156270</c:v>
                </c:pt>
                <c:pt idx="10">
                  <c:v>191487</c:v>
                </c:pt>
                <c:pt idx="11">
                  <c:v>750000</c:v>
                </c:pt>
                <c:pt idx="12">
                  <c:v>17000</c:v>
                </c:pt>
                <c:pt idx="13">
                  <c:v>80400</c:v>
                </c:pt>
                <c:pt idx="14">
                  <c:v>43482</c:v>
                </c:pt>
                <c:pt idx="15">
                  <c:v>1520909.0013263728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2015.xlsx]Funds analysis!PivotTable3</c:name>
    <c:fmtId val="3"/>
  </c:pivotSource>
  <c:chart>
    <c:title>
      <c:tx>
        <c:rich>
          <a:bodyPr/>
          <a:lstStyle/>
          <a:p>
            <a:pPr>
              <a:defRPr sz="1400"/>
            </a:pPr>
            <a:r>
              <a:rPr lang="en-US" sz="1400"/>
              <a:t>FUNDS REPARTITION BY SUB-SECTOR</a:t>
            </a:r>
          </a:p>
        </c:rich>
      </c:tx>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dLbl>
          <c:idx val="0"/>
          <c:layout>
            <c:manualLayout>
              <c:x val="6.8367719857802605E-3"/>
              <c:y val="-0.18528857791739767"/>
            </c:manualLayout>
          </c:layout>
          <c:showLegendKey val="0"/>
          <c:showVal val="0"/>
          <c:showCatName val="1"/>
          <c:showSerName val="0"/>
          <c:showPercent val="1"/>
          <c:showBubbleSize val="0"/>
          <c:extLst>
            <c:ext xmlns:c15="http://schemas.microsoft.com/office/drawing/2012/chart" uri="{CE6537A1-D6FC-4f65-9D91-7224C49458BB}"/>
          </c:extLst>
        </c:dLbl>
      </c:pivotFmt>
      <c:pivotFmt>
        <c:idx val="2"/>
        <c:dLbl>
          <c:idx val="0"/>
          <c:layout>
            <c:manualLayout>
              <c:x val="5.1789407714310023E-2"/>
              <c:y val="-3.4154288952517081E-3"/>
            </c:manualLayout>
          </c:layout>
          <c:spPr/>
          <c:txPr>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3"/>
        <c:dLbl>
          <c:idx val="0"/>
          <c:layout>
            <c:manualLayout>
              <c:x val="-0.23264034794902508"/>
              <c:y val="-2.0951518134096875E-2"/>
            </c:manualLayout>
          </c:layout>
          <c:spPr/>
          <c:txPr>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4"/>
        <c:dLbl>
          <c:idx val="0"/>
          <c:layout>
            <c:manualLayout>
              <c:x val="-2.5536879585812373E-2"/>
              <c:y val="-4.3686620138391793E-2"/>
            </c:manualLayout>
          </c:layout>
          <c:spPr/>
          <c:txPr>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5"/>
        <c:marker>
          <c:symbol val="none"/>
        </c:marker>
        <c:dLbl>
          <c:idx val="0"/>
          <c:spPr/>
          <c:txPr>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dLbl>
          <c:idx val="0"/>
          <c:layout>
            <c:manualLayout>
              <c:x val="5.1789407714310023E-2"/>
              <c:y val="-3.4154288952517081E-3"/>
            </c:manualLayout>
          </c:layout>
          <c:showLegendKey val="0"/>
          <c:showVal val="0"/>
          <c:showCatName val="1"/>
          <c:showSerName val="0"/>
          <c:showPercent val="0"/>
          <c:showBubbleSize val="0"/>
          <c:extLst>
            <c:ext xmlns:c15="http://schemas.microsoft.com/office/drawing/2012/chart" uri="{CE6537A1-D6FC-4f65-9D91-7224C49458BB}"/>
          </c:extLst>
        </c:dLbl>
      </c:pivotFmt>
      <c:pivotFmt>
        <c:idx val="8"/>
        <c:dLbl>
          <c:idx val="0"/>
          <c:layout>
            <c:manualLayout>
              <c:x val="0.12652030784287549"/>
              <c:y val="-0.18303412589143458"/>
            </c:manualLayout>
          </c:layout>
          <c:showLegendKey val="0"/>
          <c:showVal val="0"/>
          <c:showCatName val="1"/>
          <c:showSerName val="0"/>
          <c:showPercent val="0"/>
          <c:showBubbleSize val="0"/>
          <c:extLst>
            <c:ext xmlns:c15="http://schemas.microsoft.com/office/drawing/2012/chart" uri="{CE6537A1-D6FC-4f65-9D91-7224C49458BB}"/>
          </c:extLst>
        </c:dLbl>
      </c:pivotFmt>
      <c:pivotFmt>
        <c:idx val="9"/>
        <c:dLbl>
          <c:idx val="0"/>
          <c:layout>
            <c:manualLayout>
              <c:x val="-2.5536879585812373E-2"/>
              <c:y val="-4.3686620138391793E-2"/>
            </c:manualLayout>
          </c:layout>
          <c:showLegendKey val="0"/>
          <c:showVal val="0"/>
          <c:showCatName val="1"/>
          <c:showSerName val="0"/>
          <c:showPercent val="0"/>
          <c:showBubbleSize val="0"/>
          <c:extLst>
            <c:ext xmlns:c15="http://schemas.microsoft.com/office/drawing/2012/chart" uri="{CE6537A1-D6FC-4f65-9D91-7224C49458BB}"/>
          </c:extLst>
        </c:dLbl>
      </c:pivotFmt>
    </c:pivotFmts>
    <c:view3D>
      <c:rotX val="30"/>
      <c:rotY val="0"/>
      <c:rAngAx val="0"/>
      <c:perspective val="30"/>
    </c:view3D>
    <c:floor>
      <c:thickness val="0"/>
    </c:floor>
    <c:sideWall>
      <c:thickness val="0"/>
    </c:sideWall>
    <c:backWall>
      <c:thickness val="0"/>
    </c:backWall>
    <c:plotArea>
      <c:layout/>
      <c:pie3DChart>
        <c:varyColors val="1"/>
        <c:ser>
          <c:idx val="0"/>
          <c:order val="0"/>
          <c:tx>
            <c:strRef>
              <c:f>'Funds analysis'!$C$140</c:f>
              <c:strCache>
                <c:ptCount val="1"/>
                <c:pt idx="0">
                  <c:v>Total</c:v>
                </c:pt>
              </c:strCache>
            </c:strRef>
          </c:tx>
          <c:explosion val="25"/>
          <c:dLbls>
            <c:dLbl>
              <c:idx val="0"/>
              <c:layout>
                <c:manualLayout>
                  <c:x val="5.1789407714310023E-2"/>
                  <c:y val="-3.4154288952517081E-3"/>
                </c:manualLayout>
              </c:layout>
              <c:showLegendKey val="0"/>
              <c:showVal val="0"/>
              <c:showCatName val="1"/>
              <c:showSerName val="0"/>
              <c:showPercent val="0"/>
              <c:showBubbleSize val="0"/>
              <c:extLst>
                <c:ext xmlns:c15="http://schemas.microsoft.com/office/drawing/2012/chart" uri="{CE6537A1-D6FC-4f65-9D91-7224C49458BB}"/>
              </c:extLst>
            </c:dLbl>
            <c:dLbl>
              <c:idx val="1"/>
              <c:layout>
                <c:manualLayout>
                  <c:x val="0.12652030784287549"/>
                  <c:y val="-0.18303412589143458"/>
                </c:manualLayout>
              </c:layout>
              <c:showLegendKey val="0"/>
              <c:showVal val="0"/>
              <c:showCatName val="1"/>
              <c:showSerName val="0"/>
              <c:showPercent val="0"/>
              <c:showBubbleSize val="0"/>
              <c:extLst>
                <c:ext xmlns:c15="http://schemas.microsoft.com/office/drawing/2012/chart" uri="{CE6537A1-D6FC-4f65-9D91-7224C49458BB}"/>
              </c:extLst>
            </c:dLbl>
            <c:dLbl>
              <c:idx val="2"/>
              <c:layout>
                <c:manualLayout>
                  <c:x val="-2.5536879585812373E-2"/>
                  <c:y val="-4.3686620138391793E-2"/>
                </c:manualLayout>
              </c:layout>
              <c:showLegendKey val="0"/>
              <c:showVal val="0"/>
              <c:showCatName val="1"/>
              <c:showSerName val="0"/>
              <c:showPercent val="0"/>
              <c:showBubbleSize val="0"/>
              <c:extLst>
                <c:ext xmlns:c15="http://schemas.microsoft.com/office/drawing/2012/chart" uri="{CE6537A1-D6FC-4f65-9D91-7224C49458BB}"/>
              </c:extLst>
            </c:dLbl>
            <c:spPr>
              <a:noFill/>
              <a:ln>
                <a:noFill/>
              </a:ln>
              <a:effectLst/>
            </c:spPr>
            <c:txPr>
              <a:bodyPr/>
              <a:lstStyle/>
              <a:p>
                <a:pPr>
                  <a:defRPr/>
                </a:pPr>
                <a:endParaRPr lang="en-US"/>
              </a:p>
            </c:txPr>
            <c:showLegendKey val="0"/>
            <c:showVal val="0"/>
            <c:showCatName val="1"/>
            <c:showSerName val="0"/>
            <c:showPercent val="0"/>
            <c:showBubbleSize val="0"/>
            <c:showLeaderLines val="1"/>
          </c:dLbls>
          <c:cat>
            <c:strRef>
              <c:f>'Funds analysis'!$B$141:$B$143</c:f>
              <c:strCache>
                <c:ptCount val="3"/>
                <c:pt idx="0">
                  <c:v>Average of Approximate % of fund dedicated to sanitation</c:v>
                </c:pt>
                <c:pt idx="1">
                  <c:v>Average of Approximate % fund dedicated to Water access</c:v>
                </c:pt>
                <c:pt idx="2">
                  <c:v>Average of Approximate % of fund dedicated to HP</c:v>
                </c:pt>
              </c:strCache>
            </c:strRef>
          </c:cat>
          <c:val>
            <c:numRef>
              <c:f>'Funds analysis'!$C$141:$C$143</c:f>
              <c:numCache>
                <c:formatCode>0%</c:formatCode>
                <c:ptCount val="3"/>
                <c:pt idx="0">
                  <c:v>0.36213765358622524</c:v>
                </c:pt>
                <c:pt idx="1">
                  <c:v>0.28458225734343939</c:v>
                </c:pt>
                <c:pt idx="2">
                  <c:v>0.33048223154849782</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2015.xlsx]Funds analysis!PivotTable6</c:name>
    <c:fmtId val="2"/>
  </c:pivotSource>
  <c:chart>
    <c:title>
      <c:tx>
        <c:rich>
          <a:bodyPr/>
          <a:lstStyle/>
          <a:p>
            <a:pPr>
              <a:defRPr sz="1400"/>
            </a:pPr>
            <a:r>
              <a:rPr lang="en-US" sz="1400"/>
              <a:t>NB OF BENEFICIARIES PER SUB-SECTOR</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s>
    <c:view3D>
      <c:rotX val="15"/>
      <c:rotY val="20"/>
      <c:rAngAx val="1"/>
    </c:view3D>
    <c:floor>
      <c:thickness val="0"/>
      <c:spPr>
        <a:solidFill>
          <a:schemeClr val="bg1">
            <a:lumMod val="85000"/>
          </a:schemeClr>
        </a:solidFill>
      </c:spPr>
    </c:floor>
    <c:sideWall>
      <c:thickness val="0"/>
      <c:spPr>
        <a:solidFill>
          <a:schemeClr val="bg1">
            <a:lumMod val="85000"/>
          </a:schemeClr>
        </a:solidFill>
      </c:spPr>
    </c:sideWall>
    <c:backWall>
      <c:thickness val="0"/>
      <c:spPr>
        <a:solidFill>
          <a:schemeClr val="bg1">
            <a:lumMod val="85000"/>
          </a:schemeClr>
        </a:solidFill>
      </c:spPr>
    </c:backWall>
    <c:plotArea>
      <c:layout/>
      <c:bar3DChart>
        <c:barDir val="col"/>
        <c:grouping val="clustered"/>
        <c:varyColors val="0"/>
        <c:ser>
          <c:idx val="0"/>
          <c:order val="0"/>
          <c:tx>
            <c:strRef>
              <c:f>'Funds analysis'!$C$153:$C$154</c:f>
              <c:strCache>
                <c:ptCount val="1"/>
                <c:pt idx="0">
                  <c:v>2012</c:v>
                </c:pt>
              </c:strCache>
            </c:strRef>
          </c:tx>
          <c:invertIfNegative val="0"/>
          <c:cat>
            <c:strRef>
              <c:f>'Funds analysis'!$B$155:$B$157</c:f>
              <c:strCache>
                <c:ptCount val="3"/>
                <c:pt idx="0">
                  <c:v>Number of sanitation beneficiaries</c:v>
                </c:pt>
                <c:pt idx="1">
                  <c:v>Number of water access beneficiaries</c:v>
                </c:pt>
                <c:pt idx="2">
                  <c:v> Number of beneficiairies for HE</c:v>
                </c:pt>
              </c:strCache>
            </c:strRef>
          </c:cat>
          <c:val>
            <c:numRef>
              <c:f>'Funds analysis'!$C$155:$C$157</c:f>
              <c:numCache>
                <c:formatCode>0</c:formatCode>
                <c:ptCount val="3"/>
                <c:pt idx="0">
                  <c:v>273381</c:v>
                </c:pt>
                <c:pt idx="1">
                  <c:v>269017</c:v>
                </c:pt>
                <c:pt idx="2">
                  <c:v>292077</c:v>
                </c:pt>
              </c:numCache>
            </c:numRef>
          </c:val>
        </c:ser>
        <c:ser>
          <c:idx val="1"/>
          <c:order val="1"/>
          <c:tx>
            <c:strRef>
              <c:f>'Funds analysis'!$D$153:$D$154</c:f>
              <c:strCache>
                <c:ptCount val="1"/>
                <c:pt idx="0">
                  <c:v>2013</c:v>
                </c:pt>
              </c:strCache>
            </c:strRef>
          </c:tx>
          <c:invertIfNegative val="0"/>
          <c:cat>
            <c:strRef>
              <c:f>'Funds analysis'!$B$155:$B$157</c:f>
              <c:strCache>
                <c:ptCount val="3"/>
                <c:pt idx="0">
                  <c:v>Number of sanitation beneficiaries</c:v>
                </c:pt>
                <c:pt idx="1">
                  <c:v>Number of water access beneficiaries</c:v>
                </c:pt>
                <c:pt idx="2">
                  <c:v> Number of beneficiairies for HE</c:v>
                </c:pt>
              </c:strCache>
            </c:strRef>
          </c:cat>
          <c:val>
            <c:numRef>
              <c:f>'Funds analysis'!$D$155:$D$157</c:f>
              <c:numCache>
                <c:formatCode>0</c:formatCode>
                <c:ptCount val="3"/>
                <c:pt idx="0">
                  <c:v>64179</c:v>
                </c:pt>
                <c:pt idx="1">
                  <c:v>80502</c:v>
                </c:pt>
                <c:pt idx="2">
                  <c:v>88723</c:v>
                </c:pt>
              </c:numCache>
            </c:numRef>
          </c:val>
        </c:ser>
        <c:ser>
          <c:idx val="2"/>
          <c:order val="2"/>
          <c:tx>
            <c:strRef>
              <c:f>'Funds analysis'!$E$153:$E$154</c:f>
              <c:strCache>
                <c:ptCount val="1"/>
                <c:pt idx="0">
                  <c:v>2014</c:v>
                </c:pt>
              </c:strCache>
            </c:strRef>
          </c:tx>
          <c:invertIfNegative val="0"/>
          <c:cat>
            <c:strRef>
              <c:f>'Funds analysis'!$B$155:$B$157</c:f>
              <c:strCache>
                <c:ptCount val="3"/>
                <c:pt idx="0">
                  <c:v>Number of sanitation beneficiaries</c:v>
                </c:pt>
                <c:pt idx="1">
                  <c:v>Number of water access beneficiaries</c:v>
                </c:pt>
                <c:pt idx="2">
                  <c:v> Number of beneficiairies for HE</c:v>
                </c:pt>
              </c:strCache>
            </c:strRef>
          </c:cat>
          <c:val>
            <c:numRef>
              <c:f>'Funds analysis'!$E$155:$E$157</c:f>
              <c:numCache>
                <c:formatCode>0</c:formatCode>
                <c:ptCount val="3"/>
                <c:pt idx="0">
                  <c:v>113171</c:v>
                </c:pt>
                <c:pt idx="1">
                  <c:v>115597</c:v>
                </c:pt>
                <c:pt idx="2">
                  <c:v>119889</c:v>
                </c:pt>
              </c:numCache>
            </c:numRef>
          </c:val>
        </c:ser>
        <c:dLbls>
          <c:showLegendKey val="0"/>
          <c:showVal val="0"/>
          <c:showCatName val="0"/>
          <c:showSerName val="0"/>
          <c:showPercent val="0"/>
          <c:showBubbleSize val="0"/>
        </c:dLbls>
        <c:gapWidth val="150"/>
        <c:shape val="box"/>
        <c:axId val="108301312"/>
        <c:axId val="108311296"/>
        <c:axId val="0"/>
      </c:bar3DChart>
      <c:catAx>
        <c:axId val="108301312"/>
        <c:scaling>
          <c:orientation val="minMax"/>
        </c:scaling>
        <c:delete val="0"/>
        <c:axPos val="b"/>
        <c:numFmt formatCode="General" sourceLinked="0"/>
        <c:majorTickMark val="out"/>
        <c:minorTickMark val="none"/>
        <c:tickLblPos val="nextTo"/>
        <c:crossAx val="108311296"/>
        <c:crosses val="autoZero"/>
        <c:auto val="1"/>
        <c:lblAlgn val="ctr"/>
        <c:lblOffset val="100"/>
        <c:noMultiLvlLbl val="0"/>
      </c:catAx>
      <c:valAx>
        <c:axId val="108311296"/>
        <c:scaling>
          <c:orientation val="minMax"/>
        </c:scaling>
        <c:delete val="0"/>
        <c:axPos val="l"/>
        <c:majorGridlines/>
        <c:numFmt formatCode="0" sourceLinked="1"/>
        <c:majorTickMark val="out"/>
        <c:minorTickMark val="none"/>
        <c:tickLblPos val="nextTo"/>
        <c:crossAx val="108301312"/>
        <c:crosses val="autoZero"/>
        <c:crossBetween val="between"/>
      </c:valAx>
    </c:plotArea>
    <c:legend>
      <c:legendPos val="r"/>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2015.xlsx]Funds analysis!PivotTable7</c:name>
    <c:fmtId val="3"/>
  </c:pivotSource>
  <c:chart>
    <c:title>
      <c:tx>
        <c:rich>
          <a:bodyPr/>
          <a:lstStyle/>
          <a:p>
            <a:pPr>
              <a:defRPr sz="1400"/>
            </a:pPr>
            <a:r>
              <a:rPr lang="en-US" sz="1400"/>
              <a:t>NB OF BENEFICIARIES</a:t>
            </a:r>
            <a:r>
              <a:rPr lang="en-US" sz="1400" baseline="0"/>
              <a:t> IN HOST COMMUNITIES</a:t>
            </a:r>
            <a:endParaRPr lang="en-US" sz="1400"/>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s>
    <c:view3D>
      <c:rotX val="15"/>
      <c:rotY val="20"/>
      <c:rAngAx val="1"/>
    </c:view3D>
    <c:floor>
      <c:thickness val="0"/>
      <c:spPr>
        <a:solidFill>
          <a:schemeClr val="bg1">
            <a:lumMod val="85000"/>
          </a:schemeClr>
        </a:solidFill>
      </c:spPr>
    </c:floor>
    <c:sideWall>
      <c:thickness val="0"/>
    </c:sideWall>
    <c:backWall>
      <c:thickness val="0"/>
      <c:spPr>
        <a:solidFill>
          <a:schemeClr val="bg1">
            <a:lumMod val="85000"/>
          </a:schemeClr>
        </a:solidFill>
      </c:spPr>
    </c:backWall>
    <c:plotArea>
      <c:layout/>
      <c:bar3DChart>
        <c:barDir val="col"/>
        <c:grouping val="clustered"/>
        <c:varyColors val="0"/>
        <c:ser>
          <c:idx val="0"/>
          <c:order val="0"/>
          <c:tx>
            <c:strRef>
              <c:f>'Funds analysis'!$C$169:$C$170</c:f>
              <c:strCache>
                <c:ptCount val="1"/>
                <c:pt idx="0">
                  <c:v>2012</c:v>
                </c:pt>
              </c:strCache>
            </c:strRef>
          </c:tx>
          <c:invertIfNegative val="0"/>
          <c:cat>
            <c:strRef>
              <c:f>'Funds analysis'!$B$171:$B$173</c:f>
              <c:strCache>
                <c:ptCount val="3"/>
                <c:pt idx="0">
                  <c:v> Nb of sanitation beneficiaries</c:v>
                </c:pt>
                <c:pt idx="1">
                  <c:v>Nb of water access beneficiaries</c:v>
                </c:pt>
                <c:pt idx="2">
                  <c:v>Nb of beneficiairies for HE in host</c:v>
                </c:pt>
              </c:strCache>
            </c:strRef>
          </c:cat>
          <c:val>
            <c:numRef>
              <c:f>'Funds analysis'!$C$171:$C$173</c:f>
              <c:numCache>
                <c:formatCode>0</c:formatCode>
                <c:ptCount val="3"/>
                <c:pt idx="0">
                  <c:v>2500</c:v>
                </c:pt>
                <c:pt idx="1">
                  <c:v>2500</c:v>
                </c:pt>
                <c:pt idx="2">
                  <c:v>2500</c:v>
                </c:pt>
              </c:numCache>
            </c:numRef>
          </c:val>
        </c:ser>
        <c:ser>
          <c:idx val="1"/>
          <c:order val="1"/>
          <c:tx>
            <c:strRef>
              <c:f>'Funds analysis'!$D$169:$D$170</c:f>
              <c:strCache>
                <c:ptCount val="1"/>
                <c:pt idx="0">
                  <c:v>2013</c:v>
                </c:pt>
              </c:strCache>
            </c:strRef>
          </c:tx>
          <c:invertIfNegative val="0"/>
          <c:cat>
            <c:strRef>
              <c:f>'Funds analysis'!$B$171:$B$173</c:f>
              <c:strCache>
                <c:ptCount val="3"/>
                <c:pt idx="0">
                  <c:v> Nb of sanitation beneficiaries</c:v>
                </c:pt>
                <c:pt idx="1">
                  <c:v>Nb of water access beneficiaries</c:v>
                </c:pt>
                <c:pt idx="2">
                  <c:v>Nb of beneficiairies for HE in host</c:v>
                </c:pt>
              </c:strCache>
            </c:strRef>
          </c:cat>
          <c:val>
            <c:numRef>
              <c:f>'Funds analysis'!$D$171:$D$173</c:f>
              <c:numCache>
                <c:formatCode>0</c:formatCode>
                <c:ptCount val="3"/>
                <c:pt idx="0">
                  <c:v>22000</c:v>
                </c:pt>
                <c:pt idx="1">
                  <c:v>8788</c:v>
                </c:pt>
                <c:pt idx="2">
                  <c:v>30788</c:v>
                </c:pt>
              </c:numCache>
            </c:numRef>
          </c:val>
        </c:ser>
        <c:ser>
          <c:idx val="2"/>
          <c:order val="2"/>
          <c:tx>
            <c:strRef>
              <c:f>'Funds analysis'!$E$169:$E$170</c:f>
              <c:strCache>
                <c:ptCount val="1"/>
                <c:pt idx="0">
                  <c:v>2014</c:v>
                </c:pt>
              </c:strCache>
            </c:strRef>
          </c:tx>
          <c:invertIfNegative val="0"/>
          <c:cat>
            <c:strRef>
              <c:f>'Funds analysis'!$B$171:$B$173</c:f>
              <c:strCache>
                <c:ptCount val="3"/>
                <c:pt idx="0">
                  <c:v> Nb of sanitation beneficiaries</c:v>
                </c:pt>
                <c:pt idx="1">
                  <c:v>Nb of water access beneficiaries</c:v>
                </c:pt>
                <c:pt idx="2">
                  <c:v>Nb of beneficiairies for HE in host</c:v>
                </c:pt>
              </c:strCache>
            </c:strRef>
          </c:cat>
          <c:val>
            <c:numRef>
              <c:f>'Funds analysis'!$E$171:$E$173</c:f>
              <c:numCache>
                <c:formatCode>0</c:formatCode>
                <c:ptCount val="3"/>
                <c:pt idx="0">
                  <c:v>0</c:v>
                </c:pt>
                <c:pt idx="1">
                  <c:v>0</c:v>
                </c:pt>
                <c:pt idx="2">
                  <c:v>2418</c:v>
                </c:pt>
              </c:numCache>
            </c:numRef>
          </c:val>
        </c:ser>
        <c:dLbls>
          <c:showLegendKey val="0"/>
          <c:showVal val="0"/>
          <c:showCatName val="0"/>
          <c:showSerName val="0"/>
          <c:showPercent val="0"/>
          <c:showBubbleSize val="0"/>
        </c:dLbls>
        <c:gapWidth val="150"/>
        <c:shape val="box"/>
        <c:axId val="108415616"/>
        <c:axId val="108417408"/>
        <c:axId val="0"/>
      </c:bar3DChart>
      <c:catAx>
        <c:axId val="108415616"/>
        <c:scaling>
          <c:orientation val="minMax"/>
        </c:scaling>
        <c:delete val="0"/>
        <c:axPos val="b"/>
        <c:numFmt formatCode="General" sourceLinked="0"/>
        <c:majorTickMark val="out"/>
        <c:minorTickMark val="none"/>
        <c:tickLblPos val="nextTo"/>
        <c:crossAx val="108417408"/>
        <c:crosses val="autoZero"/>
        <c:auto val="1"/>
        <c:lblAlgn val="ctr"/>
        <c:lblOffset val="100"/>
        <c:noMultiLvlLbl val="0"/>
      </c:catAx>
      <c:valAx>
        <c:axId val="108417408"/>
        <c:scaling>
          <c:orientation val="minMax"/>
        </c:scaling>
        <c:delete val="0"/>
        <c:axPos val="l"/>
        <c:majorGridlines/>
        <c:numFmt formatCode="0" sourceLinked="1"/>
        <c:majorTickMark val="out"/>
        <c:minorTickMark val="none"/>
        <c:tickLblPos val="nextTo"/>
        <c:crossAx val="108415616"/>
        <c:crosses val="autoZero"/>
        <c:crossBetween val="between"/>
      </c:valAx>
    </c:plotArea>
    <c:legend>
      <c:legendPos val="r"/>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2015.xlsx]Funds analysis!PivotTable9</c:name>
    <c:fmtId val="18"/>
  </c:pivotSource>
  <c:chart>
    <c:title>
      <c:tx>
        <c:rich>
          <a:bodyPr/>
          <a:lstStyle/>
          <a:p>
            <a:pPr>
              <a:defRPr sz="1400"/>
            </a:pPr>
            <a:r>
              <a:rPr lang="en-US" sz="1400"/>
              <a:t>GEOGRAPHIC FUND REPARTITION</a:t>
            </a:r>
          </a:p>
        </c:rich>
      </c:tx>
      <c:layout>
        <c:manualLayout>
          <c:xMode val="edge"/>
          <c:yMode val="edge"/>
          <c:x val="0.29850830967484726"/>
          <c:y val="6.7460317460317457E-2"/>
        </c:manualLayout>
      </c:layout>
      <c:overlay val="0"/>
    </c:title>
    <c:autoTitleDeleted val="0"/>
    <c:pivotFmts>
      <c:pivotFmt>
        <c:idx val="0"/>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5"/>
        <c:dLbl>
          <c:idx val="0"/>
          <c:layout>
            <c:manualLayout>
              <c:x val="0.11104427968349607"/>
              <c:y val="0.16601674790651169"/>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dLbl>
          <c:idx val="0"/>
          <c:layout>
            <c:manualLayout>
              <c:x val="0.11104427968349607"/>
              <c:y val="0.16601674790651169"/>
            </c:manualLayout>
          </c:layout>
          <c:showLegendKey val="0"/>
          <c:showVal val="0"/>
          <c:showCatName val="1"/>
          <c:showSerName val="0"/>
          <c:showPercent val="0"/>
          <c:showBubbleSize val="0"/>
          <c:extLst>
            <c:ext xmlns:c15="http://schemas.microsoft.com/office/drawing/2012/chart" uri="{CE6537A1-D6FC-4f65-9D91-7224C49458BB}"/>
          </c:extLst>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6.9129453448780326E-2"/>
          <c:y val="0.24709286339207598"/>
          <c:w val="0.52417359288422283"/>
          <c:h val="0.75199107425401612"/>
        </c:manualLayout>
      </c:layout>
      <c:pie3DChart>
        <c:varyColors val="1"/>
        <c:ser>
          <c:idx val="0"/>
          <c:order val="0"/>
          <c:tx>
            <c:strRef>
              <c:f>'Funds analysis'!$C$108</c:f>
              <c:strCache>
                <c:ptCount val="1"/>
                <c:pt idx="0">
                  <c:v>Total</c:v>
                </c:pt>
              </c:strCache>
            </c:strRef>
          </c:tx>
          <c:dPt>
            <c:idx val="0"/>
            <c:bubble3D val="0"/>
            <c:explosion val="14"/>
          </c:dPt>
          <c:dLbls>
            <c:dLbl>
              <c:idx val="0"/>
              <c:layout>
                <c:manualLayout>
                  <c:x val="0.11104427968349607"/>
                  <c:y val="0.16601674790651169"/>
                </c:manualLayout>
              </c:layout>
              <c:showLegendKey val="0"/>
              <c:showVal val="0"/>
              <c:showCatName val="1"/>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showLeaderLines val="1"/>
          </c:dLbls>
          <c:cat>
            <c:strRef>
              <c:f>'Funds analysis'!$B$109:$B$110</c:f>
              <c:strCache>
                <c:ptCount val="2"/>
                <c:pt idx="0">
                  <c:v>Average of Approximative % of NGCA beneficiaries</c:v>
                </c:pt>
                <c:pt idx="1">
                  <c:v>Average of Approximative % of GCA beneficiaries</c:v>
                </c:pt>
              </c:strCache>
            </c:strRef>
          </c:cat>
          <c:val>
            <c:numRef>
              <c:f>'Funds analysis'!$C$109:$C$110</c:f>
              <c:numCache>
                <c:formatCode>0%</c:formatCode>
                <c:ptCount val="2"/>
                <c:pt idx="0">
                  <c:v>0.48235964144513849</c:v>
                </c:pt>
                <c:pt idx="1">
                  <c:v>0.52995078242186378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2015.xlsx]Funds analysis!PivotTable4</c:name>
    <c:fmtId val="11"/>
  </c:pivotSource>
  <c:chart>
    <c:title>
      <c:tx>
        <c:rich>
          <a:bodyPr/>
          <a:lstStyle/>
          <a:p>
            <a:pPr>
              <a:defRPr sz="1400"/>
            </a:pPr>
            <a:r>
              <a:rPr lang="en-US" sz="1400"/>
              <a:t>FUND RECEIVED PER YEAR (US$)</a:t>
            </a:r>
          </a:p>
        </c:rich>
      </c:tx>
      <c:overlay val="0"/>
    </c:title>
    <c:autoTitleDeleted val="0"/>
    <c:pivotFmts>
      <c:pivotFmt>
        <c:idx val="0"/>
        <c:marker>
          <c:symbol val="none"/>
        </c:marker>
      </c:pivotFmt>
      <c:pivotFmt>
        <c:idx val="1"/>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8.2545079592323711E-2"/>
          <c:y val="0.18514552024487241"/>
          <c:w val="0.89364539659815267"/>
          <c:h val="0.58800975709061298"/>
        </c:manualLayout>
      </c:layout>
      <c:bar3DChart>
        <c:barDir val="col"/>
        <c:grouping val="stacked"/>
        <c:varyColors val="0"/>
        <c:ser>
          <c:idx val="0"/>
          <c:order val="0"/>
          <c:tx>
            <c:strRef>
              <c:f>'Funds analysis'!$C$56:$C$57</c:f>
              <c:strCache>
                <c:ptCount val="1"/>
                <c:pt idx="0">
                  <c:v>Total</c:v>
                </c:pt>
              </c:strCache>
            </c:strRef>
          </c:tx>
          <c:invertIfNegative val="0"/>
          <c:cat>
            <c:strRef>
              <c:f>'Funds analysis'!$B$58:$B$61</c:f>
              <c:strCache>
                <c:ptCount val="3"/>
                <c:pt idx="0">
                  <c:v>2012</c:v>
                </c:pt>
                <c:pt idx="1">
                  <c:v>2013</c:v>
                </c:pt>
                <c:pt idx="2">
                  <c:v>2014</c:v>
                </c:pt>
              </c:strCache>
            </c:strRef>
          </c:cat>
          <c:val>
            <c:numRef>
              <c:f>'Funds analysis'!$C$58:$C$61</c:f>
              <c:numCache>
                <c:formatCode>#,##0</c:formatCode>
                <c:ptCount val="3"/>
                <c:pt idx="0">
                  <c:v>3335112.61</c:v>
                </c:pt>
                <c:pt idx="1">
                  <c:v>4596720</c:v>
                </c:pt>
                <c:pt idx="2">
                  <c:v>5084567.0013263728</c:v>
                </c:pt>
              </c:numCache>
            </c:numRef>
          </c:val>
        </c:ser>
        <c:dLbls>
          <c:showLegendKey val="0"/>
          <c:showVal val="0"/>
          <c:showCatName val="0"/>
          <c:showSerName val="0"/>
          <c:showPercent val="0"/>
          <c:showBubbleSize val="0"/>
        </c:dLbls>
        <c:gapWidth val="150"/>
        <c:shape val="box"/>
        <c:axId val="108796160"/>
        <c:axId val="108814336"/>
        <c:axId val="0"/>
      </c:bar3DChart>
      <c:catAx>
        <c:axId val="108796160"/>
        <c:scaling>
          <c:orientation val="minMax"/>
        </c:scaling>
        <c:delete val="0"/>
        <c:axPos val="b"/>
        <c:numFmt formatCode="General" sourceLinked="1"/>
        <c:majorTickMark val="out"/>
        <c:minorTickMark val="none"/>
        <c:tickLblPos val="nextTo"/>
        <c:txPr>
          <a:bodyPr/>
          <a:lstStyle/>
          <a:p>
            <a:pPr>
              <a:defRPr sz="1000"/>
            </a:pPr>
            <a:endParaRPr lang="en-US"/>
          </a:p>
        </c:txPr>
        <c:crossAx val="108814336"/>
        <c:crosses val="autoZero"/>
        <c:auto val="0"/>
        <c:lblAlgn val="ctr"/>
        <c:lblOffset val="100"/>
        <c:noMultiLvlLbl val="0"/>
      </c:catAx>
      <c:valAx>
        <c:axId val="108814336"/>
        <c:scaling>
          <c:orientation val="minMax"/>
          <c:max val="6000000"/>
        </c:scaling>
        <c:delete val="0"/>
        <c:axPos val="l"/>
        <c:majorGridlines/>
        <c:numFmt formatCode="#,##0" sourceLinked="1"/>
        <c:majorTickMark val="out"/>
        <c:minorTickMark val="none"/>
        <c:tickLblPos val="nextTo"/>
        <c:txPr>
          <a:bodyPr/>
          <a:lstStyle/>
          <a:p>
            <a:pPr>
              <a:defRPr sz="1000"/>
            </a:pPr>
            <a:endParaRPr lang="en-US"/>
          </a:p>
        </c:txPr>
        <c:crossAx val="108796160"/>
        <c:crosses val="autoZero"/>
        <c:crossBetween val="between"/>
      </c:valAx>
      <c:spPr>
        <a:noFill/>
        <a:ln w="25400">
          <a:noFill/>
        </a:ln>
      </c:spPr>
    </c:plotArea>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2015.xlsx]Funds analysis!PivotTable5</c:name>
    <c:fmtId val="8"/>
  </c:pivotSource>
  <c:chart>
    <c:title>
      <c:tx>
        <c:rich>
          <a:bodyPr/>
          <a:lstStyle/>
          <a:p>
            <a:pPr>
              <a:defRPr sz="1400"/>
            </a:pPr>
            <a:r>
              <a:rPr lang="en-US" sz="1400"/>
              <a:t>APPROXIMATE FUND USE/ENGAGED PER YEAR</a:t>
            </a:r>
            <a:r>
              <a:rPr lang="en-US" sz="1400" baseline="0"/>
              <a:t>(US$)</a:t>
            </a:r>
            <a:endParaRPr lang="en-US" sz="1400"/>
          </a:p>
        </c:rich>
      </c:tx>
      <c:overlay val="0"/>
    </c:title>
    <c:autoTitleDeleted val="0"/>
    <c:pivotFmts>
      <c:pivotFmt>
        <c:idx val="0"/>
        <c:marker>
          <c:symbol val="none"/>
        </c:marker>
      </c:pivotFmt>
      <c:pivotFmt>
        <c:idx val="1"/>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8.2545079592323711E-2"/>
          <c:y val="0.18514552024487241"/>
          <c:w val="0.89364539659815267"/>
          <c:h val="0.58800975709061298"/>
        </c:manualLayout>
      </c:layout>
      <c:bar3DChart>
        <c:barDir val="col"/>
        <c:grouping val="stacked"/>
        <c:varyColors val="0"/>
        <c:ser>
          <c:idx val="0"/>
          <c:order val="0"/>
          <c:tx>
            <c:strRef>
              <c:f>'Funds analysis'!$C$69:$C$70</c:f>
              <c:strCache>
                <c:ptCount val="1"/>
                <c:pt idx="0">
                  <c:v>ECHO</c:v>
                </c:pt>
              </c:strCache>
            </c:strRef>
          </c:tx>
          <c:invertIfNegative val="0"/>
          <c:cat>
            <c:strRef>
              <c:f>'Funds analysis'!$B$71:$B$73</c:f>
              <c:strCache>
                <c:ptCount val="3"/>
                <c:pt idx="0">
                  <c:v>Before 2014</c:v>
                </c:pt>
                <c:pt idx="1">
                  <c:v>2014</c:v>
                </c:pt>
                <c:pt idx="2">
                  <c:v>2015</c:v>
                </c:pt>
              </c:strCache>
            </c:strRef>
          </c:cat>
          <c:val>
            <c:numRef>
              <c:f>'Funds analysis'!$C$71:$C$73</c:f>
              <c:numCache>
                <c:formatCode>#,##0</c:formatCode>
                <c:ptCount val="3"/>
                <c:pt idx="0">
                  <c:v>2174530.0636635176</c:v>
                </c:pt>
                <c:pt idx="1">
                  <c:v>1150423.4729542886</c:v>
                </c:pt>
                <c:pt idx="2">
                  <c:v>577638.4633821937</c:v>
                </c:pt>
              </c:numCache>
            </c:numRef>
          </c:val>
        </c:ser>
        <c:ser>
          <c:idx val="1"/>
          <c:order val="1"/>
          <c:tx>
            <c:strRef>
              <c:f>'Funds analysis'!$D$69:$D$70</c:f>
              <c:strCache>
                <c:ptCount val="1"/>
                <c:pt idx="0">
                  <c:v>Germany</c:v>
                </c:pt>
              </c:strCache>
            </c:strRef>
          </c:tx>
          <c:invertIfNegative val="0"/>
          <c:cat>
            <c:strRef>
              <c:f>'Funds analysis'!$B$71:$B$73</c:f>
              <c:strCache>
                <c:ptCount val="3"/>
                <c:pt idx="0">
                  <c:v>Before 2014</c:v>
                </c:pt>
                <c:pt idx="1">
                  <c:v>2014</c:v>
                </c:pt>
                <c:pt idx="2">
                  <c:v>2015</c:v>
                </c:pt>
              </c:strCache>
            </c:strRef>
          </c:cat>
          <c:val>
            <c:numRef>
              <c:f>'Funds analysis'!$D$71:$D$73</c:f>
              <c:numCache>
                <c:formatCode>#,##0</c:formatCode>
                <c:ptCount val="3"/>
                <c:pt idx="0">
                  <c:v>338770</c:v>
                </c:pt>
                <c:pt idx="1">
                  <c:v>0</c:v>
                </c:pt>
                <c:pt idx="2">
                  <c:v>0</c:v>
                </c:pt>
              </c:numCache>
            </c:numRef>
          </c:val>
        </c:ser>
        <c:ser>
          <c:idx val="2"/>
          <c:order val="2"/>
          <c:tx>
            <c:strRef>
              <c:f>'Funds analysis'!$E$69:$E$70</c:f>
              <c:strCache>
                <c:ptCount val="1"/>
                <c:pt idx="0">
                  <c:v>HMSF</c:v>
                </c:pt>
              </c:strCache>
            </c:strRef>
          </c:tx>
          <c:invertIfNegative val="0"/>
          <c:cat>
            <c:strRef>
              <c:f>'Funds analysis'!$B$71:$B$73</c:f>
              <c:strCache>
                <c:ptCount val="3"/>
                <c:pt idx="0">
                  <c:v>Before 2014</c:v>
                </c:pt>
                <c:pt idx="1">
                  <c:v>2014</c:v>
                </c:pt>
                <c:pt idx="2">
                  <c:v>2015</c:v>
                </c:pt>
              </c:strCache>
            </c:strRef>
          </c:cat>
          <c:val>
            <c:numRef>
              <c:f>'Funds analysis'!$E$71:$E$73</c:f>
              <c:numCache>
                <c:formatCode>#,##0</c:formatCode>
                <c:ptCount val="3"/>
                <c:pt idx="0">
                  <c:v>0</c:v>
                </c:pt>
                <c:pt idx="1">
                  <c:v>79917.740101095231</c:v>
                </c:pt>
                <c:pt idx="2">
                  <c:v>266217.25989890477</c:v>
                </c:pt>
              </c:numCache>
            </c:numRef>
          </c:val>
        </c:ser>
        <c:ser>
          <c:idx val="3"/>
          <c:order val="3"/>
          <c:tx>
            <c:strRef>
              <c:f>'Funds analysis'!$F$69:$F$70</c:f>
              <c:strCache>
                <c:ptCount val="1"/>
                <c:pt idx="0">
                  <c:v>OFDA</c:v>
                </c:pt>
              </c:strCache>
            </c:strRef>
          </c:tx>
          <c:invertIfNegative val="0"/>
          <c:cat>
            <c:strRef>
              <c:f>'Funds analysis'!$B$71:$B$73</c:f>
              <c:strCache>
                <c:ptCount val="3"/>
                <c:pt idx="0">
                  <c:v>Before 2014</c:v>
                </c:pt>
                <c:pt idx="1">
                  <c:v>2014</c:v>
                </c:pt>
                <c:pt idx="2">
                  <c:v>2015</c:v>
                </c:pt>
              </c:strCache>
            </c:strRef>
          </c:cat>
          <c:val>
            <c:numRef>
              <c:f>'Funds analysis'!$F$71:$F$73</c:f>
              <c:numCache>
                <c:formatCode>#,##0</c:formatCode>
                <c:ptCount val="3"/>
                <c:pt idx="0">
                  <c:v>1169702.5833333333</c:v>
                </c:pt>
                <c:pt idx="1">
                  <c:v>900364.83424908435</c:v>
                </c:pt>
                <c:pt idx="2">
                  <c:v>154927.58241758242</c:v>
                </c:pt>
              </c:numCache>
            </c:numRef>
          </c:val>
        </c:ser>
        <c:ser>
          <c:idx val="4"/>
          <c:order val="4"/>
          <c:tx>
            <c:strRef>
              <c:f>'Funds analysis'!$G$69:$G$70</c:f>
              <c:strCache>
                <c:ptCount val="1"/>
                <c:pt idx="0">
                  <c:v>CERF</c:v>
                </c:pt>
              </c:strCache>
            </c:strRef>
          </c:tx>
          <c:invertIfNegative val="0"/>
          <c:cat>
            <c:strRef>
              <c:f>'Funds analysis'!$B$71:$B$73</c:f>
              <c:strCache>
                <c:ptCount val="3"/>
                <c:pt idx="0">
                  <c:v>Before 2014</c:v>
                </c:pt>
                <c:pt idx="1">
                  <c:v>2014</c:v>
                </c:pt>
                <c:pt idx="2">
                  <c:v>2015</c:v>
                </c:pt>
              </c:strCache>
            </c:strRef>
          </c:cat>
          <c:val>
            <c:numRef>
              <c:f>'Funds analysis'!$G$71:$G$73</c:f>
              <c:numCache>
                <c:formatCode>#,##0</c:formatCode>
                <c:ptCount val="3"/>
                <c:pt idx="0">
                  <c:v>1172664.4566898956</c:v>
                </c:pt>
                <c:pt idx="1">
                  <c:v>1022388.1533101045</c:v>
                </c:pt>
                <c:pt idx="2">
                  <c:v>0</c:v>
                </c:pt>
              </c:numCache>
            </c:numRef>
          </c:val>
        </c:ser>
        <c:ser>
          <c:idx val="5"/>
          <c:order val="5"/>
          <c:tx>
            <c:strRef>
              <c:f>'Funds analysis'!$H$69:$H$70</c:f>
              <c:strCache>
                <c:ptCount val="1"/>
                <c:pt idx="0">
                  <c:v>Canada</c:v>
                </c:pt>
              </c:strCache>
            </c:strRef>
          </c:tx>
          <c:invertIfNegative val="0"/>
          <c:cat>
            <c:strRef>
              <c:f>'Funds analysis'!$B$71:$B$73</c:f>
              <c:strCache>
                <c:ptCount val="3"/>
                <c:pt idx="0">
                  <c:v>Before 2014</c:v>
                </c:pt>
                <c:pt idx="1">
                  <c:v>2014</c:v>
                </c:pt>
                <c:pt idx="2">
                  <c:v>2015</c:v>
                </c:pt>
              </c:strCache>
            </c:strRef>
          </c:cat>
          <c:val>
            <c:numRef>
              <c:f>'Funds analysis'!$H$71:$H$73</c:f>
              <c:numCache>
                <c:formatCode>#,##0</c:formatCode>
                <c:ptCount val="3"/>
                <c:pt idx="0">
                  <c:v>292113</c:v>
                </c:pt>
                <c:pt idx="1">
                  <c:v>0</c:v>
                </c:pt>
                <c:pt idx="2">
                  <c:v>0</c:v>
                </c:pt>
              </c:numCache>
            </c:numRef>
          </c:val>
        </c:ser>
        <c:ser>
          <c:idx val="6"/>
          <c:order val="6"/>
          <c:tx>
            <c:strRef>
              <c:f>'Funds analysis'!$I$69:$I$70</c:f>
              <c:strCache>
                <c:ptCount val="1"/>
                <c:pt idx="0">
                  <c:v>Australian</c:v>
                </c:pt>
              </c:strCache>
            </c:strRef>
          </c:tx>
          <c:invertIfNegative val="0"/>
          <c:cat>
            <c:strRef>
              <c:f>'Funds analysis'!$B$71:$B$73</c:f>
              <c:strCache>
                <c:ptCount val="3"/>
                <c:pt idx="0">
                  <c:v>Before 2014</c:v>
                </c:pt>
                <c:pt idx="1">
                  <c:v>2014</c:v>
                </c:pt>
                <c:pt idx="2">
                  <c:v>2015</c:v>
                </c:pt>
              </c:strCache>
            </c:strRef>
          </c:cat>
          <c:val>
            <c:numRef>
              <c:f>'Funds analysis'!$I$71:$I$73</c:f>
              <c:numCache>
                <c:formatCode>#,##0</c:formatCode>
                <c:ptCount val="3"/>
                <c:pt idx="0">
                  <c:v>414065.16519823787</c:v>
                </c:pt>
                <c:pt idx="1">
                  <c:v>100963.83480176212</c:v>
                </c:pt>
                <c:pt idx="2">
                  <c:v>0</c:v>
                </c:pt>
              </c:numCache>
            </c:numRef>
          </c:val>
        </c:ser>
        <c:ser>
          <c:idx val="7"/>
          <c:order val="7"/>
          <c:tx>
            <c:strRef>
              <c:f>'Funds analysis'!$J$69:$J$70</c:f>
              <c:strCache>
                <c:ptCount val="1"/>
                <c:pt idx="0">
                  <c:v>France</c:v>
                </c:pt>
              </c:strCache>
            </c:strRef>
          </c:tx>
          <c:invertIfNegative val="0"/>
          <c:cat>
            <c:strRef>
              <c:f>'Funds analysis'!$B$71:$B$73</c:f>
              <c:strCache>
                <c:ptCount val="3"/>
                <c:pt idx="0">
                  <c:v>Before 2014</c:v>
                </c:pt>
                <c:pt idx="1">
                  <c:v>2014</c:v>
                </c:pt>
                <c:pt idx="2">
                  <c:v>2015</c:v>
                </c:pt>
              </c:strCache>
            </c:strRef>
          </c:cat>
          <c:val>
            <c:numRef>
              <c:f>'Funds analysis'!$J$71:$J$73</c:f>
              <c:numCache>
                <c:formatCode>#,##0</c:formatCode>
                <c:ptCount val="3"/>
                <c:pt idx="0">
                  <c:v>197000</c:v>
                </c:pt>
                <c:pt idx="1">
                  <c:v>0</c:v>
                </c:pt>
                <c:pt idx="2">
                  <c:v>0</c:v>
                </c:pt>
              </c:numCache>
            </c:numRef>
          </c:val>
        </c:ser>
        <c:ser>
          <c:idx val="8"/>
          <c:order val="8"/>
          <c:tx>
            <c:strRef>
              <c:f>'Funds analysis'!$K$69:$K$70</c:f>
              <c:strCache>
                <c:ptCount val="1"/>
                <c:pt idx="0">
                  <c:v>Irland</c:v>
                </c:pt>
              </c:strCache>
            </c:strRef>
          </c:tx>
          <c:invertIfNegative val="0"/>
          <c:cat>
            <c:strRef>
              <c:f>'Funds analysis'!$B$71:$B$73</c:f>
              <c:strCache>
                <c:ptCount val="3"/>
                <c:pt idx="0">
                  <c:v>Before 2014</c:v>
                </c:pt>
                <c:pt idx="1">
                  <c:v>2014</c:v>
                </c:pt>
                <c:pt idx="2">
                  <c:v>2015</c:v>
                </c:pt>
              </c:strCache>
            </c:strRef>
          </c:cat>
          <c:val>
            <c:numRef>
              <c:f>'Funds analysis'!$K$71:$K$73</c:f>
              <c:numCache>
                <c:formatCode>#,##0</c:formatCode>
                <c:ptCount val="3"/>
                <c:pt idx="0">
                  <c:v>165239.41391941393</c:v>
                </c:pt>
                <c:pt idx="1">
                  <c:v>79925.586080586087</c:v>
                </c:pt>
                <c:pt idx="2">
                  <c:v>0</c:v>
                </c:pt>
              </c:numCache>
            </c:numRef>
          </c:val>
        </c:ser>
        <c:ser>
          <c:idx val="9"/>
          <c:order val="9"/>
          <c:tx>
            <c:strRef>
              <c:f>'Funds analysis'!$L$69:$L$70</c:f>
              <c:strCache>
                <c:ptCount val="1"/>
                <c:pt idx="0">
                  <c:v>Sweden</c:v>
                </c:pt>
              </c:strCache>
            </c:strRef>
          </c:tx>
          <c:invertIfNegative val="0"/>
          <c:cat>
            <c:strRef>
              <c:f>'Funds analysis'!$B$71:$B$73</c:f>
              <c:strCache>
                <c:ptCount val="3"/>
                <c:pt idx="0">
                  <c:v>Before 2014</c:v>
                </c:pt>
                <c:pt idx="1">
                  <c:v>2014</c:v>
                </c:pt>
                <c:pt idx="2">
                  <c:v>2015</c:v>
                </c:pt>
              </c:strCache>
            </c:strRef>
          </c:cat>
          <c:val>
            <c:numRef>
              <c:f>'Funds analysis'!$L$71:$L$73</c:f>
              <c:numCache>
                <c:formatCode>#,##0</c:formatCode>
                <c:ptCount val="3"/>
                <c:pt idx="0">
                  <c:v>106270</c:v>
                </c:pt>
                <c:pt idx="1">
                  <c:v>50000</c:v>
                </c:pt>
                <c:pt idx="2">
                  <c:v>0</c:v>
                </c:pt>
              </c:numCache>
            </c:numRef>
          </c:val>
        </c:ser>
        <c:ser>
          <c:idx val="10"/>
          <c:order val="10"/>
          <c:tx>
            <c:strRef>
              <c:f>'Funds analysis'!$M$69:$M$70</c:f>
              <c:strCache>
                <c:ptCount val="1"/>
                <c:pt idx="0">
                  <c:v>CIDA</c:v>
                </c:pt>
              </c:strCache>
            </c:strRef>
          </c:tx>
          <c:invertIfNegative val="0"/>
          <c:cat>
            <c:strRef>
              <c:f>'Funds analysis'!$B$71:$B$73</c:f>
              <c:strCache>
                <c:ptCount val="3"/>
                <c:pt idx="0">
                  <c:v>Before 2014</c:v>
                </c:pt>
                <c:pt idx="1">
                  <c:v>2014</c:v>
                </c:pt>
                <c:pt idx="2">
                  <c:v>2015</c:v>
                </c:pt>
              </c:strCache>
            </c:strRef>
          </c:cat>
          <c:val>
            <c:numRef>
              <c:f>'Funds analysis'!$M$71:$M$73</c:f>
              <c:numCache>
                <c:formatCode>#,##0</c:formatCode>
                <c:ptCount val="3"/>
                <c:pt idx="0">
                  <c:v>153948.79955947137</c:v>
                </c:pt>
                <c:pt idx="1">
                  <c:v>37538.200440528635</c:v>
                </c:pt>
                <c:pt idx="2">
                  <c:v>0</c:v>
                </c:pt>
              </c:numCache>
            </c:numRef>
          </c:val>
        </c:ser>
        <c:ser>
          <c:idx val="11"/>
          <c:order val="11"/>
          <c:tx>
            <c:strRef>
              <c:f>'Funds analysis'!$N$69:$N$70</c:f>
              <c:strCache>
                <c:ptCount val="1"/>
                <c:pt idx="0">
                  <c:v>Japan</c:v>
                </c:pt>
              </c:strCache>
            </c:strRef>
          </c:tx>
          <c:invertIfNegative val="0"/>
          <c:cat>
            <c:strRef>
              <c:f>'Funds analysis'!$B$71:$B$73</c:f>
              <c:strCache>
                <c:ptCount val="3"/>
                <c:pt idx="0">
                  <c:v>Before 2014</c:v>
                </c:pt>
                <c:pt idx="1">
                  <c:v>2014</c:v>
                </c:pt>
                <c:pt idx="2">
                  <c:v>2015</c:v>
                </c:pt>
              </c:strCache>
            </c:strRef>
          </c:cat>
          <c:val>
            <c:numRef>
              <c:f>'Funds analysis'!$N$71:$N$73</c:f>
              <c:numCache>
                <c:formatCode>#,##0</c:formatCode>
                <c:ptCount val="3"/>
                <c:pt idx="0">
                  <c:v>0</c:v>
                </c:pt>
                <c:pt idx="1">
                  <c:v>564560.43956043955</c:v>
                </c:pt>
                <c:pt idx="2">
                  <c:v>185439.56043956045</c:v>
                </c:pt>
              </c:numCache>
            </c:numRef>
          </c:val>
        </c:ser>
        <c:ser>
          <c:idx val="12"/>
          <c:order val="12"/>
          <c:tx>
            <c:strRef>
              <c:f>'Funds analysis'!$O$69:$O$70</c:f>
              <c:strCache>
                <c:ptCount val="1"/>
                <c:pt idx="0">
                  <c:v>SC seed funding</c:v>
                </c:pt>
              </c:strCache>
            </c:strRef>
          </c:tx>
          <c:invertIfNegative val="0"/>
          <c:cat>
            <c:strRef>
              <c:f>'Funds analysis'!$B$71:$B$73</c:f>
              <c:strCache>
                <c:ptCount val="3"/>
                <c:pt idx="0">
                  <c:v>Before 2014</c:v>
                </c:pt>
                <c:pt idx="1">
                  <c:v>2014</c:v>
                </c:pt>
                <c:pt idx="2">
                  <c:v>2015</c:v>
                </c:pt>
              </c:strCache>
            </c:strRef>
          </c:cat>
          <c:val>
            <c:numRef>
              <c:f>'Funds analysis'!$O$71:$O$73</c:f>
              <c:numCache>
                <c:formatCode>#,##0</c:formatCode>
                <c:ptCount val="3"/>
                <c:pt idx="0">
                  <c:v>0</c:v>
                </c:pt>
                <c:pt idx="1">
                  <c:v>17000</c:v>
                </c:pt>
                <c:pt idx="2">
                  <c:v>0</c:v>
                </c:pt>
              </c:numCache>
            </c:numRef>
          </c:val>
        </c:ser>
        <c:ser>
          <c:idx val="13"/>
          <c:order val="13"/>
          <c:tx>
            <c:strRef>
              <c:f>'Funds analysis'!$P$69:$P$70</c:f>
              <c:strCache>
                <c:ptCount val="1"/>
                <c:pt idx="0">
                  <c:v>SIDA</c:v>
                </c:pt>
              </c:strCache>
            </c:strRef>
          </c:tx>
          <c:invertIfNegative val="0"/>
          <c:cat>
            <c:strRef>
              <c:f>'Funds analysis'!$B$71:$B$73</c:f>
              <c:strCache>
                <c:ptCount val="3"/>
                <c:pt idx="0">
                  <c:v>Before 2014</c:v>
                </c:pt>
                <c:pt idx="1">
                  <c:v>2014</c:v>
                </c:pt>
                <c:pt idx="2">
                  <c:v>2015</c:v>
                </c:pt>
              </c:strCache>
            </c:strRef>
          </c:cat>
          <c:val>
            <c:numRef>
              <c:f>'Funds analysis'!$P$71:$P$73</c:f>
              <c:numCache>
                <c:formatCode>#,##0</c:formatCode>
                <c:ptCount val="3"/>
                <c:pt idx="0">
                  <c:v>80400</c:v>
                </c:pt>
                <c:pt idx="1">
                  <c:v>0</c:v>
                </c:pt>
                <c:pt idx="2">
                  <c:v>0</c:v>
                </c:pt>
              </c:numCache>
            </c:numRef>
          </c:val>
        </c:ser>
        <c:ser>
          <c:idx val="14"/>
          <c:order val="14"/>
          <c:tx>
            <c:strRef>
              <c:f>'Funds analysis'!$Q$69:$Q$70</c:f>
              <c:strCache>
                <c:ptCount val="1"/>
                <c:pt idx="0">
                  <c:v>Start fund</c:v>
                </c:pt>
              </c:strCache>
            </c:strRef>
          </c:tx>
          <c:invertIfNegative val="0"/>
          <c:cat>
            <c:strRef>
              <c:f>'Funds analysis'!$B$71:$B$73</c:f>
              <c:strCache>
                <c:ptCount val="3"/>
                <c:pt idx="0">
                  <c:v>Before 2014</c:v>
                </c:pt>
                <c:pt idx="1">
                  <c:v>2014</c:v>
                </c:pt>
                <c:pt idx="2">
                  <c:v>2015</c:v>
                </c:pt>
              </c:strCache>
            </c:strRef>
          </c:cat>
          <c:val>
            <c:numRef>
              <c:f>'Funds analysis'!$Q$71:$Q$73</c:f>
              <c:numCache>
                <c:formatCode>#,##0</c:formatCode>
                <c:ptCount val="3"/>
                <c:pt idx="0">
                  <c:v>0</c:v>
                </c:pt>
                <c:pt idx="1">
                  <c:v>43482</c:v>
                </c:pt>
                <c:pt idx="2">
                  <c:v>0</c:v>
                </c:pt>
              </c:numCache>
            </c:numRef>
          </c:val>
        </c:ser>
        <c:ser>
          <c:idx val="15"/>
          <c:order val="15"/>
          <c:tx>
            <c:strRef>
              <c:f>'Funds analysis'!$R$69:$R$70</c:f>
              <c:strCache>
                <c:ptCount val="1"/>
                <c:pt idx="0">
                  <c:v>DFAT</c:v>
                </c:pt>
              </c:strCache>
            </c:strRef>
          </c:tx>
          <c:invertIfNegative val="0"/>
          <c:cat>
            <c:strRef>
              <c:f>'Funds analysis'!$B$71:$B$73</c:f>
              <c:strCache>
                <c:ptCount val="3"/>
                <c:pt idx="0">
                  <c:v>Before 2014</c:v>
                </c:pt>
                <c:pt idx="1">
                  <c:v>2014</c:v>
                </c:pt>
                <c:pt idx="2">
                  <c:v>2015</c:v>
                </c:pt>
              </c:strCache>
            </c:strRef>
          </c:cat>
          <c:val>
            <c:numRef>
              <c:f>'Funds analysis'!$R$71:$R$73</c:f>
              <c:numCache>
                <c:formatCode>#,##0</c:formatCode>
                <c:ptCount val="3"/>
                <c:pt idx="0">
                  <c:v>0</c:v>
                </c:pt>
                <c:pt idx="1">
                  <c:v>939498.21854084812</c:v>
                </c:pt>
                <c:pt idx="2">
                  <c:v>581410.78278552473</c:v>
                </c:pt>
              </c:numCache>
            </c:numRef>
          </c:val>
        </c:ser>
        <c:dLbls>
          <c:showLegendKey val="0"/>
          <c:showVal val="0"/>
          <c:showCatName val="0"/>
          <c:showSerName val="0"/>
          <c:showPercent val="0"/>
          <c:showBubbleSize val="0"/>
        </c:dLbls>
        <c:gapWidth val="150"/>
        <c:shape val="box"/>
        <c:axId val="108527616"/>
        <c:axId val="108529152"/>
        <c:axId val="0"/>
      </c:bar3DChart>
      <c:catAx>
        <c:axId val="108527616"/>
        <c:scaling>
          <c:orientation val="minMax"/>
        </c:scaling>
        <c:delete val="0"/>
        <c:axPos val="b"/>
        <c:numFmt formatCode="General" sourceLinked="1"/>
        <c:majorTickMark val="out"/>
        <c:minorTickMark val="none"/>
        <c:tickLblPos val="nextTo"/>
        <c:txPr>
          <a:bodyPr/>
          <a:lstStyle/>
          <a:p>
            <a:pPr>
              <a:defRPr sz="1000"/>
            </a:pPr>
            <a:endParaRPr lang="en-US"/>
          </a:p>
        </c:txPr>
        <c:crossAx val="108529152"/>
        <c:crosses val="autoZero"/>
        <c:auto val="0"/>
        <c:lblAlgn val="ctr"/>
        <c:lblOffset val="100"/>
        <c:noMultiLvlLbl val="0"/>
      </c:catAx>
      <c:valAx>
        <c:axId val="108529152"/>
        <c:scaling>
          <c:orientation val="minMax"/>
          <c:max val="8000000"/>
        </c:scaling>
        <c:delete val="0"/>
        <c:axPos val="l"/>
        <c:majorGridlines/>
        <c:numFmt formatCode="#,##0" sourceLinked="1"/>
        <c:majorTickMark val="out"/>
        <c:minorTickMark val="none"/>
        <c:tickLblPos val="nextTo"/>
        <c:txPr>
          <a:bodyPr/>
          <a:lstStyle/>
          <a:p>
            <a:pPr>
              <a:defRPr sz="1000"/>
            </a:pPr>
            <a:endParaRPr lang="en-US"/>
          </a:p>
        </c:txPr>
        <c:crossAx val="108527616"/>
        <c:crosses val="autoZero"/>
        <c:crossBetween val="between"/>
      </c:valAx>
      <c:spPr>
        <a:noFill/>
        <a:ln w="25400">
          <a:noFill/>
        </a:ln>
      </c:spPr>
    </c:plotArea>
    <c:legend>
      <c:legendPos val="r"/>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2015.xlsx]Funds analysis!PivotTable8</c:name>
    <c:fmtId val="4"/>
  </c:pivotSource>
  <c:chart>
    <c:title>
      <c:tx>
        <c:rich>
          <a:bodyPr/>
          <a:lstStyle/>
          <a:p>
            <a:pPr>
              <a:defRPr sz="1400"/>
            </a:pPr>
            <a:r>
              <a:rPr lang="en-US" sz="1400"/>
              <a:t>GEOGRAPHIC FUND REPARTITION</a:t>
            </a:r>
          </a:p>
        </c:rich>
      </c:tx>
      <c:layout>
        <c:manualLayout>
          <c:xMode val="edge"/>
          <c:yMode val="edge"/>
          <c:x val="0.29358796296296297"/>
          <c:y val="8.3333333333333329E-2"/>
        </c:manualLayout>
      </c:layout>
      <c:overlay val="0"/>
    </c:title>
    <c:autoTitleDeleted val="0"/>
    <c:pivotFmts>
      <c:pivotFmt>
        <c:idx val="0"/>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dLbl>
          <c:idx val="0"/>
          <c:layout>
            <c:manualLayout>
              <c:x val="-2.3360126859142606E-2"/>
              <c:y val="2.6588863892013499E-2"/>
            </c:manualLayout>
          </c:layout>
          <c:showLegendKey val="0"/>
          <c:showVal val="0"/>
          <c:showCatName val="0"/>
          <c:showSerName val="0"/>
          <c:showPercent val="1"/>
          <c:showBubbleSize val="0"/>
          <c:extLst>
            <c:ext xmlns:c15="http://schemas.microsoft.com/office/drawing/2012/chart" uri="{CE6537A1-D6FC-4f65-9D91-7224C49458BB}"/>
          </c:extLst>
        </c:dLbl>
      </c:pivotFmt>
      <c:pivotFmt>
        <c:idx val="4"/>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dLbl>
          <c:idx val="0"/>
          <c:layout>
            <c:manualLayout>
              <c:x val="5.6913431061166593E-2"/>
              <c:y val="-3.5505547602004292E-2"/>
            </c:manualLayout>
          </c:layout>
          <c:showLegendKey val="0"/>
          <c:showVal val="0"/>
          <c:showCatName val="1"/>
          <c:showSerName val="0"/>
          <c:showPercent val="0"/>
          <c:showBubbleSize val="0"/>
          <c:extLst>
            <c:ext xmlns:c15="http://schemas.microsoft.com/office/drawing/2012/chart" uri="{CE6537A1-D6FC-4f65-9D91-7224C49458BB}"/>
          </c:extLst>
        </c:dLbl>
      </c:pivotFmt>
      <c:pivotFmt>
        <c:idx val="8"/>
        <c:dLbl>
          <c:idx val="0"/>
          <c:layout>
            <c:manualLayout>
              <c:x val="-6.8190231842442425E-2"/>
              <c:y val="6.6817775283657468E-2"/>
            </c:manualLayout>
          </c:layout>
          <c:showLegendKey val="0"/>
          <c:showVal val="0"/>
          <c:showCatName val="1"/>
          <c:showSerName val="0"/>
          <c:showPercent val="0"/>
          <c:showBubbleSize val="0"/>
          <c:extLst>
            <c:ext xmlns:c15="http://schemas.microsoft.com/office/drawing/2012/chart" uri="{CE6537A1-D6FC-4f65-9D91-7224C49458BB}"/>
          </c:extLst>
        </c:dLbl>
      </c:pivotFmt>
      <c:pivotFmt>
        <c:idx val="9"/>
        <c:dLbl>
          <c:idx val="0"/>
          <c:layout>
            <c:manualLayout>
              <c:x val="0.10603588696956626"/>
              <c:y val="5.63553303053154E-2"/>
            </c:manualLayout>
          </c:layout>
          <c:showLegendKey val="0"/>
          <c:showVal val="0"/>
          <c:showCatName val="1"/>
          <c:showSerName val="0"/>
          <c:showPercent val="0"/>
          <c:showBubbleSize val="0"/>
          <c:extLst>
            <c:ext xmlns:c15="http://schemas.microsoft.com/office/drawing/2012/chart" uri="{CE6537A1-D6FC-4f65-9D91-7224C49458BB}"/>
          </c:extLst>
        </c:dLbl>
      </c:pivotFmt>
    </c:pivotFmts>
    <c:view3D>
      <c:rotX val="30"/>
      <c:rotY val="0"/>
      <c:rAngAx val="0"/>
      <c:perspective val="30"/>
    </c:view3D>
    <c:floor>
      <c:thickness val="0"/>
    </c:floor>
    <c:sideWall>
      <c:thickness val="0"/>
    </c:sideWall>
    <c:backWall>
      <c:thickness val="0"/>
    </c:backWall>
    <c:plotArea>
      <c:layout/>
      <c:pie3DChart>
        <c:varyColors val="1"/>
        <c:ser>
          <c:idx val="0"/>
          <c:order val="0"/>
          <c:tx>
            <c:strRef>
              <c:f>'Funds analysis'!$C$94</c:f>
              <c:strCache>
                <c:ptCount val="1"/>
                <c:pt idx="0">
                  <c:v>Total</c:v>
                </c:pt>
              </c:strCache>
            </c:strRef>
          </c:tx>
          <c:explosion val="17"/>
          <c:dLbls>
            <c:dLbl>
              <c:idx val="0"/>
              <c:layout>
                <c:manualLayout>
                  <c:x val="0.10603588696956626"/>
                  <c:y val="5.63553303053154E-2"/>
                </c:manualLayout>
              </c:layout>
              <c:showLegendKey val="0"/>
              <c:showVal val="0"/>
              <c:showCatName val="1"/>
              <c:showSerName val="0"/>
              <c:showPercent val="0"/>
              <c:showBubbleSize val="0"/>
              <c:extLst>
                <c:ext xmlns:c15="http://schemas.microsoft.com/office/drawing/2012/chart" uri="{CE6537A1-D6FC-4f65-9D91-7224C49458BB}"/>
              </c:extLst>
            </c:dLbl>
            <c:dLbl>
              <c:idx val="1"/>
              <c:layout>
                <c:manualLayout>
                  <c:x val="5.6913431061166593E-2"/>
                  <c:y val="-3.5505547602004292E-2"/>
                </c:manualLayout>
              </c:layout>
              <c:showLegendKey val="0"/>
              <c:showVal val="0"/>
              <c:showCatName val="1"/>
              <c:showSerName val="0"/>
              <c:showPercent val="0"/>
              <c:showBubbleSize val="0"/>
              <c:extLst>
                <c:ext xmlns:c15="http://schemas.microsoft.com/office/drawing/2012/chart" uri="{CE6537A1-D6FC-4f65-9D91-7224C49458BB}"/>
              </c:extLst>
            </c:dLbl>
            <c:dLbl>
              <c:idx val="2"/>
              <c:layout>
                <c:manualLayout>
                  <c:x val="-6.8190231842442425E-2"/>
                  <c:y val="6.6817775283657468E-2"/>
                </c:manualLayout>
              </c:layout>
              <c:showLegendKey val="0"/>
              <c:showVal val="0"/>
              <c:showCatName val="1"/>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showLeaderLines val="1"/>
          </c:dLbls>
          <c:cat>
            <c:strRef>
              <c:f>'Funds analysis'!$B$95:$B$97</c:f>
              <c:strCache>
                <c:ptCount val="3"/>
                <c:pt idx="0">
                  <c:v>% fund attributed for Northern Shan</c:v>
                </c:pt>
                <c:pt idx="1">
                  <c:v> % fund attributed for South Kachin</c:v>
                </c:pt>
                <c:pt idx="2">
                  <c:v> % funds attributed for North kachin</c:v>
                </c:pt>
              </c:strCache>
            </c:strRef>
          </c:cat>
          <c:val>
            <c:numRef>
              <c:f>'Funds analysis'!$C$95:$C$97</c:f>
              <c:numCache>
                <c:formatCode>0%</c:formatCode>
                <c:ptCount val="3"/>
                <c:pt idx="0">
                  <c:v>0.14220020067507166</c:v>
                </c:pt>
                <c:pt idx="1">
                  <c:v>0.54387404529655214</c:v>
                </c:pt>
                <c:pt idx="2">
                  <c:v>0.32597383990683138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2015.xlsx]SituationAnalysis!PivotTable23</c:name>
    <c:fmtId val="27"/>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Full HK coverage</a:t>
            </a:r>
          </a:p>
        </c:rich>
      </c:tx>
      <c:layout>
        <c:manualLayout>
          <c:xMode val="edge"/>
          <c:yMode val="edge"/>
          <c:x val="0.3571200028567858"/>
          <c:y val="1.9464735111010295E-2"/>
        </c:manualLayout>
      </c:layout>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0.10193868623564911"/>
          <c:y val="0.10476931989908991"/>
          <c:w val="0.86711518203081761"/>
          <c:h val="0.5967726856123422"/>
        </c:manualLayout>
      </c:layout>
      <c:bar3DChart>
        <c:barDir val="col"/>
        <c:grouping val="clustered"/>
        <c:varyColors val="0"/>
        <c:ser>
          <c:idx val="0"/>
          <c:order val="0"/>
          <c:tx>
            <c:strRef>
              <c:f>SituationAnalysis!$C$374</c:f>
              <c:strCache>
                <c:ptCount val="1"/>
                <c:pt idx="0">
                  <c:v>Total</c:v>
                </c:pt>
              </c:strCache>
            </c:strRef>
          </c:tx>
          <c:spPr>
            <a:solidFill>
              <a:schemeClr val="accent1"/>
            </a:solidFill>
            <a:ln>
              <a:noFill/>
            </a:ln>
            <a:effectLst/>
            <a:sp3d/>
          </c:spPr>
          <c:invertIfNegative val="0"/>
          <c:cat>
            <c:strRef>
              <c:f>SituationAnalysis!$B$375:$B$394</c:f>
              <c:strCache>
                <c:ptCount val="19"/>
                <c:pt idx="0">
                  <c:v>Bhamo</c:v>
                </c:pt>
                <c:pt idx="1">
                  <c:v>Chipwi</c:v>
                </c:pt>
                <c:pt idx="2">
                  <c:v>Hpakan</c:v>
                </c:pt>
                <c:pt idx="3">
                  <c:v>Khaunglanhpu</c:v>
                </c:pt>
                <c:pt idx="4">
                  <c:v>Kutkai</c:v>
                </c:pt>
                <c:pt idx="5">
                  <c:v>Machanbaw</c:v>
                </c:pt>
                <c:pt idx="6">
                  <c:v>Mansi</c:v>
                </c:pt>
                <c:pt idx="7">
                  <c:v>Manton</c:v>
                </c:pt>
                <c:pt idx="8">
                  <c:v>Mogaung</c:v>
                </c:pt>
                <c:pt idx="9">
                  <c:v>Mohnyin</c:v>
                </c:pt>
                <c:pt idx="10">
                  <c:v>Momauk</c:v>
                </c:pt>
                <c:pt idx="11">
                  <c:v>Muse</c:v>
                </c:pt>
                <c:pt idx="12">
                  <c:v>Myitkyina</c:v>
                </c:pt>
                <c:pt idx="13">
                  <c:v>Namkham</c:v>
                </c:pt>
                <c:pt idx="14">
                  <c:v>Namtu</c:v>
                </c:pt>
                <c:pt idx="15">
                  <c:v>Puta-O</c:v>
                </c:pt>
                <c:pt idx="16">
                  <c:v>Shwegu</c:v>
                </c:pt>
                <c:pt idx="17">
                  <c:v>Waingmaw</c:v>
                </c:pt>
                <c:pt idx="18">
                  <c:v>Hseni</c:v>
                </c:pt>
              </c:strCache>
            </c:strRef>
          </c:cat>
          <c:val>
            <c:numRef>
              <c:f>SituationAnalysis!$C$375:$C$394</c:f>
              <c:numCache>
                <c:formatCode>0%</c:formatCode>
                <c:ptCount val="19"/>
                <c:pt idx="0">
                  <c:v>0.99515453373269835</c:v>
                </c:pt>
                <c:pt idx="1">
                  <c:v>0.98947713653596014</c:v>
                </c:pt>
                <c:pt idx="2">
                  <c:v>0.20683060109289617</c:v>
                </c:pt>
                <c:pt idx="3">
                  <c:v>0</c:v>
                </c:pt>
                <c:pt idx="4">
                  <c:v>0</c:v>
                </c:pt>
                <c:pt idx="5">
                  <c:v>0</c:v>
                </c:pt>
                <c:pt idx="6">
                  <c:v>0.8131350157038516</c:v>
                </c:pt>
                <c:pt idx="7">
                  <c:v>0</c:v>
                </c:pt>
                <c:pt idx="8">
                  <c:v>1</c:v>
                </c:pt>
                <c:pt idx="9">
                  <c:v>1</c:v>
                </c:pt>
                <c:pt idx="10">
                  <c:v>0.4520515136625281</c:v>
                </c:pt>
                <c:pt idx="11">
                  <c:v>0.89716089848645519</c:v>
                </c:pt>
                <c:pt idx="12">
                  <c:v>1</c:v>
                </c:pt>
                <c:pt idx="13">
                  <c:v>0.54005763688760811</c:v>
                </c:pt>
                <c:pt idx="14">
                  <c:v>0</c:v>
                </c:pt>
                <c:pt idx="15">
                  <c:v>0</c:v>
                </c:pt>
                <c:pt idx="16">
                  <c:v>0.87447320891029501</c:v>
                </c:pt>
                <c:pt idx="17">
                  <c:v>0.79710433354893273</c:v>
                </c:pt>
                <c:pt idx="18">
                  <c:v>0</c:v>
                </c:pt>
              </c:numCache>
            </c:numRef>
          </c:val>
        </c:ser>
        <c:dLbls>
          <c:showLegendKey val="0"/>
          <c:showVal val="0"/>
          <c:showCatName val="0"/>
          <c:showSerName val="0"/>
          <c:showPercent val="0"/>
          <c:showBubbleSize val="0"/>
        </c:dLbls>
        <c:gapWidth val="150"/>
        <c:shape val="box"/>
        <c:axId val="79454208"/>
        <c:axId val="79455744"/>
        <c:axId val="0"/>
      </c:bar3DChart>
      <c:catAx>
        <c:axId val="79454208"/>
        <c:scaling>
          <c:orientation val="minMax"/>
        </c:scaling>
        <c:delete val="0"/>
        <c:axPos val="b"/>
        <c:numFmt formatCode="General" sourceLinked="1"/>
        <c:majorTickMark val="none"/>
        <c:minorTickMark val="none"/>
        <c:tickLblPos val="nextTo"/>
        <c:spPr>
          <a:noFill/>
          <a:ln>
            <a:noFill/>
          </a:ln>
          <a:effectLst/>
        </c:spPr>
        <c:txPr>
          <a:bodyPr rot="-2880000" spcFirstLastPara="1" vertOverflow="ellipsis"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79455744"/>
        <c:crosses val="autoZero"/>
        <c:auto val="1"/>
        <c:lblAlgn val="ctr"/>
        <c:lblOffset val="100"/>
        <c:noMultiLvlLbl val="0"/>
      </c:catAx>
      <c:valAx>
        <c:axId val="794557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794542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2015.xlsx]Funds analysis!PivotTable1</c:name>
    <c:fmtId val="6"/>
  </c:pivotSource>
  <c:chart>
    <c:title>
      <c:tx>
        <c:rich>
          <a:bodyPr/>
          <a:lstStyle/>
          <a:p>
            <a:pPr>
              <a:defRPr sz="1400"/>
            </a:pPr>
            <a:r>
              <a:rPr lang="en-US" sz="1400"/>
              <a:t>TYPOLOGY OF THE BENEFICIARIES TARGETTED</a:t>
            </a:r>
          </a:p>
        </c:rich>
      </c:tx>
      <c:layout>
        <c:manualLayout>
          <c:xMode val="edge"/>
          <c:yMode val="edge"/>
          <c:x val="0.2591588160854893"/>
          <c:y val="7.1216061954364446E-2"/>
        </c:manualLayout>
      </c:layout>
      <c:overlay val="0"/>
    </c:title>
    <c:autoTitleDeleted val="0"/>
    <c:pivotFmts>
      <c:pivotFmt>
        <c:idx val="0"/>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5"/>
        <c:dLbl>
          <c:idx val="0"/>
          <c:layout>
            <c:manualLayout>
              <c:x val="-0.39169113981490949"/>
              <c:y val="0.17380657421940873"/>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dLbl>
          <c:idx val="0"/>
          <c:layout>
            <c:manualLayout>
              <c:x val="0.17055760430514366"/>
              <c:y val="6.3487657123584409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8"/>
        <c:dLbl>
          <c:idx val="0"/>
          <c:layout>
            <c:manualLayout>
              <c:x val="-0.39169113981490949"/>
              <c:y val="0.17380657421940873"/>
            </c:manualLayout>
          </c:layout>
          <c:showLegendKey val="0"/>
          <c:showVal val="0"/>
          <c:showCatName val="1"/>
          <c:showSerName val="0"/>
          <c:showPercent val="0"/>
          <c:showBubbleSize val="0"/>
          <c:extLst>
            <c:ext xmlns:c15="http://schemas.microsoft.com/office/drawing/2012/chart" uri="{CE6537A1-D6FC-4f65-9D91-7224C49458BB}"/>
          </c:extLst>
        </c:dLbl>
      </c:pivotFmt>
      <c:pivotFmt>
        <c:idx val="9"/>
        <c:dLbl>
          <c:idx val="0"/>
          <c:layout>
            <c:manualLayout>
              <c:x val="0.17055760430514366"/>
              <c:y val="6.3487657123584409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9.2938311688311695E-2"/>
          <c:y val="0.30739015942611786"/>
          <c:w val="0.8303571428571429"/>
          <c:h val="0.69036795132898343"/>
        </c:manualLayout>
      </c:layout>
      <c:pie3DChart>
        <c:varyColors val="1"/>
        <c:ser>
          <c:idx val="0"/>
          <c:order val="0"/>
          <c:tx>
            <c:strRef>
              <c:f>'Funds analysis'!$C$124</c:f>
              <c:strCache>
                <c:ptCount val="1"/>
                <c:pt idx="0">
                  <c:v>Total</c:v>
                </c:pt>
              </c:strCache>
            </c:strRef>
          </c:tx>
          <c:dPt>
            <c:idx val="1"/>
            <c:bubble3D val="0"/>
            <c:explosion val="15"/>
          </c:dPt>
          <c:dLbls>
            <c:dLbl>
              <c:idx val="0"/>
              <c:layout>
                <c:manualLayout>
                  <c:x val="-0.39169113981490949"/>
                  <c:y val="0.17380657421940873"/>
                </c:manualLayout>
              </c:layout>
              <c:showLegendKey val="0"/>
              <c:showVal val="0"/>
              <c:showCatName val="1"/>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showLeaderLines val="1"/>
          </c:dLbls>
          <c:cat>
            <c:strRef>
              <c:f>'Funds analysis'!$B$125:$B$126</c:f>
              <c:strCache>
                <c:ptCount val="2"/>
                <c:pt idx="0">
                  <c:v>Average of Approximate % of beneficiaries in host community</c:v>
                </c:pt>
                <c:pt idx="1">
                  <c:v>Average of Approximate % of beneficiaries in camps</c:v>
                </c:pt>
              </c:strCache>
            </c:strRef>
          </c:cat>
          <c:val>
            <c:numRef>
              <c:f>'Funds analysis'!$C$125:$C$126</c:f>
              <c:numCache>
                <c:formatCode>0%</c:formatCode>
                <c:ptCount val="2"/>
                <c:pt idx="0">
                  <c:v>3.1190476190476192E-2</c:v>
                </c:pt>
                <c:pt idx="1">
                  <c:v>0.96880952380952379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2015.xlsx]Funds analysis!PivotTable10</c:name>
    <c:fmtId val="57"/>
  </c:pivotSource>
  <c:chart>
    <c:title>
      <c:tx>
        <c:rich>
          <a:bodyPr/>
          <a:lstStyle/>
          <a:p>
            <a:pPr>
              <a:defRPr sz="1400"/>
            </a:pPr>
            <a:r>
              <a:rPr lang="en-US" sz="1400"/>
              <a:t>DONORS</a:t>
            </a:r>
            <a:r>
              <a:rPr lang="en-US" sz="1400" baseline="0"/>
              <a:t> FUNDING </a:t>
            </a:r>
            <a:r>
              <a:rPr lang="en-US" sz="1400" baseline="0">
                <a:solidFill>
                  <a:srgbClr val="FF0000"/>
                </a:solidFill>
              </a:rPr>
              <a:t>in 2014 (up to July)</a:t>
            </a:r>
            <a:endParaRPr lang="en-US" sz="1400">
              <a:solidFill>
                <a:srgbClr val="FF0000"/>
              </a:solidFill>
            </a:endParaRPr>
          </a:p>
        </c:rich>
      </c:tx>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dLbl>
          <c:idx val="0"/>
          <c:layout>
            <c:manualLayout>
              <c:x val="5.946545414217589E-2"/>
              <c:y val="-0.1189238845144357"/>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3"/>
        <c:dLbl>
          <c:idx val="0"/>
          <c:layout>
            <c:manualLayout>
              <c:x val="6.6003659753798377E-2"/>
              <c:y val="-1.5044088590049839E-2"/>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4"/>
        <c:marker>
          <c:symbol val="none"/>
        </c:marker>
        <c:dLbl>
          <c:idx val="0"/>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5"/>
        <c:dLbl>
          <c:idx val="0"/>
          <c:layout>
            <c:manualLayout>
              <c:x val="5.946545414217589E-2"/>
              <c:y val="-0.118923884514435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6"/>
        <c:dLbl>
          <c:idx val="0"/>
          <c:layout>
            <c:manualLayout>
              <c:x val="-7.68534038878943E-2"/>
              <c:y val="-0.1004252669975273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7"/>
        <c:dLbl>
          <c:idx val="0"/>
          <c:layout>
            <c:manualLayout>
              <c:x val="0.14557391593656427"/>
              <c:y val="-0.1398876330603440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8"/>
        <c:dLbl>
          <c:idx val="0"/>
          <c:layout>
            <c:manualLayout>
              <c:x val="-6.5877944834360491E-3"/>
              <c:y val="8.4786339909758465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9"/>
        <c:dLbl>
          <c:idx val="0"/>
          <c:layout>
            <c:manualLayout>
              <c:x val="1.8222563728829654E-2"/>
              <c:y val="0.1641403468775756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0"/>
        <c:dLbl>
          <c:idx val="0"/>
          <c:layout>
            <c:manualLayout>
              <c:x val="-2.9633074034759739E-2"/>
              <c:y val="0.1095869210669379"/>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1"/>
        <c:dLbl>
          <c:idx val="0"/>
          <c:layout>
            <c:manualLayout>
              <c:x val="0.1923360636258496"/>
              <c:y val="-7.49357715307858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2"/>
        <c:dLbl>
          <c:idx val="0"/>
          <c:layout>
            <c:manualLayout>
              <c:x val="-2.4969264405329615E-2"/>
              <c:y val="-4.307293049043030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3"/>
        <c:dLbl>
          <c:idx val="0"/>
          <c:layout>
            <c:manualLayout>
              <c:x val="-6.6488854386159479E-2"/>
              <c:y val="3.2185916209248898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4"/>
        <c:dLbl>
          <c:idx val="0"/>
          <c:layout>
            <c:manualLayout>
              <c:x val="-6.2121231324957622E-2"/>
              <c:y val="-2.3692852007084861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5"/>
        <c:dLbl>
          <c:idx val="0"/>
          <c:layout>
            <c:manualLayout>
              <c:x val="3.2567214309478919E-2"/>
              <c:y val="-0.1101309997720218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6"/>
        <c:marker>
          <c:symbol val="none"/>
        </c:marker>
        <c:dLbl>
          <c:idx val="0"/>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7"/>
        <c:dLbl>
          <c:idx val="0"/>
          <c:layout>
            <c:manualLayout>
              <c:x val="5.946545414217589E-2"/>
              <c:y val="-0.118923884514435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8"/>
        <c:dLbl>
          <c:idx val="0"/>
          <c:layout>
            <c:manualLayout>
              <c:x val="-6.5877944834360491E-3"/>
              <c:y val="8.4786339909758465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9"/>
        <c:dLbl>
          <c:idx val="0"/>
          <c:layout>
            <c:manualLayout>
              <c:x val="1.8222563728829654E-2"/>
              <c:y val="0.1641403468775756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0"/>
        <c:dLbl>
          <c:idx val="0"/>
          <c:layout>
            <c:manualLayout>
              <c:x val="-2.9633074034759739E-2"/>
              <c:y val="0.1095869210669379"/>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1"/>
        <c:dLbl>
          <c:idx val="0"/>
          <c:layout>
            <c:manualLayout>
              <c:x val="-6.6488854386159479E-2"/>
              <c:y val="3.2185916209248898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2"/>
        <c:dLbl>
          <c:idx val="0"/>
          <c:layout>
            <c:manualLayout>
              <c:x val="-6.2121231324957622E-2"/>
              <c:y val="-2.3692852007084861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3"/>
        <c:dLbl>
          <c:idx val="0"/>
          <c:layout>
            <c:manualLayout>
              <c:x val="-7.68534038878943E-2"/>
              <c:y val="-0.1004252669975273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4"/>
        <c:dLbl>
          <c:idx val="0"/>
          <c:layout>
            <c:manualLayout>
              <c:x val="-2.4969264405329615E-2"/>
              <c:y val="-4.307293049043030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5"/>
        <c:dLbl>
          <c:idx val="0"/>
          <c:layout>
            <c:manualLayout>
              <c:x val="3.2567214309478919E-2"/>
              <c:y val="-0.1101309997720218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6"/>
        <c:dLbl>
          <c:idx val="0"/>
          <c:layout>
            <c:manualLayout>
              <c:x val="0.14557391593656427"/>
              <c:y val="-0.1398876330603440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7"/>
        <c:dLbl>
          <c:idx val="0"/>
          <c:layout>
            <c:manualLayout>
              <c:x val="0.1923360636258496"/>
              <c:y val="-7.49357715307858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8"/>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9"/>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40"/>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41"/>
        <c:dLbl>
          <c:idx val="0"/>
          <c:layout>
            <c:manualLayout>
              <c:x val="-2.7511973996734503E-2"/>
              <c:y val="-5.8997246725005698E-2"/>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42"/>
        <c:dLbl>
          <c:idx val="0"/>
          <c:layout>
            <c:manualLayout>
              <c:x val="-2.998614728544137E-2"/>
              <c:y val="-4.2458306297458906E-2"/>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43"/>
        <c:dLbl>
          <c:idx val="0"/>
          <c:layout>
            <c:manualLayout>
              <c:x val="7.7646653166054583E-2"/>
              <c:y val="-5.4857250583098045E-2"/>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44"/>
        <c:dLbl>
          <c:idx val="0"/>
          <c:layout>
            <c:manualLayout>
              <c:x val="1.389760761506958E-2"/>
              <c:y val="-5.3465268400469987E-2"/>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
        <c:idx val="45"/>
        <c:dLbl>
          <c:idx val="0"/>
          <c:layout>
            <c:manualLayout>
              <c:x val="5.8706536730819721E-3"/>
              <c:y val="8.3706574540097861E-2"/>
            </c:manualLayout>
          </c:layout>
          <c:showLegendKey val="0"/>
          <c:showVal val="1"/>
          <c:showCatName val="1"/>
          <c:showSerName val="0"/>
          <c:showPercent val="1"/>
          <c:showBubbleSize val="0"/>
          <c:separator>
</c:separator>
          <c:extLst>
            <c:ext xmlns:c15="http://schemas.microsoft.com/office/drawing/2012/chart" uri="{CE6537A1-D6FC-4f65-9D91-7224C49458BB}"/>
          </c:extLst>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16592816742977551"/>
          <c:y val="0.25175345913052627"/>
          <c:w val="0.74775786005472722"/>
          <c:h val="0.61369520690754775"/>
        </c:manualLayout>
      </c:layout>
      <c:pie3DChart>
        <c:varyColors val="1"/>
        <c:ser>
          <c:idx val="0"/>
          <c:order val="0"/>
          <c:tx>
            <c:strRef>
              <c:f>'Funds analysis'!$C$33:$C$34</c:f>
              <c:strCache>
                <c:ptCount val="1"/>
                <c:pt idx="0">
                  <c:v>Total</c:v>
                </c:pt>
              </c:strCache>
            </c:strRef>
          </c:tx>
          <c:explosion val="20"/>
          <c:dLbls>
            <c:dLbl>
              <c:idx val="4"/>
              <c:layout>
                <c:manualLayout>
                  <c:x val="5.8706536730819721E-3"/>
                  <c:y val="8.3706574540097861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5"/>
              <c:layout>
                <c:manualLayout>
                  <c:x val="-2.7511973996734503E-2"/>
                  <c:y val="-5.8997246725005698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7"/>
              <c:layout>
                <c:manualLayout>
                  <c:x val="-2.998614728544137E-2"/>
                  <c:y val="-4.2458306297458906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8"/>
              <c:layout>
                <c:manualLayout>
                  <c:x val="1.389760761506958E-2"/>
                  <c:y val="-5.3465268400469987E-2"/>
                </c:manualLayout>
              </c:layout>
              <c:showLegendKey val="0"/>
              <c:showVal val="1"/>
              <c:showCatName val="1"/>
              <c:showSerName val="0"/>
              <c:showPercent val="1"/>
              <c:showBubbleSize val="0"/>
              <c:separator>
</c:separator>
              <c:extLst>
                <c:ext xmlns:c15="http://schemas.microsoft.com/office/drawing/2012/chart" uri="{CE6537A1-D6FC-4f65-9D91-7224C49458BB}"/>
              </c:extLst>
            </c:dLbl>
            <c:dLbl>
              <c:idx val="9"/>
              <c:layout>
                <c:manualLayout>
                  <c:x val="7.7646653166054583E-2"/>
                  <c:y val="-5.4857250583098045E-2"/>
                </c:manualLayout>
              </c:layout>
              <c:showLegendKey val="0"/>
              <c:showVal val="1"/>
              <c:showCatName val="1"/>
              <c:showSerName val="0"/>
              <c:showPercent val="1"/>
              <c:showBubbleSize val="0"/>
              <c:separator>
</c:separator>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showLeaderLines val="1"/>
          </c:dLbls>
          <c:cat>
            <c:strRef>
              <c:f>'Funds analysis'!$B$35:$B$45</c:f>
              <c:strCache>
                <c:ptCount val="10"/>
                <c:pt idx="0">
                  <c:v>ECHO</c:v>
                </c:pt>
                <c:pt idx="1">
                  <c:v>OFDA</c:v>
                </c:pt>
                <c:pt idx="2">
                  <c:v>CERF</c:v>
                </c:pt>
                <c:pt idx="3">
                  <c:v>CIDA</c:v>
                </c:pt>
                <c:pt idx="4">
                  <c:v>Start fund</c:v>
                </c:pt>
                <c:pt idx="5">
                  <c:v>Australian</c:v>
                </c:pt>
                <c:pt idx="6">
                  <c:v>SC seed funding</c:v>
                </c:pt>
                <c:pt idx="7">
                  <c:v>HMSF</c:v>
                </c:pt>
                <c:pt idx="8">
                  <c:v>Irland</c:v>
                </c:pt>
                <c:pt idx="9">
                  <c:v>Sweden</c:v>
                </c:pt>
              </c:strCache>
            </c:strRef>
          </c:cat>
          <c:val>
            <c:numRef>
              <c:f>'Funds analysis'!$C$35:$C$45</c:f>
              <c:numCache>
                <c:formatCode>#,##0</c:formatCode>
                <c:ptCount val="10"/>
                <c:pt idx="0">
                  <c:v>723675.93633648218</c:v>
                </c:pt>
                <c:pt idx="1">
                  <c:v>585345.41666666674</c:v>
                </c:pt>
                <c:pt idx="2">
                  <c:v>1022388.1533101045</c:v>
                </c:pt>
                <c:pt idx="3">
                  <c:v>37538.200440528635</c:v>
                </c:pt>
                <c:pt idx="4">
                  <c:v>43482</c:v>
                </c:pt>
                <c:pt idx="5">
                  <c:v>100963.83480176212</c:v>
                </c:pt>
                <c:pt idx="6">
                  <c:v>17000</c:v>
                </c:pt>
                <c:pt idx="7">
                  <c:v>78945</c:v>
                </c:pt>
                <c:pt idx="8">
                  <c:v>79925.586080586087</c:v>
                </c:pt>
                <c:pt idx="9">
                  <c:v>50000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2015.xlsx]SituationAnalysis!PivotTable17</c:name>
    <c:fmtId val="49"/>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Population covered</a:t>
            </a:r>
          </a:p>
        </c:rich>
      </c:tx>
      <c:layout>
        <c:manualLayout>
          <c:xMode val="edge"/>
          <c:yMode val="edge"/>
          <c:x val="0.33871861166607908"/>
          <c:y val="9.6618283983199073E-3"/>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5"/>
        <c:spPr>
          <a:solidFill>
            <a:schemeClr val="accent2"/>
          </a:solidFill>
          <a:ln>
            <a:noFill/>
          </a:ln>
          <a:effectLst/>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0.11078348415403298"/>
          <c:y val="0.13299544828981832"/>
          <c:w val="0.88921651584596706"/>
          <c:h val="0.62655359537936384"/>
        </c:manualLayout>
      </c:layout>
      <c:bar3DChart>
        <c:barDir val="col"/>
        <c:grouping val="stacked"/>
        <c:varyColors val="0"/>
        <c:ser>
          <c:idx val="0"/>
          <c:order val="0"/>
          <c:tx>
            <c:strRef>
              <c:f>SituationAnalysis!$C$630:$C$631</c:f>
              <c:strCache>
                <c:ptCount val="1"/>
                <c:pt idx="0">
                  <c:v>Covered</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SituationAnalysis!$B$632:$B$634</c:f>
              <c:strCache>
                <c:ptCount val="2"/>
                <c:pt idx="0">
                  <c:v>GCA</c:v>
                </c:pt>
                <c:pt idx="1">
                  <c:v>NGCA</c:v>
                </c:pt>
              </c:strCache>
            </c:strRef>
          </c:cat>
          <c:val>
            <c:numRef>
              <c:f>SituationAnalysis!$C$632:$C$634</c:f>
              <c:numCache>
                <c:formatCode>0</c:formatCode>
                <c:ptCount val="2"/>
                <c:pt idx="0">
                  <c:v>46188</c:v>
                </c:pt>
                <c:pt idx="1">
                  <c:v>38728</c:v>
                </c:pt>
              </c:numCache>
            </c:numRef>
          </c:val>
        </c:ser>
        <c:ser>
          <c:idx val="1"/>
          <c:order val="1"/>
          <c:tx>
            <c:strRef>
              <c:f>SituationAnalysis!$D$630:$D$631</c:f>
              <c:strCache>
                <c:ptCount val="1"/>
                <c:pt idx="0">
                  <c:v>Not covered</c:v>
                </c:pt>
              </c:strCache>
            </c:strRef>
          </c:tx>
          <c:spPr>
            <a:solidFill>
              <a:schemeClr val="accent2"/>
            </a:solidFill>
            <a:ln>
              <a:noFill/>
            </a:ln>
            <a:effectLst/>
            <a:sp3d/>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SituationAnalysis!$B$632:$B$634</c:f>
              <c:strCache>
                <c:ptCount val="2"/>
                <c:pt idx="0">
                  <c:v>GCA</c:v>
                </c:pt>
                <c:pt idx="1">
                  <c:v>NGCA</c:v>
                </c:pt>
              </c:strCache>
            </c:strRef>
          </c:cat>
          <c:val>
            <c:numRef>
              <c:f>SituationAnalysis!$D$632:$D$634</c:f>
              <c:numCache>
                <c:formatCode>0</c:formatCode>
                <c:ptCount val="2"/>
                <c:pt idx="0">
                  <c:v>1106</c:v>
                </c:pt>
                <c:pt idx="1">
                  <c:v>1691</c:v>
                </c:pt>
              </c:numCache>
            </c:numRef>
          </c:val>
        </c:ser>
        <c:dLbls>
          <c:showLegendKey val="0"/>
          <c:showVal val="1"/>
          <c:showCatName val="0"/>
          <c:showSerName val="0"/>
          <c:showPercent val="0"/>
          <c:showBubbleSize val="0"/>
        </c:dLbls>
        <c:gapWidth val="150"/>
        <c:shape val="box"/>
        <c:axId val="79841536"/>
        <c:axId val="79863808"/>
        <c:axId val="0"/>
      </c:bar3DChart>
      <c:catAx>
        <c:axId val="798415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79863808"/>
        <c:crosses val="autoZero"/>
        <c:auto val="1"/>
        <c:lblAlgn val="ctr"/>
        <c:lblOffset val="100"/>
        <c:noMultiLvlLbl val="0"/>
      </c:catAx>
      <c:valAx>
        <c:axId val="79863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79841536"/>
        <c:crosses val="autoZero"/>
        <c:crossBetween val="between"/>
        <c:majorUnit val="10000"/>
      </c:valAx>
      <c:spPr>
        <a:noFill/>
        <a:ln>
          <a:noFill/>
        </a:ln>
        <a:effectLst/>
      </c:spPr>
    </c:plotArea>
    <c:legend>
      <c:legendPos val="b"/>
      <c:layout>
        <c:manualLayout>
          <c:xMode val="edge"/>
          <c:yMode val="edge"/>
          <c:x val="0.31046147216672543"/>
          <c:y val="0.87196403669668932"/>
          <c:w val="0.37907705566654915"/>
          <c:h val="0.12803596330331066"/>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Wash_Matrix_KachinNorth Shan_May 2015.xlsx]Funds analysis!PivotTable5</c:name>
    <c:fmtId val="16"/>
  </c:pivotSource>
  <c:chart>
    <c:title>
      <c:tx>
        <c:rich>
          <a:bodyPr/>
          <a:lstStyle/>
          <a:p>
            <a:pPr>
              <a:defRPr sz="800"/>
            </a:pPr>
            <a:r>
              <a:rPr lang="en-US" sz="800"/>
              <a:t>APPROXIMATE FUND</a:t>
            </a:r>
            <a:r>
              <a:rPr lang="en-US" sz="800" baseline="0"/>
              <a:t> </a:t>
            </a:r>
            <a:r>
              <a:rPr lang="en-US" sz="800"/>
              <a:t>ENGAGED PER YEAR (US$)</a:t>
            </a:r>
          </a:p>
        </c:rich>
      </c:tx>
      <c:layout>
        <c:manualLayout>
          <c:xMode val="edge"/>
          <c:yMode val="edge"/>
          <c:x val="0.16547852654064929"/>
          <c:y val="1.8912515468799563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3.4089458964377171E-2"/>
          <c:y val="0.13786404730809382"/>
          <c:w val="0.84323099191474149"/>
          <c:h val="0.74265650851137655"/>
        </c:manualLayout>
      </c:layout>
      <c:bar3DChart>
        <c:barDir val="col"/>
        <c:grouping val="stacked"/>
        <c:varyColors val="0"/>
        <c:ser>
          <c:idx val="0"/>
          <c:order val="0"/>
          <c:tx>
            <c:strRef>
              <c:f>'Funds analysis'!$C$69:$C$70</c:f>
              <c:strCache>
                <c:ptCount val="1"/>
                <c:pt idx="0">
                  <c:v>ECHO</c:v>
                </c:pt>
              </c:strCache>
            </c:strRef>
          </c:tx>
          <c:invertIfNegative val="0"/>
          <c:cat>
            <c:strRef>
              <c:f>'Funds analysis'!$B$71:$B$73</c:f>
              <c:strCache>
                <c:ptCount val="3"/>
                <c:pt idx="0">
                  <c:v>Before 2014</c:v>
                </c:pt>
                <c:pt idx="1">
                  <c:v>2014</c:v>
                </c:pt>
                <c:pt idx="2">
                  <c:v>2015</c:v>
                </c:pt>
              </c:strCache>
            </c:strRef>
          </c:cat>
          <c:val>
            <c:numRef>
              <c:f>'Funds analysis'!$C$71:$C$73</c:f>
              <c:numCache>
                <c:formatCode>#,##0</c:formatCode>
                <c:ptCount val="3"/>
                <c:pt idx="0">
                  <c:v>2174530.0636635176</c:v>
                </c:pt>
                <c:pt idx="1">
                  <c:v>1150423.4729542886</c:v>
                </c:pt>
                <c:pt idx="2">
                  <c:v>577638.4633821937</c:v>
                </c:pt>
              </c:numCache>
            </c:numRef>
          </c:val>
        </c:ser>
        <c:ser>
          <c:idx val="1"/>
          <c:order val="1"/>
          <c:tx>
            <c:strRef>
              <c:f>'Funds analysis'!$D$69:$D$70</c:f>
              <c:strCache>
                <c:ptCount val="1"/>
                <c:pt idx="0">
                  <c:v>Germany</c:v>
                </c:pt>
              </c:strCache>
            </c:strRef>
          </c:tx>
          <c:invertIfNegative val="0"/>
          <c:cat>
            <c:strRef>
              <c:f>'Funds analysis'!$B$71:$B$73</c:f>
              <c:strCache>
                <c:ptCount val="3"/>
                <c:pt idx="0">
                  <c:v>Before 2014</c:v>
                </c:pt>
                <c:pt idx="1">
                  <c:v>2014</c:v>
                </c:pt>
                <c:pt idx="2">
                  <c:v>2015</c:v>
                </c:pt>
              </c:strCache>
            </c:strRef>
          </c:cat>
          <c:val>
            <c:numRef>
              <c:f>'Funds analysis'!$D$71:$D$73</c:f>
              <c:numCache>
                <c:formatCode>#,##0</c:formatCode>
                <c:ptCount val="3"/>
                <c:pt idx="0">
                  <c:v>338770</c:v>
                </c:pt>
                <c:pt idx="1">
                  <c:v>0</c:v>
                </c:pt>
                <c:pt idx="2">
                  <c:v>0</c:v>
                </c:pt>
              </c:numCache>
            </c:numRef>
          </c:val>
        </c:ser>
        <c:ser>
          <c:idx val="2"/>
          <c:order val="2"/>
          <c:tx>
            <c:strRef>
              <c:f>'Funds analysis'!$E$69:$E$70</c:f>
              <c:strCache>
                <c:ptCount val="1"/>
                <c:pt idx="0">
                  <c:v>HMSF</c:v>
                </c:pt>
              </c:strCache>
            </c:strRef>
          </c:tx>
          <c:invertIfNegative val="0"/>
          <c:cat>
            <c:strRef>
              <c:f>'Funds analysis'!$B$71:$B$73</c:f>
              <c:strCache>
                <c:ptCount val="3"/>
                <c:pt idx="0">
                  <c:v>Before 2014</c:v>
                </c:pt>
                <c:pt idx="1">
                  <c:v>2014</c:v>
                </c:pt>
                <c:pt idx="2">
                  <c:v>2015</c:v>
                </c:pt>
              </c:strCache>
            </c:strRef>
          </c:cat>
          <c:val>
            <c:numRef>
              <c:f>'Funds analysis'!$E$71:$E$73</c:f>
              <c:numCache>
                <c:formatCode>#,##0</c:formatCode>
                <c:ptCount val="3"/>
                <c:pt idx="0">
                  <c:v>0</c:v>
                </c:pt>
                <c:pt idx="1">
                  <c:v>79917.740101095231</c:v>
                </c:pt>
                <c:pt idx="2">
                  <c:v>266217.25989890477</c:v>
                </c:pt>
              </c:numCache>
            </c:numRef>
          </c:val>
        </c:ser>
        <c:ser>
          <c:idx val="3"/>
          <c:order val="3"/>
          <c:tx>
            <c:strRef>
              <c:f>'Funds analysis'!$F$69:$F$70</c:f>
              <c:strCache>
                <c:ptCount val="1"/>
                <c:pt idx="0">
                  <c:v>OFDA</c:v>
                </c:pt>
              </c:strCache>
            </c:strRef>
          </c:tx>
          <c:invertIfNegative val="0"/>
          <c:cat>
            <c:strRef>
              <c:f>'Funds analysis'!$B$71:$B$73</c:f>
              <c:strCache>
                <c:ptCount val="3"/>
                <c:pt idx="0">
                  <c:v>Before 2014</c:v>
                </c:pt>
                <c:pt idx="1">
                  <c:v>2014</c:v>
                </c:pt>
                <c:pt idx="2">
                  <c:v>2015</c:v>
                </c:pt>
              </c:strCache>
            </c:strRef>
          </c:cat>
          <c:val>
            <c:numRef>
              <c:f>'Funds analysis'!$F$71:$F$73</c:f>
              <c:numCache>
                <c:formatCode>#,##0</c:formatCode>
                <c:ptCount val="3"/>
                <c:pt idx="0">
                  <c:v>1169702.5833333333</c:v>
                </c:pt>
                <c:pt idx="1">
                  <c:v>900364.83424908435</c:v>
                </c:pt>
                <c:pt idx="2">
                  <c:v>154927.58241758242</c:v>
                </c:pt>
              </c:numCache>
            </c:numRef>
          </c:val>
        </c:ser>
        <c:ser>
          <c:idx val="4"/>
          <c:order val="4"/>
          <c:tx>
            <c:strRef>
              <c:f>'Funds analysis'!$G$69:$G$70</c:f>
              <c:strCache>
                <c:ptCount val="1"/>
                <c:pt idx="0">
                  <c:v>CERF</c:v>
                </c:pt>
              </c:strCache>
            </c:strRef>
          </c:tx>
          <c:invertIfNegative val="0"/>
          <c:cat>
            <c:strRef>
              <c:f>'Funds analysis'!$B$71:$B$73</c:f>
              <c:strCache>
                <c:ptCount val="3"/>
                <c:pt idx="0">
                  <c:v>Before 2014</c:v>
                </c:pt>
                <c:pt idx="1">
                  <c:v>2014</c:v>
                </c:pt>
                <c:pt idx="2">
                  <c:v>2015</c:v>
                </c:pt>
              </c:strCache>
            </c:strRef>
          </c:cat>
          <c:val>
            <c:numRef>
              <c:f>'Funds analysis'!$G$71:$G$73</c:f>
              <c:numCache>
                <c:formatCode>#,##0</c:formatCode>
                <c:ptCount val="3"/>
                <c:pt idx="0">
                  <c:v>1172664.4566898956</c:v>
                </c:pt>
                <c:pt idx="1">
                  <c:v>1022388.1533101045</c:v>
                </c:pt>
                <c:pt idx="2">
                  <c:v>0</c:v>
                </c:pt>
              </c:numCache>
            </c:numRef>
          </c:val>
        </c:ser>
        <c:ser>
          <c:idx val="5"/>
          <c:order val="5"/>
          <c:tx>
            <c:strRef>
              <c:f>'Funds analysis'!$H$69:$H$70</c:f>
              <c:strCache>
                <c:ptCount val="1"/>
                <c:pt idx="0">
                  <c:v>Canada</c:v>
                </c:pt>
              </c:strCache>
            </c:strRef>
          </c:tx>
          <c:invertIfNegative val="0"/>
          <c:cat>
            <c:strRef>
              <c:f>'Funds analysis'!$B$71:$B$73</c:f>
              <c:strCache>
                <c:ptCount val="3"/>
                <c:pt idx="0">
                  <c:v>Before 2014</c:v>
                </c:pt>
                <c:pt idx="1">
                  <c:v>2014</c:v>
                </c:pt>
                <c:pt idx="2">
                  <c:v>2015</c:v>
                </c:pt>
              </c:strCache>
            </c:strRef>
          </c:cat>
          <c:val>
            <c:numRef>
              <c:f>'Funds analysis'!$H$71:$H$73</c:f>
              <c:numCache>
                <c:formatCode>#,##0</c:formatCode>
                <c:ptCount val="3"/>
                <c:pt idx="0">
                  <c:v>292113</c:v>
                </c:pt>
                <c:pt idx="1">
                  <c:v>0</c:v>
                </c:pt>
                <c:pt idx="2">
                  <c:v>0</c:v>
                </c:pt>
              </c:numCache>
            </c:numRef>
          </c:val>
        </c:ser>
        <c:ser>
          <c:idx val="6"/>
          <c:order val="6"/>
          <c:tx>
            <c:strRef>
              <c:f>'Funds analysis'!$I$69:$I$70</c:f>
              <c:strCache>
                <c:ptCount val="1"/>
                <c:pt idx="0">
                  <c:v>Australian</c:v>
                </c:pt>
              </c:strCache>
            </c:strRef>
          </c:tx>
          <c:invertIfNegative val="0"/>
          <c:cat>
            <c:strRef>
              <c:f>'Funds analysis'!$B$71:$B$73</c:f>
              <c:strCache>
                <c:ptCount val="3"/>
                <c:pt idx="0">
                  <c:v>Before 2014</c:v>
                </c:pt>
                <c:pt idx="1">
                  <c:v>2014</c:v>
                </c:pt>
                <c:pt idx="2">
                  <c:v>2015</c:v>
                </c:pt>
              </c:strCache>
            </c:strRef>
          </c:cat>
          <c:val>
            <c:numRef>
              <c:f>'Funds analysis'!$I$71:$I$73</c:f>
              <c:numCache>
                <c:formatCode>#,##0</c:formatCode>
                <c:ptCount val="3"/>
                <c:pt idx="0">
                  <c:v>414065.16519823787</c:v>
                </c:pt>
                <c:pt idx="1">
                  <c:v>100963.83480176212</c:v>
                </c:pt>
                <c:pt idx="2">
                  <c:v>0</c:v>
                </c:pt>
              </c:numCache>
            </c:numRef>
          </c:val>
        </c:ser>
        <c:ser>
          <c:idx val="7"/>
          <c:order val="7"/>
          <c:tx>
            <c:strRef>
              <c:f>'Funds analysis'!$J$69:$J$70</c:f>
              <c:strCache>
                <c:ptCount val="1"/>
                <c:pt idx="0">
                  <c:v>France</c:v>
                </c:pt>
              </c:strCache>
            </c:strRef>
          </c:tx>
          <c:invertIfNegative val="0"/>
          <c:cat>
            <c:strRef>
              <c:f>'Funds analysis'!$B$71:$B$73</c:f>
              <c:strCache>
                <c:ptCount val="3"/>
                <c:pt idx="0">
                  <c:v>Before 2014</c:v>
                </c:pt>
                <c:pt idx="1">
                  <c:v>2014</c:v>
                </c:pt>
                <c:pt idx="2">
                  <c:v>2015</c:v>
                </c:pt>
              </c:strCache>
            </c:strRef>
          </c:cat>
          <c:val>
            <c:numRef>
              <c:f>'Funds analysis'!$J$71:$J$73</c:f>
              <c:numCache>
                <c:formatCode>#,##0</c:formatCode>
                <c:ptCount val="3"/>
                <c:pt idx="0">
                  <c:v>197000</c:v>
                </c:pt>
                <c:pt idx="1">
                  <c:v>0</c:v>
                </c:pt>
                <c:pt idx="2">
                  <c:v>0</c:v>
                </c:pt>
              </c:numCache>
            </c:numRef>
          </c:val>
        </c:ser>
        <c:ser>
          <c:idx val="8"/>
          <c:order val="8"/>
          <c:tx>
            <c:strRef>
              <c:f>'Funds analysis'!$K$69:$K$70</c:f>
              <c:strCache>
                <c:ptCount val="1"/>
                <c:pt idx="0">
                  <c:v>Irland</c:v>
                </c:pt>
              </c:strCache>
            </c:strRef>
          </c:tx>
          <c:invertIfNegative val="0"/>
          <c:cat>
            <c:strRef>
              <c:f>'Funds analysis'!$B$71:$B$73</c:f>
              <c:strCache>
                <c:ptCount val="3"/>
                <c:pt idx="0">
                  <c:v>Before 2014</c:v>
                </c:pt>
                <c:pt idx="1">
                  <c:v>2014</c:v>
                </c:pt>
                <c:pt idx="2">
                  <c:v>2015</c:v>
                </c:pt>
              </c:strCache>
            </c:strRef>
          </c:cat>
          <c:val>
            <c:numRef>
              <c:f>'Funds analysis'!$K$71:$K$73</c:f>
              <c:numCache>
                <c:formatCode>#,##0</c:formatCode>
                <c:ptCount val="3"/>
                <c:pt idx="0">
                  <c:v>165239.41391941393</c:v>
                </c:pt>
                <c:pt idx="1">
                  <c:v>79925.586080586087</c:v>
                </c:pt>
                <c:pt idx="2">
                  <c:v>0</c:v>
                </c:pt>
              </c:numCache>
            </c:numRef>
          </c:val>
        </c:ser>
        <c:ser>
          <c:idx val="9"/>
          <c:order val="9"/>
          <c:tx>
            <c:strRef>
              <c:f>'Funds analysis'!$L$69:$L$70</c:f>
              <c:strCache>
                <c:ptCount val="1"/>
                <c:pt idx="0">
                  <c:v>Sweden</c:v>
                </c:pt>
              </c:strCache>
            </c:strRef>
          </c:tx>
          <c:invertIfNegative val="0"/>
          <c:cat>
            <c:strRef>
              <c:f>'Funds analysis'!$B$71:$B$73</c:f>
              <c:strCache>
                <c:ptCount val="3"/>
                <c:pt idx="0">
                  <c:v>Before 2014</c:v>
                </c:pt>
                <c:pt idx="1">
                  <c:v>2014</c:v>
                </c:pt>
                <c:pt idx="2">
                  <c:v>2015</c:v>
                </c:pt>
              </c:strCache>
            </c:strRef>
          </c:cat>
          <c:val>
            <c:numRef>
              <c:f>'Funds analysis'!$L$71:$L$73</c:f>
              <c:numCache>
                <c:formatCode>#,##0</c:formatCode>
                <c:ptCount val="3"/>
                <c:pt idx="0">
                  <c:v>106270</c:v>
                </c:pt>
                <c:pt idx="1">
                  <c:v>50000</c:v>
                </c:pt>
                <c:pt idx="2">
                  <c:v>0</c:v>
                </c:pt>
              </c:numCache>
            </c:numRef>
          </c:val>
        </c:ser>
        <c:ser>
          <c:idx val="10"/>
          <c:order val="10"/>
          <c:tx>
            <c:strRef>
              <c:f>'Funds analysis'!$M$69:$M$70</c:f>
              <c:strCache>
                <c:ptCount val="1"/>
                <c:pt idx="0">
                  <c:v>CIDA</c:v>
                </c:pt>
              </c:strCache>
            </c:strRef>
          </c:tx>
          <c:invertIfNegative val="0"/>
          <c:cat>
            <c:strRef>
              <c:f>'Funds analysis'!$B$71:$B$73</c:f>
              <c:strCache>
                <c:ptCount val="3"/>
                <c:pt idx="0">
                  <c:v>Before 2014</c:v>
                </c:pt>
                <c:pt idx="1">
                  <c:v>2014</c:v>
                </c:pt>
                <c:pt idx="2">
                  <c:v>2015</c:v>
                </c:pt>
              </c:strCache>
            </c:strRef>
          </c:cat>
          <c:val>
            <c:numRef>
              <c:f>'Funds analysis'!$M$71:$M$73</c:f>
              <c:numCache>
                <c:formatCode>#,##0</c:formatCode>
                <c:ptCount val="3"/>
                <c:pt idx="0">
                  <c:v>153948.79955947137</c:v>
                </c:pt>
                <c:pt idx="1">
                  <c:v>37538.200440528635</c:v>
                </c:pt>
                <c:pt idx="2">
                  <c:v>0</c:v>
                </c:pt>
              </c:numCache>
            </c:numRef>
          </c:val>
        </c:ser>
        <c:ser>
          <c:idx val="11"/>
          <c:order val="11"/>
          <c:tx>
            <c:strRef>
              <c:f>'Funds analysis'!$N$69:$N$70</c:f>
              <c:strCache>
                <c:ptCount val="1"/>
                <c:pt idx="0">
                  <c:v>Japan</c:v>
                </c:pt>
              </c:strCache>
            </c:strRef>
          </c:tx>
          <c:invertIfNegative val="0"/>
          <c:cat>
            <c:strRef>
              <c:f>'Funds analysis'!$B$71:$B$73</c:f>
              <c:strCache>
                <c:ptCount val="3"/>
                <c:pt idx="0">
                  <c:v>Before 2014</c:v>
                </c:pt>
                <c:pt idx="1">
                  <c:v>2014</c:v>
                </c:pt>
                <c:pt idx="2">
                  <c:v>2015</c:v>
                </c:pt>
              </c:strCache>
            </c:strRef>
          </c:cat>
          <c:val>
            <c:numRef>
              <c:f>'Funds analysis'!$N$71:$N$73</c:f>
              <c:numCache>
                <c:formatCode>#,##0</c:formatCode>
                <c:ptCount val="3"/>
                <c:pt idx="0">
                  <c:v>0</c:v>
                </c:pt>
                <c:pt idx="1">
                  <c:v>564560.43956043955</c:v>
                </c:pt>
                <c:pt idx="2">
                  <c:v>185439.56043956045</c:v>
                </c:pt>
              </c:numCache>
            </c:numRef>
          </c:val>
        </c:ser>
        <c:ser>
          <c:idx val="12"/>
          <c:order val="12"/>
          <c:tx>
            <c:strRef>
              <c:f>'Funds analysis'!$O$69:$O$70</c:f>
              <c:strCache>
                <c:ptCount val="1"/>
                <c:pt idx="0">
                  <c:v>SC seed funding</c:v>
                </c:pt>
              </c:strCache>
            </c:strRef>
          </c:tx>
          <c:invertIfNegative val="0"/>
          <c:cat>
            <c:strRef>
              <c:f>'Funds analysis'!$B$71:$B$73</c:f>
              <c:strCache>
                <c:ptCount val="3"/>
                <c:pt idx="0">
                  <c:v>Before 2014</c:v>
                </c:pt>
                <c:pt idx="1">
                  <c:v>2014</c:v>
                </c:pt>
                <c:pt idx="2">
                  <c:v>2015</c:v>
                </c:pt>
              </c:strCache>
            </c:strRef>
          </c:cat>
          <c:val>
            <c:numRef>
              <c:f>'Funds analysis'!$O$71:$O$73</c:f>
              <c:numCache>
                <c:formatCode>#,##0</c:formatCode>
                <c:ptCount val="3"/>
                <c:pt idx="0">
                  <c:v>0</c:v>
                </c:pt>
                <c:pt idx="1">
                  <c:v>17000</c:v>
                </c:pt>
                <c:pt idx="2">
                  <c:v>0</c:v>
                </c:pt>
              </c:numCache>
            </c:numRef>
          </c:val>
        </c:ser>
        <c:ser>
          <c:idx val="13"/>
          <c:order val="13"/>
          <c:tx>
            <c:strRef>
              <c:f>'Funds analysis'!$P$69:$P$70</c:f>
              <c:strCache>
                <c:ptCount val="1"/>
                <c:pt idx="0">
                  <c:v>SIDA</c:v>
                </c:pt>
              </c:strCache>
            </c:strRef>
          </c:tx>
          <c:invertIfNegative val="0"/>
          <c:cat>
            <c:strRef>
              <c:f>'Funds analysis'!$B$71:$B$73</c:f>
              <c:strCache>
                <c:ptCount val="3"/>
                <c:pt idx="0">
                  <c:v>Before 2014</c:v>
                </c:pt>
                <c:pt idx="1">
                  <c:v>2014</c:v>
                </c:pt>
                <c:pt idx="2">
                  <c:v>2015</c:v>
                </c:pt>
              </c:strCache>
            </c:strRef>
          </c:cat>
          <c:val>
            <c:numRef>
              <c:f>'Funds analysis'!$P$71:$P$73</c:f>
              <c:numCache>
                <c:formatCode>#,##0</c:formatCode>
                <c:ptCount val="3"/>
                <c:pt idx="0">
                  <c:v>80400</c:v>
                </c:pt>
                <c:pt idx="1">
                  <c:v>0</c:v>
                </c:pt>
                <c:pt idx="2">
                  <c:v>0</c:v>
                </c:pt>
              </c:numCache>
            </c:numRef>
          </c:val>
        </c:ser>
        <c:ser>
          <c:idx val="14"/>
          <c:order val="14"/>
          <c:tx>
            <c:strRef>
              <c:f>'Funds analysis'!$Q$69:$Q$70</c:f>
              <c:strCache>
                <c:ptCount val="1"/>
                <c:pt idx="0">
                  <c:v>Start fund</c:v>
                </c:pt>
              </c:strCache>
            </c:strRef>
          </c:tx>
          <c:invertIfNegative val="0"/>
          <c:cat>
            <c:strRef>
              <c:f>'Funds analysis'!$B$71:$B$73</c:f>
              <c:strCache>
                <c:ptCount val="3"/>
                <c:pt idx="0">
                  <c:v>Before 2014</c:v>
                </c:pt>
                <c:pt idx="1">
                  <c:v>2014</c:v>
                </c:pt>
                <c:pt idx="2">
                  <c:v>2015</c:v>
                </c:pt>
              </c:strCache>
            </c:strRef>
          </c:cat>
          <c:val>
            <c:numRef>
              <c:f>'Funds analysis'!$Q$71:$Q$73</c:f>
              <c:numCache>
                <c:formatCode>#,##0</c:formatCode>
                <c:ptCount val="3"/>
                <c:pt idx="0">
                  <c:v>0</c:v>
                </c:pt>
                <c:pt idx="1">
                  <c:v>43482</c:v>
                </c:pt>
                <c:pt idx="2">
                  <c:v>0</c:v>
                </c:pt>
              </c:numCache>
            </c:numRef>
          </c:val>
        </c:ser>
        <c:ser>
          <c:idx val="15"/>
          <c:order val="15"/>
          <c:tx>
            <c:strRef>
              <c:f>'Funds analysis'!$R$69:$R$70</c:f>
              <c:strCache>
                <c:ptCount val="1"/>
                <c:pt idx="0">
                  <c:v>DFAT</c:v>
                </c:pt>
              </c:strCache>
            </c:strRef>
          </c:tx>
          <c:invertIfNegative val="0"/>
          <c:cat>
            <c:strRef>
              <c:f>'Funds analysis'!$B$71:$B$73</c:f>
              <c:strCache>
                <c:ptCount val="3"/>
                <c:pt idx="0">
                  <c:v>Before 2014</c:v>
                </c:pt>
                <c:pt idx="1">
                  <c:v>2014</c:v>
                </c:pt>
                <c:pt idx="2">
                  <c:v>2015</c:v>
                </c:pt>
              </c:strCache>
            </c:strRef>
          </c:cat>
          <c:val>
            <c:numRef>
              <c:f>'Funds analysis'!$R$71:$R$73</c:f>
              <c:numCache>
                <c:formatCode>#,##0</c:formatCode>
                <c:ptCount val="3"/>
                <c:pt idx="0">
                  <c:v>0</c:v>
                </c:pt>
                <c:pt idx="1">
                  <c:v>939498.21854084812</c:v>
                </c:pt>
                <c:pt idx="2">
                  <c:v>581410.78278552473</c:v>
                </c:pt>
              </c:numCache>
            </c:numRef>
          </c:val>
        </c:ser>
        <c:dLbls>
          <c:showLegendKey val="0"/>
          <c:showVal val="0"/>
          <c:showCatName val="0"/>
          <c:showSerName val="0"/>
          <c:showPercent val="0"/>
          <c:showBubbleSize val="0"/>
        </c:dLbls>
        <c:gapWidth val="150"/>
        <c:shape val="box"/>
        <c:axId val="79950208"/>
        <c:axId val="79951744"/>
        <c:axId val="0"/>
      </c:bar3DChart>
      <c:catAx>
        <c:axId val="79950208"/>
        <c:scaling>
          <c:orientation val="minMax"/>
        </c:scaling>
        <c:delete val="0"/>
        <c:axPos val="b"/>
        <c:numFmt formatCode="General" sourceLinked="1"/>
        <c:majorTickMark val="out"/>
        <c:minorTickMark val="none"/>
        <c:tickLblPos val="nextTo"/>
        <c:crossAx val="79951744"/>
        <c:crosses val="autoZero"/>
        <c:auto val="0"/>
        <c:lblAlgn val="ctr"/>
        <c:lblOffset val="100"/>
        <c:noMultiLvlLbl val="0"/>
      </c:catAx>
      <c:valAx>
        <c:axId val="79951744"/>
        <c:scaling>
          <c:orientation val="minMax"/>
          <c:max val="8000000"/>
        </c:scaling>
        <c:delete val="0"/>
        <c:axPos val="l"/>
        <c:majorGridlines/>
        <c:numFmt formatCode="#,##0" sourceLinked="0"/>
        <c:majorTickMark val="out"/>
        <c:minorTickMark val="none"/>
        <c:tickLblPos val="nextTo"/>
        <c:crossAx val="79950208"/>
        <c:crosses val="autoZero"/>
        <c:crossBetween val="between"/>
        <c:dispUnits>
          <c:builtInUnit val="millions"/>
          <c:dispUnitsLbl/>
        </c:dispUnits>
      </c:valAx>
      <c:spPr>
        <a:noFill/>
        <a:ln w="25400">
          <a:noFill/>
        </a:ln>
      </c:spPr>
    </c:plotArea>
    <c:legend>
      <c:legendPos val="r"/>
      <c:layout>
        <c:manualLayout>
          <c:xMode val="edge"/>
          <c:yMode val="edge"/>
          <c:x val="0.78578589902044471"/>
          <c:y val="2.3662981952694888E-2"/>
          <c:w val="0.19893987496407708"/>
          <c:h val="0.96936470328943747"/>
        </c:manualLayout>
      </c:layout>
      <c:overlay val="0"/>
    </c:legend>
    <c:plotVisOnly val="1"/>
    <c:dispBlanksAs val="gap"/>
    <c:showDLblsOverMax val="0"/>
  </c:chart>
  <c:spPr>
    <a:ln>
      <a:noFill/>
    </a:ln>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0" i="0" u="none" strike="noStrike" kern="1200" spc="0" baseline="0">
                <a:solidFill>
                  <a:schemeClr val="tx1">
                    <a:lumMod val="65000"/>
                    <a:lumOff val="35000"/>
                  </a:schemeClr>
                </a:solidFill>
                <a:latin typeface="+mn-lt"/>
                <a:ea typeface="+mn-ea"/>
                <a:cs typeface="+mn-cs"/>
              </a:defRPr>
            </a:pPr>
            <a:r>
              <a:rPr lang="en-US" sz="600" b="1"/>
              <a:t>HRP</a:t>
            </a:r>
            <a:r>
              <a:rPr lang="en-US" sz="600"/>
              <a:t> target population:</a:t>
            </a:r>
          </a:p>
          <a:p>
            <a:pPr>
              <a:defRPr sz="600" b="0" i="0" u="none" strike="noStrike" kern="1200" spc="0" baseline="0">
                <a:solidFill>
                  <a:schemeClr val="tx1">
                    <a:lumMod val="65000"/>
                    <a:lumOff val="35000"/>
                  </a:schemeClr>
                </a:solidFill>
                <a:latin typeface="+mn-lt"/>
                <a:ea typeface="+mn-ea"/>
                <a:cs typeface="+mn-cs"/>
              </a:defRPr>
            </a:pPr>
            <a:r>
              <a:rPr lang="en-US" sz="600" b="0" i="1"/>
              <a:t>119,500</a:t>
            </a:r>
          </a:p>
          <a:p>
            <a:pPr>
              <a:defRPr sz="600" b="0" i="0" u="none" strike="noStrike" kern="1200" spc="0" baseline="0">
                <a:solidFill>
                  <a:schemeClr val="tx1">
                    <a:lumMod val="65000"/>
                    <a:lumOff val="35000"/>
                  </a:schemeClr>
                </a:solidFill>
                <a:latin typeface="+mn-lt"/>
                <a:ea typeface="+mn-ea"/>
                <a:cs typeface="+mn-cs"/>
              </a:defRPr>
            </a:pPr>
            <a:r>
              <a:rPr lang="en-US" sz="600"/>
              <a:t>Receive</a:t>
            </a:r>
            <a:r>
              <a:rPr lang="en-US" sz="600" baseline="0"/>
              <a:t> Wash services</a:t>
            </a:r>
            <a:r>
              <a:rPr lang="en-US" sz="600"/>
              <a:t>:</a:t>
            </a:r>
          </a:p>
        </c:rich>
      </c:tx>
      <c:layout>
        <c:manualLayout>
          <c:xMode val="edge"/>
          <c:yMode val="edge"/>
          <c:x val="0.14390662253882924"/>
          <c:y val="0.50728388906635458"/>
        </c:manualLayout>
      </c:layout>
      <c:overlay val="0"/>
      <c:spPr>
        <a:noFill/>
        <a:ln>
          <a:noFill/>
        </a:ln>
        <a:effectLst/>
      </c:spPr>
    </c:title>
    <c:autoTitleDeleted val="0"/>
    <c:plotArea>
      <c:layout>
        <c:manualLayout>
          <c:layoutTarget val="inner"/>
          <c:xMode val="edge"/>
          <c:yMode val="edge"/>
          <c:x val="3.2068299154913327E-2"/>
          <c:y val="0"/>
          <c:w val="0.92860661648063225"/>
          <c:h val="1"/>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5.7287410567956533E-2"/>
                  <c:y val="0.18179937822794959"/>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indicator'!$C$65:$C$68</c:f>
              <c:numCache>
                <c:formatCode>0%</c:formatCode>
                <c:ptCount val="4"/>
                <c:pt idx="0">
                  <c:v>0.75118454085781972</c:v>
                </c:pt>
                <c:pt idx="1">
                  <c:v>0.24881545914218028</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Lit>
              <c:formatCode>General</c:formatCode>
              <c:ptCount val="4"/>
              <c:pt idx="0">
                <c:v>0.4</c:v>
              </c:pt>
              <c:pt idx="1">
                <c:v>0.3</c:v>
              </c:pt>
              <c:pt idx="2">
                <c:v>0.3</c:v>
              </c:pt>
              <c:pt idx="3">
                <c:v>1</c:v>
              </c:pt>
            </c:numLit>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0" i="0" u="none" strike="noStrike" kern="1200" spc="0" baseline="0">
                <a:solidFill>
                  <a:schemeClr val="tx1">
                    <a:lumMod val="65000"/>
                    <a:lumOff val="35000"/>
                  </a:schemeClr>
                </a:solidFill>
                <a:latin typeface="+mn-lt"/>
                <a:ea typeface="+mn-ea"/>
                <a:cs typeface="+mn-cs"/>
              </a:defRPr>
            </a:pPr>
            <a:r>
              <a:rPr lang="en-US" sz="600" b="1" i="0" baseline="0">
                <a:effectLst/>
              </a:rPr>
              <a:t>HRP</a:t>
            </a:r>
            <a:r>
              <a:rPr lang="en-US" sz="600" b="0" i="0" baseline="0">
                <a:effectLst/>
              </a:rPr>
              <a:t> Water target pop.:</a:t>
            </a:r>
            <a:endParaRPr lang="en-US" sz="60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1" baseline="0">
                <a:effectLst/>
              </a:rPr>
              <a:t>99,500</a:t>
            </a:r>
            <a:endParaRPr lang="en-US" sz="600" b="0">
              <a:effectLst/>
            </a:endParaRPr>
          </a:p>
          <a:p>
            <a:pPr>
              <a:defRPr sz="600" b="0" i="0" u="none" strike="noStrike" kern="1200" spc="0" baseline="0">
                <a:solidFill>
                  <a:schemeClr val="tx1">
                    <a:lumMod val="65000"/>
                    <a:lumOff val="35000"/>
                  </a:schemeClr>
                </a:solidFill>
                <a:latin typeface="+mn-lt"/>
                <a:ea typeface="+mn-ea"/>
                <a:cs typeface="+mn-cs"/>
              </a:defRPr>
            </a:pPr>
            <a:r>
              <a:rPr lang="en-US" sz="600" b="0" i="0" baseline="0">
                <a:effectLst/>
              </a:rPr>
              <a:t>Water 100% covered:</a:t>
            </a:r>
            <a:endParaRPr lang="en-US" sz="600">
              <a:effectLst/>
            </a:endParaRPr>
          </a:p>
        </c:rich>
      </c:tx>
      <c:layout>
        <c:manualLayout>
          <c:xMode val="edge"/>
          <c:yMode val="edge"/>
          <c:x val="0.14390662253882924"/>
          <c:y val="0.50728388906635458"/>
        </c:manualLayout>
      </c:layout>
      <c:overlay val="0"/>
      <c:spPr>
        <a:noFill/>
        <a:ln>
          <a:noFill/>
        </a:ln>
        <a:effectLst/>
      </c:spPr>
    </c:title>
    <c:autoTitleDeleted val="0"/>
    <c:plotArea>
      <c:layout>
        <c:manualLayout>
          <c:layoutTarget val="inner"/>
          <c:xMode val="edge"/>
          <c:yMode val="edge"/>
          <c:x val="3.2068299154913327E-2"/>
          <c:y val="0"/>
          <c:w val="0.92860661648063225"/>
          <c:h val="1"/>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6.8831427358592615E-2"/>
                  <c:y val="0.1950663557806414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indicator'!$C$73:$C$76</c:f>
              <c:numCache>
                <c:formatCode>0%</c:formatCode>
                <c:ptCount val="4"/>
                <c:pt idx="0">
                  <c:v>0.8169388971762398</c:v>
                </c:pt>
                <c:pt idx="1">
                  <c:v>0.1830611028237602</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Lit>
              <c:formatCode>General</c:formatCode>
              <c:ptCount val="4"/>
              <c:pt idx="0">
                <c:v>0.4</c:v>
              </c:pt>
              <c:pt idx="1">
                <c:v>0.3</c:v>
              </c:pt>
              <c:pt idx="2">
                <c:v>0.3</c:v>
              </c:pt>
              <c:pt idx="3">
                <c:v>1</c:v>
              </c:pt>
            </c:numLit>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image" Target="../media/image3.emf"/><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chart" Target="../charts/chart12.xml"/><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image" Target="../media/image4.png"/><Relationship Id="rId16" Type="http://schemas.openxmlformats.org/officeDocument/2006/relationships/chart" Target="../charts/chart27.xml"/><Relationship Id="rId20" Type="http://schemas.openxmlformats.org/officeDocument/2006/relationships/chart" Target="../charts/chart31.xml"/><Relationship Id="rId29" Type="http://schemas.openxmlformats.org/officeDocument/2006/relationships/chart" Target="../charts/chart40.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 Id="rId30" Type="http://schemas.openxmlformats.org/officeDocument/2006/relationships/chart" Target="../charts/chart4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10" Type="http://schemas.openxmlformats.org/officeDocument/2006/relationships/chart" Target="../charts/chart51.xml"/><Relationship Id="rId4" Type="http://schemas.openxmlformats.org/officeDocument/2006/relationships/chart" Target="../charts/chart45.xml"/><Relationship Id="rId9"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editAs="oneCell">
    <xdr:from>
      <xdr:col>4</xdr:col>
      <xdr:colOff>299041</xdr:colOff>
      <xdr:row>3</xdr:row>
      <xdr:rowOff>19158</xdr:rowOff>
    </xdr:from>
    <xdr:to>
      <xdr:col>11</xdr:col>
      <xdr:colOff>71105</xdr:colOff>
      <xdr:row>32</xdr:row>
      <xdr:rowOff>4875</xdr:rowOff>
    </xdr:to>
    <xdr:pic>
      <xdr:nvPicPr>
        <xdr:cNvPr id="29" name="Picture 2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5669" y="584013"/>
          <a:ext cx="4036163" cy="5445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553780</xdr:colOff>
      <xdr:row>2</xdr:row>
      <xdr:rowOff>77529</xdr:rowOff>
    </xdr:from>
    <xdr:to>
      <xdr:col>10</xdr:col>
      <xdr:colOff>239898</xdr:colOff>
      <xdr:row>6</xdr:row>
      <xdr:rowOff>3545</xdr:rowOff>
    </xdr:to>
    <xdr:pic>
      <xdr:nvPicPr>
        <xdr:cNvPr id="31" name="Picture 3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7036" y="454099"/>
          <a:ext cx="904432" cy="679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0</xdr:row>
      <xdr:rowOff>19050</xdr:rowOff>
    </xdr:from>
    <xdr:to>
      <xdr:col>2</xdr:col>
      <xdr:colOff>89070</xdr:colOff>
      <xdr:row>2</xdr:row>
      <xdr:rowOff>49530</xdr:rowOff>
    </xdr:to>
    <xdr:pic>
      <xdr:nvPicPr>
        <xdr:cNvPr id="3" name="Picture 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 y="19050"/>
          <a:ext cx="1251120" cy="411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571501</xdr:colOff>
      <xdr:row>0</xdr:row>
      <xdr:rowOff>87313</xdr:rowOff>
    </xdr:from>
    <xdr:to>
      <xdr:col>14</xdr:col>
      <xdr:colOff>1066800</xdr:colOff>
      <xdr:row>1</xdr:row>
      <xdr:rowOff>161989</xdr:rowOff>
    </xdr:to>
    <xdr:sp macro="" textlink="">
      <xdr:nvSpPr>
        <xdr:cNvPr id="4" name="TextBox 3"/>
        <xdr:cNvSpPr txBox="1"/>
      </xdr:nvSpPr>
      <xdr:spPr>
        <a:xfrm>
          <a:off x="1181101" y="87313"/>
          <a:ext cx="8420099" cy="265176"/>
        </a:xfrm>
        <a:prstGeom prst="rect">
          <a:avLst/>
        </a:prstGeom>
        <a:solidFill>
          <a:srgbClr val="098A9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b="1">
              <a:solidFill>
                <a:schemeClr val="bg1"/>
              </a:solidFill>
            </a:rPr>
            <a:t>		MYANMAR</a:t>
          </a:r>
          <a:r>
            <a:rPr lang="en-US" sz="1100" b="1" baseline="0">
              <a:solidFill>
                <a:schemeClr val="bg1"/>
              </a:solidFill>
            </a:rPr>
            <a:t> MONTHLY SNAPSHOT</a:t>
          </a:r>
          <a:r>
            <a:rPr lang="en-US" sz="1100" b="1" i="1" baseline="0">
              <a:solidFill>
                <a:schemeClr val="bg1"/>
              </a:solidFill>
            </a:rPr>
            <a:t>: </a:t>
          </a:r>
          <a:r>
            <a:rPr lang="en-US" sz="1100" b="1" i="1" baseline="0">
              <a:solidFill>
                <a:sysClr val="windowText" lastClr="000000"/>
              </a:solidFill>
            </a:rPr>
            <a:t>KACHIN</a:t>
          </a:r>
          <a:r>
            <a:rPr lang="en-US" sz="1100" b="1" i="1" baseline="0">
              <a:solidFill>
                <a:schemeClr val="bg1"/>
              </a:solidFill>
            </a:rPr>
            <a:t>	</a:t>
          </a:r>
          <a:r>
            <a:rPr lang="en-US" sz="1100" b="1" baseline="0">
              <a:solidFill>
                <a:schemeClr val="bg1"/>
              </a:solidFill>
            </a:rPr>
            <a:t>		May2015</a:t>
          </a:r>
          <a:endParaRPr lang="en-US" sz="1100" b="1">
            <a:solidFill>
              <a:schemeClr val="bg1"/>
            </a:solidFill>
          </a:endParaRPr>
        </a:p>
      </xdr:txBody>
    </xdr:sp>
    <xdr:clientData/>
  </xdr:twoCellAnchor>
  <xdr:twoCellAnchor>
    <xdr:from>
      <xdr:col>0</xdr:col>
      <xdr:colOff>96838</xdr:colOff>
      <xdr:row>2</xdr:row>
      <xdr:rowOff>60326</xdr:rowOff>
    </xdr:from>
    <xdr:to>
      <xdr:col>4</xdr:col>
      <xdr:colOff>71437</xdr:colOff>
      <xdr:row>3</xdr:row>
      <xdr:rowOff>117476</xdr:rowOff>
    </xdr:to>
    <xdr:sp macro="" textlink="">
      <xdr:nvSpPr>
        <xdr:cNvPr id="5" name="TextBox 4"/>
        <xdr:cNvSpPr txBox="1"/>
      </xdr:nvSpPr>
      <xdr:spPr>
        <a:xfrm>
          <a:off x="96838" y="441326"/>
          <a:ext cx="2412999" cy="247650"/>
        </a:xfrm>
        <a:prstGeom prst="rect">
          <a:avLst/>
        </a:prstGeom>
        <a:solidFill>
          <a:srgbClr val="098A9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HIGHLIGHT OF THE MONTH</a:t>
          </a:r>
          <a:endParaRPr lang="en-US">
            <a:effectLst/>
          </a:endParaRPr>
        </a:p>
        <a:p>
          <a:pPr algn="ctr"/>
          <a:endParaRPr lang="en-US" sz="1100"/>
        </a:p>
      </xdr:txBody>
    </xdr:sp>
    <xdr:clientData/>
  </xdr:twoCellAnchor>
  <xdr:twoCellAnchor>
    <xdr:from>
      <xdr:col>7</xdr:col>
      <xdr:colOff>569913</xdr:colOff>
      <xdr:row>33</xdr:row>
      <xdr:rowOff>166688</xdr:rowOff>
    </xdr:from>
    <xdr:to>
      <xdr:col>10</xdr:col>
      <xdr:colOff>403226</xdr:colOff>
      <xdr:row>38</xdr:row>
      <xdr:rowOff>203201</xdr:rowOff>
    </xdr:to>
    <xdr:sp macro="" textlink="">
      <xdr:nvSpPr>
        <xdr:cNvPr id="6" name="TextBox 5"/>
        <xdr:cNvSpPr txBox="1"/>
      </xdr:nvSpPr>
      <xdr:spPr>
        <a:xfrm>
          <a:off x="4837113" y="6453188"/>
          <a:ext cx="1662113" cy="989013"/>
        </a:xfrm>
        <a:prstGeom prst="rect">
          <a:avLst/>
        </a:prstGeom>
        <a:solidFill>
          <a:schemeClr val="lt1"/>
        </a:solidFill>
        <a:ln w="3175" cmpd="sng">
          <a:solidFill>
            <a:schemeClr val="bg1">
              <a:lumMod val="65000"/>
            </a:schemeClr>
          </a:solidFill>
        </a:ln>
        <a:effectLst>
          <a:outerShdw blurRad="50800" dist="38100" dir="2700000" algn="tl" rotWithShape="0">
            <a:prstClr val="black">
              <a:alpha val="54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b="1" i="1">
              <a:solidFill>
                <a:schemeClr val="bg1">
                  <a:lumMod val="50000"/>
                </a:schemeClr>
              </a:solidFill>
            </a:rPr>
            <a:t>Limitation of analysis:</a:t>
          </a:r>
        </a:p>
        <a:p>
          <a:pPr marL="171450" lvl="0" indent="-171450">
            <a:buFont typeface="Wingdings" panose="05000000000000000000" pitchFamily="2" charset="2"/>
            <a:buChar char="ü"/>
          </a:pPr>
          <a:r>
            <a:rPr lang="en-US" sz="600" i="1">
              <a:solidFill>
                <a:schemeClr val="bg1">
                  <a:lumMod val="50000"/>
                </a:schemeClr>
              </a:solidFill>
            </a:rPr>
            <a:t>Some location remain undocumented due to access</a:t>
          </a:r>
          <a:endParaRPr lang="en-US" sz="600" i="1" baseline="0">
            <a:solidFill>
              <a:schemeClr val="bg1">
                <a:lumMod val="50000"/>
              </a:schemeClr>
            </a:solidFill>
          </a:endParaRPr>
        </a:p>
        <a:p>
          <a:pPr marL="171450" lvl="0" indent="-171450">
            <a:buFont typeface="Wingdings" panose="05000000000000000000" pitchFamily="2" charset="2"/>
            <a:buChar char="ü"/>
          </a:pPr>
          <a:r>
            <a:rPr lang="en-US" sz="600" i="1" baseline="0">
              <a:solidFill>
                <a:schemeClr val="bg1">
                  <a:lumMod val="50000"/>
                </a:schemeClr>
              </a:solidFill>
            </a:rPr>
            <a:t>Wash in school for surrounding camp location under evaluation</a:t>
          </a:r>
        </a:p>
        <a:p>
          <a:pPr marL="171450" lvl="0" indent="-171450">
            <a:buFont typeface="Wingdings" panose="05000000000000000000" pitchFamily="2" charset="2"/>
            <a:buChar char="ü"/>
          </a:pPr>
          <a:r>
            <a:rPr lang="en-US" sz="600" i="1" baseline="0">
              <a:solidFill>
                <a:schemeClr val="bg1">
                  <a:lumMod val="50000"/>
                </a:schemeClr>
              </a:solidFill>
            </a:rPr>
            <a:t>Good Water access reported do not report enough closely about safe drinking water remaing low</a:t>
          </a:r>
        </a:p>
        <a:p>
          <a:pPr marL="171450" lvl="0" indent="-171450">
            <a:buFont typeface="Wingdings" panose="05000000000000000000" pitchFamily="2" charset="2"/>
            <a:buChar char="ü"/>
          </a:pPr>
          <a:r>
            <a:rPr lang="en-US" sz="600" i="1" baseline="0">
              <a:solidFill>
                <a:schemeClr val="bg1">
                  <a:lumMod val="50000"/>
                </a:schemeClr>
              </a:solidFill>
            </a:rPr>
            <a:t>Target 20,000 small scale emergency monitored aside </a:t>
          </a:r>
          <a:endParaRPr lang="en-US" sz="600" i="1">
            <a:solidFill>
              <a:schemeClr val="bg1">
                <a:lumMod val="50000"/>
              </a:schemeClr>
            </a:solidFill>
          </a:endParaRPr>
        </a:p>
      </xdr:txBody>
    </xdr:sp>
    <xdr:clientData/>
  </xdr:twoCellAnchor>
  <xdr:twoCellAnchor editAs="oneCell">
    <xdr:from>
      <xdr:col>11</xdr:col>
      <xdr:colOff>0</xdr:colOff>
      <xdr:row>2</xdr:row>
      <xdr:rowOff>85726</xdr:rowOff>
    </xdr:from>
    <xdr:to>
      <xdr:col>14</xdr:col>
      <xdr:colOff>990601</xdr:colOff>
      <xdr:row>9</xdr:row>
      <xdr:rowOff>47625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19050</xdr:colOff>
      <xdr:row>9</xdr:row>
      <xdr:rowOff>161925</xdr:rowOff>
    </xdr:from>
    <xdr:to>
      <xdr:col>14</xdr:col>
      <xdr:colOff>990600</xdr:colOff>
      <xdr:row>16</xdr:row>
      <xdr:rowOff>152400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11</xdr:col>
      <xdr:colOff>38100</xdr:colOff>
      <xdr:row>24</xdr:row>
      <xdr:rowOff>114300</xdr:rowOff>
    </xdr:from>
    <xdr:to>
      <xdr:col>14</xdr:col>
      <xdr:colOff>981075</xdr:colOff>
      <xdr:row>31</xdr:row>
      <xdr:rowOff>85725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28575</xdr:colOff>
      <xdr:row>31</xdr:row>
      <xdr:rowOff>161925</xdr:rowOff>
    </xdr:from>
    <xdr:to>
      <xdr:col>14</xdr:col>
      <xdr:colOff>981075</xdr:colOff>
      <xdr:row>38</xdr:row>
      <xdr:rowOff>142875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11</xdr:col>
      <xdr:colOff>19050</xdr:colOff>
      <xdr:row>17</xdr:row>
      <xdr:rowOff>28576</xdr:rowOff>
    </xdr:from>
    <xdr:to>
      <xdr:col>14</xdr:col>
      <xdr:colOff>990600</xdr:colOff>
      <xdr:row>24</xdr:row>
      <xdr:rowOff>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104775</xdr:colOff>
      <xdr:row>19</xdr:row>
      <xdr:rowOff>123824</xdr:rowOff>
    </xdr:from>
    <xdr:to>
      <xdr:col>4</xdr:col>
      <xdr:colOff>352424</xdr:colOff>
      <xdr:row>26</xdr:row>
      <xdr:rowOff>61913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109536</xdr:colOff>
      <xdr:row>26</xdr:row>
      <xdr:rowOff>109538</xdr:rowOff>
    </xdr:from>
    <xdr:to>
      <xdr:col>5</xdr:col>
      <xdr:colOff>304800</xdr:colOff>
      <xdr:row>33</xdr:row>
      <xdr:rowOff>28576</xdr:rowOff>
    </xdr:to>
    <xdr:graphicFrame macro="">
      <xdr:nvGraphicFramePr>
        <xdr:cNvPr id="1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114300</xdr:colOff>
      <xdr:row>33</xdr:row>
      <xdr:rowOff>171450</xdr:rowOff>
    </xdr:from>
    <xdr:to>
      <xdr:col>1</xdr:col>
      <xdr:colOff>604837</xdr:colOff>
      <xdr:row>38</xdr:row>
      <xdr:rowOff>176214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452438</xdr:colOff>
      <xdr:row>38</xdr:row>
      <xdr:rowOff>9524</xdr:rowOff>
    </xdr:from>
    <xdr:to>
      <xdr:col>1</xdr:col>
      <xdr:colOff>266700</xdr:colOff>
      <xdr:row>38</xdr:row>
      <xdr:rowOff>128587</xdr:rowOff>
    </xdr:to>
    <xdr:sp macro="" textlink="'Cluster indicator'!E12">
      <xdr:nvSpPr>
        <xdr:cNvPr id="8" name="TextBox 7"/>
        <xdr:cNvSpPr txBox="1"/>
      </xdr:nvSpPr>
      <xdr:spPr>
        <a:xfrm>
          <a:off x="452438" y="7248524"/>
          <a:ext cx="423862" cy="1190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C630FB4C-A9CF-4FA4-933F-9885606CD943}" type="TxLink">
            <a:rPr lang="en-US" sz="600" b="1" i="0" u="none" strike="noStrike">
              <a:solidFill>
                <a:srgbClr val="000000"/>
              </a:solidFill>
              <a:latin typeface="Calibri"/>
            </a:rPr>
            <a:pPr/>
            <a:t>84,977</a:t>
          </a:fld>
          <a:endParaRPr lang="en-US" sz="600" b="1"/>
        </a:p>
      </xdr:txBody>
    </xdr:sp>
    <xdr:clientData/>
  </xdr:twoCellAnchor>
  <xdr:twoCellAnchor>
    <xdr:from>
      <xdr:col>2</xdr:col>
      <xdr:colOff>76200</xdr:colOff>
      <xdr:row>33</xdr:row>
      <xdr:rowOff>176212</xdr:rowOff>
    </xdr:from>
    <xdr:to>
      <xdr:col>3</xdr:col>
      <xdr:colOff>566737</xdr:colOff>
      <xdr:row>38</xdr:row>
      <xdr:rowOff>180976</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33337</xdr:colOff>
      <xdr:row>33</xdr:row>
      <xdr:rowOff>185737</xdr:rowOff>
    </xdr:from>
    <xdr:to>
      <xdr:col>5</xdr:col>
      <xdr:colOff>523874</xdr:colOff>
      <xdr:row>38</xdr:row>
      <xdr:rowOff>190501</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595313</xdr:colOff>
      <xdr:row>34</xdr:row>
      <xdr:rowOff>0</xdr:rowOff>
    </xdr:from>
    <xdr:to>
      <xdr:col>7</xdr:col>
      <xdr:colOff>476250</xdr:colOff>
      <xdr:row>38</xdr:row>
      <xdr:rowOff>195264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409575</xdr:colOff>
      <xdr:row>38</xdr:row>
      <xdr:rowOff>23812</xdr:rowOff>
    </xdr:from>
    <xdr:to>
      <xdr:col>3</xdr:col>
      <xdr:colOff>223837</xdr:colOff>
      <xdr:row>38</xdr:row>
      <xdr:rowOff>142875</xdr:rowOff>
    </xdr:to>
    <xdr:sp macro="" textlink="'Cluster indicator'!D73">
      <xdr:nvSpPr>
        <xdr:cNvPr id="22" name="TextBox 21"/>
        <xdr:cNvSpPr txBox="1"/>
      </xdr:nvSpPr>
      <xdr:spPr>
        <a:xfrm>
          <a:off x="1628775" y="7262812"/>
          <a:ext cx="423862" cy="1190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2AB9415C-020F-42BB-A239-EF1F33996FC5}" type="TxLink">
            <a:rPr lang="en-US" sz="600" b="1" i="0" u="none" strike="noStrike">
              <a:solidFill>
                <a:srgbClr val="000000"/>
              </a:solidFill>
              <a:latin typeface="Calibri"/>
            </a:rPr>
            <a:pPr/>
            <a:t>78,018</a:t>
          </a:fld>
          <a:endParaRPr lang="en-US" sz="600" b="1"/>
        </a:p>
      </xdr:txBody>
    </xdr:sp>
    <xdr:clientData/>
  </xdr:twoCellAnchor>
  <xdr:twoCellAnchor>
    <xdr:from>
      <xdr:col>6</xdr:col>
      <xdr:colOff>338138</xdr:colOff>
      <xdr:row>38</xdr:row>
      <xdr:rowOff>28575</xdr:rowOff>
    </xdr:from>
    <xdr:to>
      <xdr:col>7</xdr:col>
      <xdr:colOff>152400</xdr:colOff>
      <xdr:row>38</xdr:row>
      <xdr:rowOff>147638</xdr:rowOff>
    </xdr:to>
    <xdr:sp macro="" textlink="'Cluster indicator'!D90">
      <xdr:nvSpPr>
        <xdr:cNvPr id="23" name="TextBox 21"/>
        <xdr:cNvSpPr txBox="1"/>
      </xdr:nvSpPr>
      <xdr:spPr>
        <a:xfrm>
          <a:off x="3995738" y="7267575"/>
          <a:ext cx="423862" cy="1190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fld id="{905C41DC-F653-4825-9021-EDD28F93D8F3}" type="TxLink">
            <a:rPr lang="en-US" sz="600" b="1" i="0" u="none" strike="noStrike">
              <a:solidFill>
                <a:srgbClr val="000000"/>
              </a:solidFill>
              <a:latin typeface="Calibri"/>
            </a:rPr>
            <a:pPr/>
            <a:t>52,221</a:t>
          </a:fld>
          <a:endParaRPr lang="en-US" sz="600" b="1"/>
        </a:p>
      </xdr:txBody>
    </xdr:sp>
    <xdr:clientData/>
  </xdr:twoCellAnchor>
  <xdr:twoCellAnchor editAs="oneCell">
    <xdr:from>
      <xdr:col>0</xdr:col>
      <xdr:colOff>104775</xdr:colOff>
      <xdr:row>13</xdr:row>
      <xdr:rowOff>9525</xdr:rowOff>
    </xdr:from>
    <xdr:to>
      <xdr:col>4</xdr:col>
      <xdr:colOff>85725</xdr:colOff>
      <xdr:row>19</xdr:row>
      <xdr:rowOff>38100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107156</xdr:colOff>
      <xdr:row>3</xdr:row>
      <xdr:rowOff>130967</xdr:rowOff>
    </xdr:from>
    <xdr:to>
      <xdr:col>4</xdr:col>
      <xdr:colOff>61913</xdr:colOff>
      <xdr:row>12</xdr:row>
      <xdr:rowOff>142874</xdr:rowOff>
    </xdr:to>
    <xdr:sp macro="" textlink="">
      <xdr:nvSpPr>
        <xdr:cNvPr id="25" name="TextBox 24"/>
        <xdr:cNvSpPr txBox="1"/>
      </xdr:nvSpPr>
      <xdr:spPr>
        <a:xfrm>
          <a:off x="107156" y="702467"/>
          <a:ext cx="2393157" cy="1726407"/>
        </a:xfrm>
        <a:prstGeom prst="rect">
          <a:avLst/>
        </a:prstGeom>
        <a:solidFill>
          <a:schemeClr val="accent5">
            <a:lumMod val="20000"/>
            <a:lumOff val="80000"/>
          </a:schemeClr>
        </a:solidFill>
        <a:ln w="9525" cmpd="sng">
          <a:solidFill>
            <a:srgbClr val="098A9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lvl="0" indent="-171450">
            <a:buFont typeface="Wingdings" panose="05000000000000000000" pitchFamily="2" charset="2"/>
            <a:buChar char="Ø"/>
          </a:pPr>
          <a:r>
            <a:rPr lang="en-US" sz="600">
              <a:solidFill>
                <a:schemeClr val="dk1"/>
              </a:solidFill>
              <a:effectLst/>
              <a:latin typeface="+mn-lt"/>
              <a:ea typeface="+mn-ea"/>
              <a:cs typeface="+mn-cs"/>
            </a:rPr>
            <a:t>One week joint WASH assessment carried out in 20 camps out of the total of 22 existing in Hpakant by the WASH cluster and Shalom with the participation of Township DRD staff</a:t>
          </a:r>
        </a:p>
        <a:p>
          <a:pPr marL="171450" lvl="0" indent="-171450">
            <a:buFont typeface="Wingdings" panose="05000000000000000000" pitchFamily="2" charset="2"/>
            <a:buChar char="Ø"/>
          </a:pPr>
          <a:endParaRPr lang="en-US" sz="600">
            <a:solidFill>
              <a:schemeClr val="dk1"/>
            </a:solidFill>
            <a:effectLst/>
            <a:latin typeface="+mn-lt"/>
            <a:ea typeface="+mn-ea"/>
            <a:cs typeface="+mn-cs"/>
          </a:endParaRPr>
        </a:p>
        <a:p>
          <a:pPr marL="171450" lvl="0" indent="-171450">
            <a:buFont typeface="Wingdings" panose="05000000000000000000" pitchFamily="2" charset="2"/>
            <a:buChar char="Ø"/>
          </a:pPr>
          <a:r>
            <a:rPr lang="en-US" sz="600">
              <a:solidFill>
                <a:schemeClr val="dk1"/>
              </a:solidFill>
              <a:effectLst/>
              <a:latin typeface="+mn-lt"/>
              <a:ea typeface="+mn-ea"/>
              <a:cs typeface="+mn-cs"/>
            </a:rPr>
            <a:t>WASH cluster particpate to cross line missions in Mai Ja yang, Chipwi, Panwa and La Na zup / Bum Tsi pa areas.</a:t>
          </a:r>
          <a:r>
            <a:rPr lang="en-US" sz="600" baseline="0">
              <a:solidFill>
                <a:schemeClr val="dk1"/>
              </a:solidFill>
              <a:effectLst/>
              <a:latin typeface="+mn-lt"/>
              <a:ea typeface="+mn-ea"/>
              <a:cs typeface="+mn-cs"/>
            </a:rPr>
            <a:t> D</a:t>
          </a:r>
          <a:r>
            <a:rPr lang="en-US" sz="600">
              <a:solidFill>
                <a:schemeClr val="dk1"/>
              </a:solidFill>
              <a:effectLst/>
              <a:latin typeface="+mn-lt"/>
              <a:ea typeface="+mn-ea"/>
              <a:cs typeface="+mn-cs"/>
            </a:rPr>
            <a:t>istribute of Hygiene kits to IDPs living in 5 IDPs locations to cover gaps </a:t>
          </a:r>
        </a:p>
        <a:p>
          <a:pPr marL="171450" lvl="0" indent="-171450">
            <a:buFont typeface="Wingdings" panose="05000000000000000000" pitchFamily="2" charset="2"/>
            <a:buChar char="Ø"/>
          </a:pPr>
          <a:endParaRPr lang="en-US" sz="600">
            <a:solidFill>
              <a:schemeClr val="dk1"/>
            </a:solidFill>
            <a:effectLst/>
            <a:latin typeface="+mn-lt"/>
            <a:ea typeface="+mn-ea"/>
            <a:cs typeface="+mn-cs"/>
          </a:endParaRPr>
        </a:p>
        <a:p>
          <a:pPr marL="171450" lvl="0" indent="-171450">
            <a:buFont typeface="Wingdings" panose="05000000000000000000" pitchFamily="2" charset="2"/>
            <a:buChar char="Ø"/>
          </a:pPr>
          <a:r>
            <a:rPr lang="en-US" sz="600">
              <a:solidFill>
                <a:schemeClr val="dk1"/>
              </a:solidFill>
              <a:effectLst/>
              <a:latin typeface="+mn-lt"/>
              <a:ea typeface="+mn-ea"/>
              <a:cs typeface="+mn-cs"/>
            </a:rPr>
            <a:t>Meetings focusing on desludging issues has been</a:t>
          </a:r>
          <a:r>
            <a:rPr lang="en-US" sz="600" baseline="0">
              <a:solidFill>
                <a:schemeClr val="dk1"/>
              </a:solidFill>
              <a:effectLst/>
              <a:latin typeface="+mn-lt"/>
              <a:ea typeface="+mn-ea"/>
              <a:cs typeface="+mn-cs"/>
            </a:rPr>
            <a:t> conducted in both Myitkyina and Yangon </a:t>
          </a:r>
          <a:r>
            <a:rPr lang="en-US" sz="600">
              <a:solidFill>
                <a:schemeClr val="dk1"/>
              </a:solidFill>
              <a:effectLst/>
              <a:latin typeface="+mn-lt"/>
              <a:ea typeface="+mn-ea"/>
              <a:cs typeface="+mn-cs"/>
            </a:rPr>
            <a:t>followed by a joint field visit in North of Myitkyina. </a:t>
          </a:r>
        </a:p>
        <a:p>
          <a:pPr marL="171450" lvl="0" indent="-171450">
            <a:buFont typeface="Wingdings" panose="05000000000000000000" pitchFamily="2" charset="2"/>
            <a:buChar char="Ø"/>
          </a:pPr>
          <a:endParaRPr lang="en-US" sz="600">
            <a:solidFill>
              <a:schemeClr val="dk1"/>
            </a:solidFill>
            <a:effectLst/>
            <a:latin typeface="+mn-lt"/>
            <a:ea typeface="+mn-ea"/>
            <a:cs typeface="+mn-cs"/>
          </a:endParaRPr>
        </a:p>
        <a:p>
          <a:pPr marL="171450" lvl="0" indent="-171450">
            <a:buFont typeface="Wingdings" panose="05000000000000000000" pitchFamily="2" charset="2"/>
            <a:buChar char="Ø"/>
          </a:pPr>
          <a:r>
            <a:rPr lang="en-US" sz="600">
              <a:solidFill>
                <a:schemeClr val="dk1"/>
              </a:solidFill>
              <a:effectLst/>
              <a:latin typeface="+mn-lt"/>
              <a:ea typeface="+mn-ea"/>
              <a:cs typeface="+mn-cs"/>
            </a:rPr>
            <a:t>Production of a desludging assessment report  by one WASH focal agency of Bhamo</a:t>
          </a:r>
        </a:p>
        <a:p>
          <a:pPr marL="171450" lvl="0" indent="-171450">
            <a:buFont typeface="Wingdings" panose="05000000000000000000" pitchFamily="2" charset="2"/>
            <a:buChar char="Ø"/>
          </a:pPr>
          <a:endParaRPr lang="en-US" sz="600">
            <a:solidFill>
              <a:schemeClr val="dk1"/>
            </a:solidFill>
            <a:effectLst/>
            <a:latin typeface="+mn-lt"/>
            <a:ea typeface="+mn-ea"/>
            <a:cs typeface="+mn-cs"/>
          </a:endParaRPr>
        </a:p>
        <a:p>
          <a:pPr marL="171450" lvl="0" indent="-171450">
            <a:buFont typeface="Wingdings" panose="05000000000000000000" pitchFamily="2" charset="2"/>
            <a:buChar char="Ø"/>
          </a:pPr>
          <a:r>
            <a:rPr lang="en-US" sz="600">
              <a:solidFill>
                <a:schemeClr val="dk1"/>
              </a:solidFill>
              <a:effectLst/>
              <a:latin typeface="+mn-lt"/>
              <a:ea typeface="+mn-ea"/>
              <a:cs typeface="+mn-cs"/>
            </a:rPr>
            <a:t>Two technical working groups organized in Bhamo about Househole Water</a:t>
          </a:r>
          <a:r>
            <a:rPr lang="en-US" sz="600" baseline="0">
              <a:solidFill>
                <a:schemeClr val="dk1"/>
              </a:solidFill>
              <a:effectLst/>
              <a:latin typeface="+mn-lt"/>
              <a:ea typeface="+mn-ea"/>
              <a:cs typeface="+mn-cs"/>
            </a:rPr>
            <a:t> treatment </a:t>
          </a:r>
          <a:r>
            <a:rPr lang="en-US" sz="600">
              <a:solidFill>
                <a:schemeClr val="dk1"/>
              </a:solidFill>
              <a:effectLst/>
              <a:latin typeface="+mn-lt"/>
              <a:ea typeface="+mn-ea"/>
              <a:cs typeface="+mn-cs"/>
            </a:rPr>
            <a:t>and technical standards</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0.34488</cdr:x>
      <cdr:y>0.82919</cdr:y>
    </cdr:from>
    <cdr:to>
      <cdr:x>0.73016</cdr:x>
      <cdr:y>0.95356</cdr:y>
    </cdr:to>
    <cdr:sp macro="" textlink="'Cluster indicator'!$D$80">
      <cdr:nvSpPr>
        <cdr:cNvPr id="2" name="TextBox 21"/>
        <cdr:cNvSpPr txBox="1"/>
      </cdr:nvSpPr>
      <cdr:spPr>
        <a:xfrm xmlns:a="http://schemas.openxmlformats.org/drawingml/2006/main">
          <a:off x="379413" y="793750"/>
          <a:ext cx="423862" cy="11906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73BCBE89-6460-4F7E-813B-9F37582DAAB4}" type="TxLink">
            <a:rPr lang="en-US" sz="600" b="1" i="0" u="none" strike="noStrike">
              <a:solidFill>
                <a:srgbClr val="000000"/>
              </a:solidFill>
              <a:latin typeface="Calibri"/>
            </a:rPr>
            <a:pPr/>
            <a:t>71,404</a:t>
          </a:fld>
          <a:endParaRPr lang="en-US" sz="600" b="1"/>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3</xdr:col>
      <xdr:colOff>228600</xdr:colOff>
      <xdr:row>497</xdr:row>
      <xdr:rowOff>152400</xdr:rowOff>
    </xdr:from>
    <xdr:to>
      <xdr:col>13</xdr:col>
      <xdr:colOff>514757</xdr:colOff>
      <xdr:row>580</xdr:row>
      <xdr:rowOff>63500</xdr:rowOff>
    </xdr:to>
    <xdr:graphicFrame macro="">
      <xdr:nvGraphicFramePr>
        <xdr:cNvPr id="46"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116839</xdr:colOff>
      <xdr:row>1</xdr:row>
      <xdr:rowOff>30480</xdr:rowOff>
    </xdr:from>
    <xdr:to>
      <xdr:col>19</xdr:col>
      <xdr:colOff>633774</xdr:colOff>
      <xdr:row>28</xdr:row>
      <xdr:rowOff>3175</xdr:rowOff>
    </xdr:to>
    <xdr:pic>
      <xdr:nvPicPr>
        <xdr:cNvPr id="50" name="Picture 4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81939" y="474980"/>
          <a:ext cx="7559085" cy="8503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114299</xdr:colOff>
      <xdr:row>6</xdr:row>
      <xdr:rowOff>177799</xdr:rowOff>
    </xdr:from>
    <xdr:to>
      <xdr:col>14</xdr:col>
      <xdr:colOff>9524</xdr:colOff>
      <xdr:row>15</xdr:row>
      <xdr:rowOff>176892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200025</xdr:colOff>
      <xdr:row>29</xdr:row>
      <xdr:rowOff>12699</xdr:rowOff>
    </xdr:from>
    <xdr:to>
      <xdr:col>15</xdr:col>
      <xdr:colOff>83343</xdr:colOff>
      <xdr:row>44</xdr:row>
      <xdr:rowOff>59530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219075</xdr:colOff>
      <xdr:row>56</xdr:row>
      <xdr:rowOff>139700</xdr:rowOff>
    </xdr:from>
    <xdr:to>
      <xdr:col>14</xdr:col>
      <xdr:colOff>209550</xdr:colOff>
      <xdr:row>62</xdr:row>
      <xdr:rowOff>381000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6</xdr:col>
      <xdr:colOff>76198</xdr:colOff>
      <xdr:row>111</xdr:row>
      <xdr:rowOff>155574</xdr:rowOff>
    </xdr:from>
    <xdr:to>
      <xdr:col>14</xdr:col>
      <xdr:colOff>276225</xdr:colOff>
      <xdr:row>117</xdr:row>
      <xdr:rowOff>380999</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57149</xdr:colOff>
      <xdr:row>130</xdr:row>
      <xdr:rowOff>114300</xdr:rowOff>
    </xdr:from>
    <xdr:to>
      <xdr:col>14</xdr:col>
      <xdr:colOff>314325</xdr:colOff>
      <xdr:row>139</xdr:row>
      <xdr:rowOff>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295275</xdr:colOff>
      <xdr:row>249</xdr:row>
      <xdr:rowOff>136525</xdr:rowOff>
    </xdr:from>
    <xdr:to>
      <xdr:col>14</xdr:col>
      <xdr:colOff>161925</xdr:colOff>
      <xdr:row>256</xdr:row>
      <xdr:rowOff>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6</xdr:col>
      <xdr:colOff>295274</xdr:colOff>
      <xdr:row>297</xdr:row>
      <xdr:rowOff>101600</xdr:rowOff>
    </xdr:from>
    <xdr:to>
      <xdr:col>14</xdr:col>
      <xdr:colOff>257175</xdr:colOff>
      <xdr:row>303</xdr:row>
      <xdr:rowOff>383381</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6</xdr:col>
      <xdr:colOff>276225</xdr:colOff>
      <xdr:row>346</xdr:row>
      <xdr:rowOff>9525</xdr:rowOff>
    </xdr:from>
    <xdr:to>
      <xdr:col>14</xdr:col>
      <xdr:colOff>19050</xdr:colOff>
      <xdr:row>365</xdr:row>
      <xdr:rowOff>47625</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6</xdr:col>
      <xdr:colOff>200025</xdr:colOff>
      <xdr:row>374</xdr:row>
      <xdr:rowOff>146050</xdr:rowOff>
    </xdr:from>
    <xdr:to>
      <xdr:col>14</xdr:col>
      <xdr:colOff>28575</xdr:colOff>
      <xdr:row>389</xdr:row>
      <xdr:rowOff>171450</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6</xdr:col>
      <xdr:colOff>266700</xdr:colOff>
      <xdr:row>397</xdr:row>
      <xdr:rowOff>95250</xdr:rowOff>
    </xdr:from>
    <xdr:to>
      <xdr:col>13</xdr:col>
      <xdr:colOff>1978819</xdr:colOff>
      <xdr:row>413</xdr:row>
      <xdr:rowOff>57150</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6</xdr:col>
      <xdr:colOff>247650</xdr:colOff>
      <xdr:row>418</xdr:row>
      <xdr:rowOff>25400</xdr:rowOff>
    </xdr:from>
    <xdr:to>
      <xdr:col>13</xdr:col>
      <xdr:colOff>1838325</xdr:colOff>
      <xdr:row>434</xdr:row>
      <xdr:rowOff>114300</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6</xdr:col>
      <xdr:colOff>219075</xdr:colOff>
      <xdr:row>439</xdr:row>
      <xdr:rowOff>92075</xdr:rowOff>
    </xdr:from>
    <xdr:to>
      <xdr:col>13</xdr:col>
      <xdr:colOff>1800225</xdr:colOff>
      <xdr:row>448</xdr:row>
      <xdr:rowOff>142875</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266700</xdr:colOff>
      <xdr:row>458</xdr:row>
      <xdr:rowOff>38100</xdr:rowOff>
    </xdr:from>
    <xdr:to>
      <xdr:col>13</xdr:col>
      <xdr:colOff>1752600</xdr:colOff>
      <xdr:row>474</xdr:row>
      <xdr:rowOff>152400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276224</xdr:colOff>
      <xdr:row>475</xdr:row>
      <xdr:rowOff>127000</xdr:rowOff>
    </xdr:from>
    <xdr:to>
      <xdr:col>13</xdr:col>
      <xdr:colOff>1724025</xdr:colOff>
      <xdr:row>491</xdr:row>
      <xdr:rowOff>165100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6</xdr:col>
      <xdr:colOff>9525</xdr:colOff>
      <xdr:row>171</xdr:row>
      <xdr:rowOff>101600</xdr:rowOff>
    </xdr:from>
    <xdr:to>
      <xdr:col>13</xdr:col>
      <xdr:colOff>1866900</xdr:colOff>
      <xdr:row>184</xdr:row>
      <xdr:rowOff>40822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6</xdr:col>
      <xdr:colOff>260350</xdr:colOff>
      <xdr:row>314</xdr:row>
      <xdr:rowOff>1</xdr:rowOff>
    </xdr:from>
    <xdr:to>
      <xdr:col>14</xdr:col>
      <xdr:colOff>190500</xdr:colOff>
      <xdr:row>321</xdr:row>
      <xdr:rowOff>381001</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6</xdr:col>
      <xdr:colOff>155573</xdr:colOff>
      <xdr:row>585</xdr:row>
      <xdr:rowOff>3175</xdr:rowOff>
    </xdr:from>
    <xdr:to>
      <xdr:col>14</xdr:col>
      <xdr:colOff>85725</xdr:colOff>
      <xdr:row>600</xdr:row>
      <xdr:rowOff>180975</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6</xdr:col>
      <xdr:colOff>133349</xdr:colOff>
      <xdr:row>607</xdr:row>
      <xdr:rowOff>31750</xdr:rowOff>
    </xdr:from>
    <xdr:to>
      <xdr:col>14</xdr:col>
      <xdr:colOff>95251</xdr:colOff>
      <xdr:row>621</xdr:row>
      <xdr:rowOff>107950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6</xdr:col>
      <xdr:colOff>184148</xdr:colOff>
      <xdr:row>624</xdr:row>
      <xdr:rowOff>0</xdr:rowOff>
    </xdr:from>
    <xdr:to>
      <xdr:col>14</xdr:col>
      <xdr:colOff>57149</xdr:colOff>
      <xdr:row>638</xdr:row>
      <xdr:rowOff>76200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6</xdr:col>
      <xdr:colOff>209548</xdr:colOff>
      <xdr:row>646</xdr:row>
      <xdr:rowOff>104774</xdr:rowOff>
    </xdr:from>
    <xdr:to>
      <xdr:col>14</xdr:col>
      <xdr:colOff>114300</xdr:colOff>
      <xdr:row>663</xdr:row>
      <xdr:rowOff>9525</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6</xdr:col>
      <xdr:colOff>260348</xdr:colOff>
      <xdr:row>674</xdr:row>
      <xdr:rowOff>101600</xdr:rowOff>
    </xdr:from>
    <xdr:to>
      <xdr:col>14</xdr:col>
      <xdr:colOff>19049</xdr:colOff>
      <xdr:row>688</xdr:row>
      <xdr:rowOff>177800</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6</xdr:col>
      <xdr:colOff>257175</xdr:colOff>
      <xdr:row>694</xdr:row>
      <xdr:rowOff>165100</xdr:rowOff>
    </xdr:from>
    <xdr:to>
      <xdr:col>14</xdr:col>
      <xdr:colOff>66675</xdr:colOff>
      <xdr:row>709</xdr:row>
      <xdr:rowOff>171450</xdr:rowOff>
    </xdr:to>
    <xdr:graphicFrame macro="">
      <xdr:nvGraphicFramePr>
        <xdr:cNvPr id="30" name="Chart 2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5</xdr:col>
      <xdr:colOff>609599</xdr:colOff>
      <xdr:row>154</xdr:row>
      <xdr:rowOff>133350</xdr:rowOff>
    </xdr:from>
    <xdr:to>
      <xdr:col>13</xdr:col>
      <xdr:colOff>1750218</xdr:colOff>
      <xdr:row>169</xdr:row>
      <xdr:rowOff>19050</xdr:rowOff>
    </xdr:to>
    <xdr:graphicFrame macro="">
      <xdr:nvGraphicFramePr>
        <xdr:cNvPr id="31"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6</xdr:col>
      <xdr:colOff>381000</xdr:colOff>
      <xdr:row>226</xdr:row>
      <xdr:rowOff>0</xdr:rowOff>
    </xdr:from>
    <xdr:to>
      <xdr:col>14</xdr:col>
      <xdr:colOff>161925</xdr:colOff>
      <xdr:row>244</xdr:row>
      <xdr:rowOff>85725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xdr:col>
      <xdr:colOff>266699</xdr:colOff>
      <xdr:row>329</xdr:row>
      <xdr:rowOff>152399</xdr:rowOff>
    </xdr:from>
    <xdr:to>
      <xdr:col>14</xdr:col>
      <xdr:colOff>257174</xdr:colOff>
      <xdr:row>333</xdr:row>
      <xdr:rowOff>573881</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552449</xdr:colOff>
      <xdr:row>79</xdr:row>
      <xdr:rowOff>152400</xdr:rowOff>
    </xdr:from>
    <xdr:to>
      <xdr:col>24</xdr:col>
      <xdr:colOff>2828925</xdr:colOff>
      <xdr:row>103</xdr:row>
      <xdr:rowOff>47626</xdr:rowOff>
    </xdr:to>
    <xdr:graphicFrame macro="">
      <xdr:nvGraphicFramePr>
        <xdr:cNvPr id="35" name="Chart 3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6</xdr:col>
      <xdr:colOff>304799</xdr:colOff>
      <xdr:row>278</xdr:row>
      <xdr:rowOff>76200</xdr:rowOff>
    </xdr:from>
    <xdr:to>
      <xdr:col>14</xdr:col>
      <xdr:colOff>276224</xdr:colOff>
      <xdr:row>291</xdr:row>
      <xdr:rowOff>38100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371475</xdr:colOff>
      <xdr:row>191</xdr:row>
      <xdr:rowOff>19049</xdr:rowOff>
    </xdr:from>
    <xdr:to>
      <xdr:col>14</xdr:col>
      <xdr:colOff>228600</xdr:colOff>
      <xdr:row>212</xdr:row>
      <xdr:rowOff>180974</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741680</xdr:colOff>
      <xdr:row>4</xdr:row>
      <xdr:rowOff>10160</xdr:rowOff>
    </xdr:from>
    <xdr:to>
      <xdr:col>13</xdr:col>
      <xdr:colOff>551180</xdr:colOff>
      <xdr:row>23</xdr:row>
      <xdr:rowOff>121920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767080</xdr:colOff>
      <xdr:row>134</xdr:row>
      <xdr:rowOff>147320</xdr:rowOff>
    </xdr:from>
    <xdr:to>
      <xdr:col>12</xdr:col>
      <xdr:colOff>622300</xdr:colOff>
      <xdr:row>145</xdr:row>
      <xdr:rowOff>172720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381000</xdr:colOff>
      <xdr:row>147</xdr:row>
      <xdr:rowOff>148590</xdr:rowOff>
    </xdr:from>
    <xdr:to>
      <xdr:col>15</xdr:col>
      <xdr:colOff>220980</xdr:colOff>
      <xdr:row>159</xdr:row>
      <xdr:rowOff>99060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358140</xdr:colOff>
      <xdr:row>164</xdr:row>
      <xdr:rowOff>138430</xdr:rowOff>
    </xdr:from>
    <xdr:to>
      <xdr:col>15</xdr:col>
      <xdr:colOff>182880</xdr:colOff>
      <xdr:row>176</xdr:row>
      <xdr:rowOff>38100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792480</xdr:colOff>
      <xdr:row>104</xdr:row>
      <xdr:rowOff>12700</xdr:rowOff>
    </xdr:from>
    <xdr:to>
      <xdr:col>12</xdr:col>
      <xdr:colOff>574040</xdr:colOff>
      <xdr:row>115</xdr:row>
      <xdr:rowOff>177800</xdr:rowOff>
    </xdr:to>
    <xdr:graphicFrame macro="">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769620</xdr:colOff>
      <xdr:row>52</xdr:row>
      <xdr:rowOff>111760</xdr:rowOff>
    </xdr:from>
    <xdr:to>
      <xdr:col>12</xdr:col>
      <xdr:colOff>619760</xdr:colOff>
      <xdr:row>55</xdr:row>
      <xdr:rowOff>377190</xdr:rowOff>
    </xdr:to>
    <xdr:graphicFrame macro="">
      <xdr:nvGraphicFramePr>
        <xdr:cNvPr id="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4</xdr:col>
      <xdr:colOff>0</xdr:colOff>
      <xdr:row>72</xdr:row>
      <xdr:rowOff>403860</xdr:rowOff>
    </xdr:from>
    <xdr:to>
      <xdr:col>12</xdr:col>
      <xdr:colOff>609600</xdr:colOff>
      <xdr:row>85</xdr:row>
      <xdr:rowOff>43815</xdr:rowOff>
    </xdr:to>
    <xdr:graphicFrame macro="">
      <xdr:nvGraphicFramePr>
        <xdr:cNvPr id="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xdr:col>
      <xdr:colOff>774700</xdr:colOff>
      <xdr:row>89</xdr:row>
      <xdr:rowOff>187960</xdr:rowOff>
    </xdr:from>
    <xdr:to>
      <xdr:col>12</xdr:col>
      <xdr:colOff>548640</xdr:colOff>
      <xdr:row>101</xdr:row>
      <xdr:rowOff>30480</xdr:rowOff>
    </xdr:to>
    <xdr:graphicFrame macro="">
      <xdr:nvGraphicFramePr>
        <xdr:cNvPr id="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xdr:col>
      <xdr:colOff>779780</xdr:colOff>
      <xdr:row>120</xdr:row>
      <xdr:rowOff>10160</xdr:rowOff>
    </xdr:from>
    <xdr:to>
      <xdr:col>12</xdr:col>
      <xdr:colOff>599440</xdr:colOff>
      <xdr:row>134</xdr:row>
      <xdr:rowOff>55880</xdr:rowOff>
    </xdr:to>
    <xdr:graphicFrame macro="">
      <xdr:nvGraphicFramePr>
        <xdr:cNvPr id="1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751840</xdr:colOff>
      <xdr:row>27</xdr:row>
      <xdr:rowOff>497840</xdr:rowOff>
    </xdr:from>
    <xdr:to>
      <xdr:col>13</xdr:col>
      <xdr:colOff>259080</xdr:colOff>
      <xdr:row>49</xdr:row>
      <xdr:rowOff>30480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OD%20270/AppData/Roaming/Microsoft/Excel/AppData/Local/Temp/notesC2BC19/15-10-2013_4W_Wash_Matrix_Summary_Rakhin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Database"/>
      <sheetName val="Analysis"/>
      <sheetName val="List"/>
      <sheetName val="CalculateSheet"/>
      <sheetName val="temp Database"/>
    </sheetNames>
    <sheetDataSet>
      <sheetData sheetId="0"/>
      <sheetData sheetId="1"/>
      <sheetData sheetId="2"/>
      <sheetData sheetId="3">
        <row r="3">
          <cell r="B3" t="str">
            <v>Yes</v>
          </cell>
        </row>
        <row r="4">
          <cell r="B4" t="str">
            <v>No</v>
          </cell>
        </row>
        <row r="5">
          <cell r="B5" t="str">
            <v>Never deployed</v>
          </cell>
        </row>
        <row r="6">
          <cell r="B6" t="str">
            <v>Done</v>
          </cell>
        </row>
      </sheetData>
      <sheetData sheetId="4"/>
      <sheetData sheetId="5"/>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Thein Tun Hlaing" refreshedDate="42138.393656018518" createdVersion="5" refreshedVersion="5" minRefreshableVersion="3" recordCount="175">
  <cacheSource type="worksheet">
    <worksheetSource ref="B4:CH179" sheet="Database"/>
  </cacheSource>
  <cacheFields count="95">
    <cacheField name="Township" numFmtId="0">
      <sharedItems count="20">
        <s v="Chipwi"/>
        <s v="Hpakan"/>
        <s v="Khaunglanhpu"/>
        <s v="Machanbaw"/>
        <s v="Mogaung"/>
        <s v="Mohnyin"/>
        <s v="Momauk"/>
        <s v="Myitkyina"/>
        <s v="Puta-O"/>
        <s v="Waingmaw"/>
        <s v="Mansi"/>
        <s v="Bhamo"/>
        <s v="Shwegu"/>
        <s v="Muse"/>
        <s v="Namkham"/>
        <s v="Kutkai"/>
        <s v="Hseni"/>
        <s v="Namtu"/>
        <s v="Manton"/>
        <s v="Sumprabum" u="1"/>
      </sharedItems>
    </cacheField>
    <cacheField name="Camp_P_Code" numFmtId="0">
      <sharedItems containsBlank="1"/>
    </cacheField>
    <cacheField name="Zoning cluster location" numFmtId="0">
      <sharedItems count="10">
        <s v="Cluster 10"/>
        <s v="Cluster 1"/>
        <s v="Cluster 3"/>
        <s v="Cluster 6"/>
        <s v="Cluster 5"/>
        <s v="Cluster 2"/>
        <s v="Cluster 4"/>
        <s v="Cluster 7"/>
        <s v="Cluster 8"/>
        <s v="Cluster 9"/>
      </sharedItems>
    </cacheField>
    <cacheField name="Site" numFmtId="0">
      <sharedItems count="187">
        <s v="Chipwi KBC camp"/>
        <s v="Hpare Hkyer - BP6"/>
        <s v="Lhaovao Baptist Church (LBC)"/>
        <s v="Pan Wa"/>
        <s v="5 Ward Baptist Church(lon Khin)"/>
        <s v="5 Ward RC Church(lon Khin)"/>
        <s v="AG Church, Hmaw Si Sa"/>
        <s v="AG Church, Maw Wan"/>
        <s v="Baptist Church, Hmaw Si Sar(Lon Khin)"/>
        <s v="Baptist Church, Naung Hmee VT"/>
        <s v="Baptist Church, Sai Ra village"/>
        <s v="Chin Church, Seik Mu"/>
        <s v="Dhama Rakhita, Nyein Chan Tar Yar Ward(Lon Khin)"/>
        <s v="Hlaing Naung Baptist"/>
        <s v="Hmaw Wan, Anglican"/>
        <s v="Hpakant Baptist Church, Nam Ma Hpit"/>
        <s v="Lisu Baptist Church, Maw Shan Vil,. Seik Mu"/>
        <s v="Lisu Baptist Church, Maw Wan Ward"/>
        <s v="Maw Wan, Mu-yin Baptist Church"/>
        <s v="Nam Ma Phyit, COC"/>
        <s v="Nant Ma Hpit Catholic Church"/>
        <s v="Rawan Baptist Church, Maw Shan Vil., Seik Mu"/>
        <s v="Sai Nai Baptish Church, Maw Shan Vil., Seki Mu"/>
        <s v="Ward 2 Sai Taung Baptist Church, Seik Mu "/>
        <s v="Yumar Baptist Church"/>
        <s v="La Ja"/>
        <s v="Machanbaw-KBC"/>
        <s v="Kyun Taw Baptist Church "/>
        <s v="Mang Hawng Baptist Church"/>
        <s v="Nat Gyi Kone Baptist Church "/>
        <s v="Nawng Ing (Indawgyi) Baptist Church  "/>
        <s v="St. Patrick Catholic Church "/>
        <s v="Dum Bung "/>
        <s v="Hpun Lum Yang "/>
        <s v="Du Kahtawng Qtr. 14"/>
        <s v="Du Kahtawng Qtr. 4"/>
        <s v="Du Kahtawng Qtr. 5"/>
        <s v="Jan Mai Kawng Baptist Church"/>
        <s v="Jan Mai Kawng Catholic Church"/>
        <s v="Kyun Pin Thar Baptist Church"/>
        <s v="Lawk Awng Mare D. (Sinbo Area)"/>
        <s v="Le Kone Bethlehem Church"/>
        <s v="Le Kone Ziun Baptist Church "/>
        <s v="Maliyang Baptist Church"/>
        <s v="Man Hkring Baptist Church"/>
        <s v="Maw Hpawng Hka Nan Baptist Church"/>
        <s v="Maw Hpawng Lhaovo Baptist Church"/>
        <s v="Nan Kway St. John Catholic Church"/>
        <s v="Njang Dung Baptist Church "/>
        <s v="Pa Dauk Myaing(Pa La Na)"/>
        <s v="Shatapru Sut Ngai Tawng"/>
        <s v="Shatapru Thida Aye Baptist Church"/>
        <s v="Shwe Zet Baptist Church"/>
        <s v="Tat Kone Baptist Church"/>
        <s v="Tat Kone (Ra Da Kawng)"/>
        <s v="Tat Kone COC Baptist / Tat Kone Htoi San"/>
        <s v="Tat Kone Emanuel Church"/>
        <s v="Tat Kone Galile Baptist Church"/>
        <s v="Tat Kone San Pya Baptist Church"/>
        <s v="Wun Tho Buddhist Monastery"/>
        <s v="Doke Htan Ward"/>
        <s v="Lone Sut"/>
        <s v="Naung Khaing"/>
        <s v="Border Post 8"/>
        <s v="Hkat Cho "/>
        <s v="Hkau Shau (BP 12)"/>
        <s v="Mading Baptist Church"/>
        <s v="Maga Yang "/>
        <s v="Maina AG Church"/>
        <s v="Maina Catholic Church (St. Joseph)"/>
        <s v="Maina KBC (Bawng Ring)"/>
        <s v="Maina Lawang Baptist Church"/>
        <s v="Pajau / Jan Mai"/>
        <s v="Post 6 Camp"/>
        <s v="Qtr. 2 Lhaovo Baptist Church"/>
        <s v="Qtr. 2 Myoma Baptist Church"/>
        <s v="Qtr. 3 Mu-yin  Baptist Church"/>
        <s v="Qtr. 4 Monestry (Thargaya Thayett Taw)"/>
        <s v="Shing Jai"/>
        <s v="Thargaya Lisu Baptist Church"/>
        <s v="Waingmaw AG Church"/>
        <s v="Waingmaw Baptist Zonal Office"/>
        <s v="Woi Chyai (Mong Lai)"/>
        <s v="Woi Chyai  host families"/>
        <s v="Woi Chyai "/>
        <s v="Zai Awng / Mung Ga Zup"/>
        <s v="Chipwi (School coumpound)"/>
        <s v="Girl Boarding house, A Len Bum"/>
        <s v="Boys Boarding house, A Len Bum"/>
        <s v="N-Lwe Yan"/>
        <s v="Nawng Hee Village"/>
        <s v="Ku Day Maw KBC"/>
        <s v="Maing Khaung Baptist Church"/>
        <s v="Maing Khaung Catholic Church"/>
        <s v="Momauk Host Families"/>
        <s v="Bhamo Host Families"/>
        <s v="Aung Thar Church"/>
        <s v="Htoi San Church*"/>
        <s v="Lisu Boarding-House"/>
        <s v="Mu-yin Baptist Church"/>
        <s v="Nant Hlaing Church"/>
        <s v="Yoe Kyi Monastery"/>
        <s v="Mansi Baptist Church*"/>
        <s v="Agritural Compound (KBC)"/>
        <s v="Kachin Su Baptist Church (ECCD)"/>
        <s v="Khar Nan (1) Baptist Church"/>
        <s v="Man Bung Catholic compound"/>
        <s v="Mandalay Monestry"/>
        <s v="Momauk Baptist Church"/>
        <s v="Shwe Gu Baptist Church"/>
        <s v="Shwe Gu Catholic Church"/>
        <s v="Bum Tsit Pa * (1)"/>
        <s v="Bum Tsit Pa * (2)"/>
        <s v="Bum Tsit Pa * (3)"/>
        <s v="Lana Zup Ja *"/>
        <s v="Nhkawng Pa "/>
        <s v="Pa Kahtawng 2"/>
        <s v="Pa Kahtawng 1B"/>
        <s v="Pa Kahtawng 1 A"/>
        <s v="Pa Kahtawng Primary House"/>
        <s v="Pa Kahtawng Boarding Middle School "/>
        <s v="Pa Kahtawng Boarding High School "/>
        <s v="Pa Kahtawng Host Families"/>
        <s v="AD-2000 Tharthana Compound*"/>
        <s v="AD-2000 Extension camp"/>
        <s v="Phan Khar Kone*"/>
        <s v="Robert Church*"/>
        <s v="Ta Gun Taing Monastery (Shwe Kyi Na)"/>
        <s v="Je Yang Hka "/>
        <s v="Loi Je Baptist Church"/>
        <s v="Loi Je Catholic Church"/>
        <s v="Loi Je Lisu  (1) Camp"/>
        <s v="Loi Je Lisu  (2) Camp"/>
        <s v="Loi Je Lisu  (3) Camp"/>
        <s v="Loi Je Lisu  (4) Camp"/>
        <s v="Loi Je Nyaung Na Pin "/>
        <s v="Loi Je RC Boarding School"/>
        <s v="Loi Je Seng Ja "/>
        <s v="Man Bung Edin Baptist Church"/>
        <s v="Ni Thaw Ka Monestry"/>
        <s v="Laiza Market 3 / Laiza Gat"/>
        <s v="Mansi Host Families"/>
        <s v="Khun Sint Village"/>
        <s v="Mai Khat "/>
        <s v="Man Nawng "/>
        <s v="Myo Thit "/>
        <s v="Tarli "/>
        <s v="Shwegu Host Families"/>
        <s v="Clutural Compound"/>
        <s v="MWG -RC2"/>
        <s v="Muse KBC Church"/>
        <s v="Muse RC Church"/>
        <s v="Man Wing Baptist Church*"/>
        <s v="Man Wing Catholic Church*"/>
        <s v="Nam Hkam - Nay Win Ni (Palawng)"/>
        <s v="Nam Hkam (KBC Jaw Wang)"/>
        <s v="Nam Hkam Catholic Church ( St. Thomas I)"/>
        <s v="Nam Hkawng/Manaung kaung"/>
        <s v="Bang Lung"/>
        <s v="Jaw 2"/>
        <s v="Kone Khem Camp"/>
        <s v="Kutkai downtown (KBC Church)"/>
        <s v="Kutkai downtown (RC Church)"/>
        <s v="Mine Yu Lay village"/>
        <s v="Mungji Pa Dabang (Baptist Church)         "/>
        <s v="Mungji Pa Dabang (RC Church)         "/>
        <s v="Nam Hpak Ka Mare "/>
        <s v="Narte"/>
        <s v="Zup Aung Camp"/>
        <s v="Namtu Baptist"/>
        <s v="(Nam Hoi) Host families"/>
        <s v="Nam Ja Rap"/>
        <s v="Pan Wa (Saw Zam) camp "/>
        <s v="Mandung - Jinghpaw"/>
        <s v="Mandung - RC"/>
        <s v="Phan Khar Kone" u="1"/>
        <s v="Host Families" u="1"/>
        <s v="Myay Myint Baptist Church" u="1"/>
        <s v="Sumprabum" u="1"/>
        <s v="Cultural Compound" u="1"/>
        <s v="Momauk Catholic Church (St. Patrick)" u="1"/>
        <s v="Nam Hka Mare (west of Man Wing)" u="1"/>
        <s v="Pa Kahtawng Primary school" u="1"/>
        <s v="Phar Kay/Nant Waing " u="1"/>
        <s v="Loi Je Lisu Camp" u="1"/>
        <s v="IDP School, A Len Bum" u="1"/>
        <s v="Inn Lel Yan" u="1"/>
      </sharedItems>
    </cacheField>
    <cacheField name="GPS x" numFmtId="0">
      <sharedItems containsMixedTypes="1" containsNumber="1" minValue="96.269199999999998" maxValue="98.475719999999995"/>
    </cacheField>
    <cacheField name="GPS y" numFmtId="0">
      <sharedItems containsMixedTypes="1" containsNumber="1" minValue="23.092880000000001" maxValue="27.310880000000001"/>
    </cacheField>
    <cacheField name="Location type" numFmtId="0">
      <sharedItems count="3">
        <s v="Camp"/>
        <s v="Village"/>
        <s v="School"/>
      </sharedItems>
    </cacheField>
    <cacheField name="Type" numFmtId="0">
      <sharedItems count="2">
        <s v="GCA"/>
        <s v="NGCA"/>
      </sharedItems>
    </cacheField>
    <cacheField name="Nb of affected household" numFmtId="0">
      <sharedItems containsString="0" containsBlank="1" containsNumber="1" containsInteger="1" minValue="0" maxValue="1701"/>
    </cacheField>
    <cacheField name="IDPs Pop" numFmtId="0">
      <sharedItems containsSemiMixedTypes="0" containsString="0" containsNumber="1" containsInteger="1" minValue="4" maxValue="6516"/>
    </cacheField>
    <cacheField name="Total PoP" numFmtId="0">
      <sharedItems containsSemiMixedTypes="0" containsString="0" containsNumber="1" containsInteger="1" minValue="4" maxValue="7108"/>
    </cacheField>
    <cacheField name="Camps treshold" numFmtId="0">
      <sharedItems containsBlank="1" count="6">
        <s v="2. Medium"/>
        <s v="1. Small"/>
        <s v="3. Large"/>
        <s v="4. Big"/>
        <s v="5. Massive"/>
        <m/>
      </sharedItems>
    </cacheField>
    <cacheField name="Camp manager defined by UNHCR" numFmtId="0">
      <sharedItems containsBlank="1"/>
    </cacheField>
    <cacheField name="Focal point Agency" numFmtId="0">
      <sharedItems count="9">
        <s v="Shalom"/>
        <s v="KBC"/>
        <s v="KMSS"/>
        <s v="None"/>
        <s v="Metta"/>
        <s v="Cesvi"/>
        <s v="WPN"/>
        <s v="SI"/>
        <s v="SCI"/>
      </sharedItems>
    </cacheField>
    <cacheField name="Targetted" numFmtId="0">
      <sharedItems count="2">
        <s v="Covered"/>
        <s v="Not covered"/>
      </sharedItems>
    </cacheField>
    <cacheField name="Ending date funds/project coverage" numFmtId="0">
      <sharedItems containsDate="1" containsBlank="1" containsMixedTypes="1" minDate="2015-04-30T00:00:00" maxDate="2016-04-01T00:00:00"/>
    </cacheField>
    <cacheField name="Complement Agency" numFmtId="0">
      <sharedItems containsBlank="1"/>
    </cacheField>
    <cacheField name="Ending date funds/project coverage2" numFmtId="0">
      <sharedItems containsNonDate="0" containsDate="1" containsString="0" containsBlank="1" minDate="2015-06-30T00:00:00" maxDate="2015-09-01T00:00:00"/>
    </cacheField>
    <cacheField name="Source of Data" numFmtId="0">
      <sharedItems/>
    </cacheField>
    <cacheField name="Documented" numFmtId="15">
      <sharedItems count="2">
        <s v="Documented"/>
        <s v="Not documented"/>
      </sharedItems>
    </cacheField>
    <cacheField name="litres/day produce  _x000a_Water treatment station " numFmtId="0">
      <sharedItems containsSemiMixedTypes="0" containsString="0" containsNumber="1" containsInteger="1" minValue="0" maxValue="0"/>
    </cacheField>
    <cacheField name="litres deliver during the month_x000a_Water/Boat trucking " numFmtId="0">
      <sharedItems containsSemiMixedTypes="0" containsString="0" containsNumber="1" containsInteger="1" minValue="0" maxValue="157140"/>
    </cacheField>
    <cacheField name="Exit strategy plan from emergency supply " numFmtId="0">
      <sharedItems/>
    </cacheField>
    <cacheField name="# Open hand Dug wells (without hand pump)" numFmtId="0">
      <sharedItems containsSemiMixedTypes="0" containsString="0" containsNumber="1" containsInteger="1" minValue="0" maxValue="150"/>
    </cacheField>
    <cacheField name="# Hand pump (on well or borehole)" numFmtId="0">
      <sharedItems containsSemiMixedTypes="0" containsString="0" containsNumber="1" containsInteger="1" minValue="0" maxValue="105"/>
    </cacheField>
    <cacheField name="litres/Day provided with Overhead or storage tank with reticulation/ Water  gravity system           ( Yield x average running hours)" numFmtId="0">
      <sharedItems containsSemiMixedTypes="0" containsString="0" containsNumber="1" containsInteger="1" minValue="0" maxValue="216000"/>
    </cacheField>
    <cacheField name="% Water harvesting system HH coverage" numFmtId="9">
      <sharedItems containsSemiMixedTypes="0" containsString="0" containsNumber="1" minValue="0" maxValue="1"/>
    </cacheField>
    <cacheField name="% Household covered with Household filtration " numFmtId="9">
      <sharedItems containsSemiMixedTypes="0" containsString="0" containsNumber="1" minValue="0" maxValue="1"/>
    </cacheField>
    <cacheField name="Actual water needs coverage" numFmtId="9">
      <sharedItems containsSemiMixedTypes="0" containsString="0" containsNumber="1" minValue="0" maxValue="1"/>
    </cacheField>
    <cacheField name="Population for Actual water needs coverage" numFmtId="1">
      <sharedItems containsSemiMixedTypes="0" containsString="0" containsNumber="1" minValue="0" maxValue="3780"/>
    </cacheField>
    <cacheField name="Access of safe water drinking permanent water point" numFmtId="9">
      <sharedItems containsSemiMixedTypes="0" containsString="0" containsNumber="1" minValue="0" maxValue="1"/>
    </cacheField>
    <cacheField name="Population for access of safe water drinking permanent water point" numFmtId="1">
      <sharedItems containsSemiMixedTypes="0" containsString="0" containsNumber="1" minValue="0" maxValue="3780"/>
    </cacheField>
    <cacheField name="Potential % of actual need coverage including houshold treatment solution" numFmtId="9">
      <sharedItems containsSemiMixedTypes="0" containsString="0" containsNumber="1" minValue="0" maxValue="1"/>
    </cacheField>
    <cacheField name="Population for Potential % of actual need coverage including houshold treatment solution" numFmtId="1">
      <sharedItems containsSemiMixedTypes="0" containsString="0" containsNumber="1" minValue="0" maxValue="3780"/>
    </cacheField>
    <cacheField name="Rank coverage" numFmtId="0">
      <sharedItems count="6">
        <s v="80-100%"/>
        <s v="0-10%"/>
        <s v="15-30%"/>
        <s v="45-60%"/>
        <s v="60-80%"/>
        <s v="30-45%" u="1"/>
      </sharedItems>
    </cacheField>
    <cacheField name="% of actual need covered by emergency facilities" numFmtId="9">
      <sharedItems containsSemiMixedTypes="0" containsString="0" containsNumber="1" containsInteger="1" minValue="0" maxValue="0"/>
    </cacheField>
    <cacheField name="Population for of actual need covered by emergency facilities" numFmtId="1">
      <sharedItems containsSemiMixedTypes="0" containsString="0" containsNumber="1" containsInteger="1" minValue="0" maxValue="0"/>
    </cacheField>
    <cacheField name="Potential Number permanent water point missing" numFmtId="1">
      <sharedItems containsSemiMixedTypes="0" containsString="0" containsNumber="1" minValue="0" maxValue="12.77"/>
    </cacheField>
    <cacheField name="Number family having ceramic filter" numFmtId="1">
      <sharedItems containsSemiMixedTypes="0" containsString="0" containsNumber="1" minValue="0" maxValue="850.5"/>
    </cacheField>
    <cacheField name="nb of persons having rain harvest acess" numFmtId="1">
      <sharedItems containsSemiMixedTypes="0" containsString="0" containsNumber="1" minValue="0" maxValue="3364.2000000000003"/>
    </cacheField>
    <cacheField name="% Estimated need coverage at the end of project" numFmtId="9">
      <sharedItems containsSemiMixedTypes="0" containsString="0" containsNumber="1" minValue="0" maxValue="1"/>
    </cacheField>
    <cacheField name="Population for Estimated need coverage in 2 months" numFmtId="0">
      <sharedItems containsString="0" containsBlank="1" containsNumber="1" minValue="0" maxValue="7108"/>
    </cacheField>
    <cacheField name="Comments" numFmtId="0">
      <sharedItems containsBlank="1"/>
    </cacheField>
    <cacheField name="Total # Emergency Latrines built since camp opening" numFmtId="0">
      <sharedItems containsSemiMixedTypes="0" containsString="0" containsNumber="1" containsInteger="1" minValue="0" maxValue="573"/>
    </cacheField>
    <cacheField name="# Emergency latrines still functional" numFmtId="0">
      <sharedItems containsSemiMixedTypes="0" containsString="0" containsNumber="1" containsInteger="1" minValue="0" maxValue="276"/>
    </cacheField>
    <cacheField name="# Semi permanent latrine functional" numFmtId="0">
      <sharedItems containsSemiMixedTypes="0" containsString="0" containsNumber="1" containsInteger="1" minValue="0" maxValue="659"/>
    </cacheField>
    <cacheField name="Latrines gender sperated" numFmtId="0">
      <sharedItems containsBlank="1" count="7">
        <s v="Latrine shared by families , not separated"/>
        <s v="Separate, clearly perceived"/>
        <s v="Not separated yet"/>
        <s v="Separate, but not clearly perceived"/>
        <s v="separated"/>
        <s v="Separated, clearly perceived"/>
        <m u="1"/>
      </sharedItems>
    </cacheField>
    <cacheField name="% Latrine needs coverage" numFmtId="9">
      <sharedItems containsSemiMixedTypes="0" containsString="0" containsNumber="1" minValue="0" maxValue="1"/>
    </cacheField>
    <cacheField name="Population for % Latrine needs coverage" numFmtId="1">
      <sharedItems containsSemiMixedTypes="0" containsString="0" containsNumber="1" minValue="0" maxValue="7108"/>
    </cacheField>
    <cacheField name="% Emergency latrines" numFmtId="9">
      <sharedItems containsSemiMixedTypes="0" containsString="0" containsNumber="1" minValue="0" maxValue="1"/>
    </cacheField>
    <cacheField name="Population for % Emergency latrines" numFmtId="1">
      <sharedItems containsSemiMixedTypes="0" containsString="0" containsNumber="1" minValue="0" maxValue="2810"/>
    </cacheField>
    <cacheField name="% Semi permanent latrine" numFmtId="9">
      <sharedItems containsSemiMixedTypes="0" containsString="0" containsNumber="1" minValue="0" maxValue="1"/>
    </cacheField>
    <cacheField name="Population for % Semi permanent latrine" numFmtId="1">
      <sharedItems containsSemiMixedTypes="0" containsString="0" containsNumber="1" minValue="0" maxValue="7108"/>
    </cacheField>
    <cacheField name="# Additional latrines needs identified for community center as TLS, heath center…" numFmtId="0">
      <sharedItems containsString="0" containsBlank="1" containsNumber="1" containsInteger="1" minValue="0" maxValue="18"/>
    </cacheField>
    <cacheField name="% Estimated coverage of latrine need at the end of project" numFmtId="9">
      <sharedItems containsSemiMixedTypes="0" containsString="0" containsNumber="1" minValue="0" maxValue="1"/>
    </cacheField>
    <cacheField name="Population for % Estimated coverage of latrine need at the end of project" numFmtId="1">
      <sharedItems containsString="0" containsBlank="1" containsNumber="1" minValue="0" maxValue="7108"/>
    </cacheField>
    <cacheField name="# Semi permanent latrines missing" numFmtId="1">
      <sharedItems containsString="0" containsBlank="1" containsNumber="1" minValue="0" maxValue="140.5"/>
    </cacheField>
    <cacheField name="# of Bathing space (1 unit for 100 persons)" numFmtId="0">
      <sharedItems containsSemiMixedTypes="0" containsString="0" containsNumber="1" containsInteger="1" minValue="0" maxValue="213"/>
    </cacheField>
    <cacheField name="Bathing space gender sperated" numFmtId="0">
      <sharedItems containsBlank="1" count="9">
        <s v="Separate, clearly perceived"/>
        <s v="Not separated yet"/>
        <s v="Separate, but not clearly perceived"/>
        <s v="Latrine shared by families , not separated"/>
        <s v="separated"/>
        <m/>
        <s v="n/a" u="1"/>
        <s v="separated " u="1"/>
        <s v="Separate, clearly preceived" u="1"/>
      </sharedItems>
    </cacheField>
    <cacheField name="Coverage Bathing %" numFmtId="9">
      <sharedItems containsSemiMixedTypes="0" containsString="0" containsNumber="1" minValue="0" maxValue="1"/>
    </cacheField>
    <cacheField name="Population Coverage Bathing %" numFmtId="1">
      <sharedItems containsSemiMixedTypes="0" containsString="0" containsNumber="1" minValue="0" maxValue="4900"/>
    </cacheField>
    <cacheField name="Nb of missing bathing space" numFmtId="1">
      <sharedItems containsSemiMixedTypes="0" containsString="0" containsNumber="1" minValue="0" maxValue="35.409999999999997"/>
    </cacheField>
    <cacheField name="Estimated coverage of bathroom at the end of project with gender speration" numFmtId="9">
      <sharedItems containsSemiMixedTypes="0" containsString="0" containsNumber="1" minValue="0" maxValue="1"/>
    </cacheField>
    <cacheField name="Population for  Estimated coverage of bathroom need at the end of projects  % with gender speration" numFmtId="1">
      <sharedItems containsString="0" containsBlank="1" containsNumber="1" minValue="0" maxValue="4904.5199999999995"/>
    </cacheField>
    <cacheField name="# Hand washing station funtional" numFmtId="0">
      <sharedItems containsSemiMixedTypes="0" containsString="0" containsNumber="1" containsInteger="1" minValue="0" maxValue="82"/>
    </cacheField>
    <cacheField name="Coverage hand wash station %" numFmtId="9">
      <sharedItems containsSemiMixedTypes="0" containsString="0" containsNumber="1" minValue="0" maxValue="1"/>
    </cacheField>
    <cacheField name="Nb of missing hand washing station" numFmtId="1">
      <sharedItems containsSemiMixedTypes="0" containsString="0" containsNumber="1" minValue="0" maxValue="35.409999999999997"/>
    </cacheField>
    <cacheField name="Estimated coverage need of hand washing station at the end of project" numFmtId="9">
      <sharedItems containsSemiMixedTypes="0" containsString="0" containsNumber="1" minValue="0" maxValue="1"/>
    </cacheField>
    <cacheField name="Comments2" numFmtId="0">
      <sharedItems containsBlank="1"/>
    </cacheField>
    <cacheField name="Date Last Full Hygiene Kit distribution" numFmtId="169">
      <sharedItems containsNonDate="0" containsDate="1" containsString="0" containsBlank="1" minDate="2012-10-01T00:00:00" maxDate="2015-04-30T00:00:00"/>
    </cacheField>
    <cacheField name="Next distribution to be done" numFmtId="169">
      <sharedItems containsDate="1" containsMixedTypes="1" minDate="2015-05-07T00:00:00" maxDate="2016-04-29T00:00:00"/>
    </cacheField>
    <cacheField name="Total # of Full Hygiene kit distributed during last distribution" numFmtId="0">
      <sharedItems containsSemiMixedTypes="0" containsString="0" containsNumber="1" containsInteger="1" minValue="0" maxValue="1646"/>
    </cacheField>
    <cacheField name="# of month distributed for Refilling Kits since last full kit distribution" numFmtId="0">
      <sharedItems containsString="0" containsBlank="1" containsNumber="1" containsInteger="1" minValue="0" maxValue="18"/>
    </cacheField>
    <cacheField name="Gap of basic hygiene kit" numFmtId="3">
      <sharedItems containsSemiMixedTypes="0" containsString="0" containsNumber="1" containsInteger="1" minValue="0" maxValue="1701"/>
    </cacheField>
    <cacheField name="Coverage Hygiene kits" numFmtId="9">
      <sharedItems containsSemiMixedTypes="0" containsString="0" containsNumber="1" minValue="0" maxValue="1"/>
    </cacheField>
    <cacheField name="Coverage Hygiene kits * Total PoP" numFmtId="1">
      <sharedItems containsSemiMixedTypes="0" containsString="0" containsNumber="1" minValue="0" maxValue="3780"/>
    </cacheField>
    <cacheField name="Gap of month covered by refilled" numFmtId="3">
      <sharedItems containsMixedTypes="1" containsNumber="1" containsInteger="1" minValue="0" maxValue="28" count="29">
        <n v="0"/>
        <n v="3"/>
        <n v="7"/>
        <n v="11"/>
        <s v="Column BN to be completed"/>
        <n v="8"/>
        <n v="5"/>
        <n v="9"/>
        <n v="4"/>
        <n v="12"/>
        <n v="14"/>
        <n v="6"/>
        <n v="2"/>
        <n v="10"/>
        <n v="23"/>
        <n v="24"/>
        <n v="28"/>
        <n v="27"/>
        <n v="13" u="1"/>
        <n v="15" u="1"/>
        <n v="17" u="1"/>
        <n v="18" u="1"/>
        <n v="19" u="1"/>
        <n v="20" u="1"/>
        <n v="21" u="1"/>
        <n v="22" u="1"/>
        <n v="1" u="1"/>
        <n v="25" u="1"/>
        <n v="26" u="1"/>
      </sharedItems>
    </cacheField>
    <cacheField name="Comments3" numFmtId="0">
      <sharedItems containsBlank="1"/>
    </cacheField>
    <cacheField name="Approximative % of household receiving monthly HP senzitisation directly with NGO" numFmtId="9">
      <sharedItems containsSemiMixedTypes="0" containsString="0" containsNumber="1" minValue="0" maxValue="1"/>
    </cacheField>
    <cacheField name="Population receiving HP at HH level" numFmtId="3">
      <sharedItems containsString="0" containsBlank="1" containsNumber="1" minValue="0" maxValue="7108"/>
    </cacheField>
    <cacheField name="Nb  community HP trainer trained by NGO" numFmtId="0">
      <sharedItems containsSemiMixedTypes="0" containsString="0" containsNumber="1" containsInteger="1" minValue="0" maxValue="19"/>
    </cacheField>
    <cacheField name="Ratio between population and nb of community HP" numFmtId="0">
      <sharedItems/>
    </cacheField>
    <cacheField name="Incinerator operational" numFmtId="0">
      <sharedItems containsString="0" containsBlank="1" containsNumber="1" containsInteger="1" minValue="0" maxValue="6"/>
    </cacheField>
    <cacheField name="Community management organise and efficient in camps" numFmtId="0">
      <sharedItems containsBlank="1" count="15">
        <s v="Functional and efficient"/>
        <s v="Set up but low results "/>
        <s v="Not yet set up"/>
        <s v="NA"/>
        <s v="already set up"/>
        <s v="Functional and efficient. The number of people actually leaving in the camp is 93 HH (so around 500 people) "/>
        <m u="1"/>
        <s v="Functioning and efficient" u="1"/>
        <s v="N/A" u="1"/>
        <s v="Functional and not efficient" u="1"/>
        <s v="Alredy set up" u="1"/>
        <s v="Funcyioning and low effivient" u="1"/>
        <s v="No WASH committee" u="1"/>
        <s v="functioning but not efficient" u="1"/>
        <s v="Not yet planned" u="1"/>
      </sharedItems>
    </cacheField>
    <cacheField name="Comment" numFmtId="0">
      <sharedItems containsBlank="1"/>
    </cacheField>
    <cacheField name="Water Need coverage %" numFmtId="0" formula="'Population for Potential % of actual need coverage including houshold treatment solution'/'Total PoP'" databaseField="0"/>
    <cacheField name="Latrine need coverage %" numFmtId="0" formula="'Population for % Latrine needs coverage'/'Total PoP'" databaseField="0"/>
    <cacheField name="Bathroom need coverage" numFmtId="0" formula="'Population Coverage Bathing %'/'Total PoP'" databaseField="0"/>
    <cacheField name="Coverage Permanent Latrine %" numFmtId="0" formula="'Population for % Semi permanent latrine'/'Total PoP'" databaseField="0"/>
    <cacheField name="Coverage Emergency latrine %" numFmtId="0" formula="'Population for % Emergency latrines'/'Total PoP'" databaseField="0"/>
    <cacheField name="Coverage Full HK %" numFmtId="0" formula="'Coverage Hygiene kits * Total PoP'/'Total PoP'" databaseField="0"/>
    <cacheField name="Coverage HP session at HH level %" numFmtId="0" formula="'Population receiving HP at HH level'/'Total PoP'" databaseField="0"/>
    <cacheField name="Coverage projection end of project" numFmtId="0" formula=" ('Population for Estimated need coverage in 2 months'-'Population for Potential % of actual need coverage including houshold treatment solution') /'Total PoP'" databaseField="0"/>
    <cacheField name="Projection latrine need coverage EOP" numFmtId="0" formula="('Population for % Estimated coverage of latrine need at the end of project'-'Population for % Latrine needs coverage')/'Total PoP'" databaseField="0"/>
    <cacheField name="Projection Bathrrom coverage EOP" numFmtId="0" formula="('Population for  Estimated coverage of bathroom need at the end of projects  % with gender speration'-'Population Coverage Bathing %')/'Total PoP'"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hein Tun Hlaing" refreshedDate="42138.393661689814" createdVersion="5" refreshedVersion="5" minRefreshableVersion="3" recordCount="53">
  <cacheSource type="worksheet">
    <worksheetSource ref="C4:AH57" sheet="Agency funds received"/>
  </cacheSource>
  <cacheFields count="32">
    <cacheField name="Agency leading the project" numFmtId="0">
      <sharedItems count="15">
        <s v="CESVI"/>
        <s v="DWHH"/>
        <s v="HIDA"/>
        <s v="KBC"/>
        <s v="KMSS"/>
        <s v="Merlin"/>
        <s v="Metta"/>
        <s v="Oxfam GB"/>
        <s v="Plan"/>
        <s v="SCI"/>
        <s v="Shalom"/>
        <s v="Solidarities"/>
        <s v="Solidarites"/>
        <s v="Trocaire"/>
        <s v="UNICEF"/>
      </sharedItems>
    </cacheField>
    <cacheField name="Implementing or consortium partner  " numFmtId="0">
      <sharedItems containsBlank="1"/>
    </cacheField>
    <cacheField name="Donor" numFmtId="0">
      <sharedItems count="19">
        <s v="UNICEF"/>
        <s v="ECHO"/>
        <s v="Germany"/>
        <s v="Canada"/>
        <s v="OCHA"/>
        <s v="Start fund"/>
        <s v="Australian"/>
        <s v="CIDA"/>
        <s v="DFAT"/>
        <s v="SC seed funding"/>
        <s v="OFDA"/>
        <s v="SIDA"/>
        <s v="France"/>
        <s v="HMSF"/>
        <s v="Irland"/>
        <s v="Sweden"/>
        <s v="CERF"/>
        <s v="Japan"/>
        <s v="DFATD (CIDA)" u="1"/>
      </sharedItems>
    </cacheField>
    <cacheField name="cofunding donors" numFmtId="0">
      <sharedItems containsBlank="1"/>
    </cacheField>
    <cacheField name="Name of the project" numFmtId="0">
      <sharedItems containsBlank="1"/>
    </cacheField>
    <cacheField name="Project start date _x000a_ dd/mm/yy" numFmtId="0">
      <sharedItems containsSemiMixedTypes="0" containsNonDate="0" containsDate="1" containsString="0" minDate="2012-01-01T00:00:00" maxDate="2014-10-17T00:00:00"/>
    </cacheField>
    <cacheField name="Project end date  dd/mm/yy" numFmtId="0">
      <sharedItems containsNonDate="0" containsDate="1" containsString="0" containsBlank="1" minDate="2012-04-30T00:00:00" maxDate="2105-09-01T00:00:00"/>
    </cacheField>
    <cacheField name="Status of the project" numFmtId="0">
      <sharedItems containsBlank="1"/>
    </cacheField>
    <cacheField name="Year fund received" numFmtId="0">
      <sharedItems containsSemiMixedTypes="0" containsString="0" containsNumber="1" containsInteger="1" minValue="2012" maxValue="2014" count="3">
        <n v="2012"/>
        <n v="2013"/>
        <n v="2014"/>
      </sharedItems>
    </cacheField>
    <cacheField name="Total Nb of wash beneficiaries" numFmtId="0">
      <sharedItems containsString="0" containsBlank="1" containsNumber="1" containsInteger="1" minValue="0" maxValue="89815"/>
    </cacheField>
    <cacheField name="Approximative % of NGCA beneficiaries" numFmtId="9">
      <sharedItems containsString="0" containsBlank="1" containsNumber="1" minValue="0" maxValue="0.93"/>
    </cacheField>
    <cacheField name="Approximative % of GCA beneficiaries" numFmtId="9">
      <sharedItems containsBlank="1" containsMixedTypes="1" containsNumber="1" minValue="6.9999999999999951E-2" maxValue="1"/>
    </cacheField>
    <cacheField name="% Northern Shan" numFmtId="9">
      <sharedItems containsString="0" containsBlank="1" containsNumber="1" minValue="0" maxValue="1"/>
    </cacheField>
    <cacheField name="%South Kachin" numFmtId="9">
      <sharedItems containsString="0" containsBlank="1" containsNumber="1" minValue="0" maxValue="1"/>
    </cacheField>
    <cacheField name="%North kachin" numFmtId="9">
      <sharedItems containsString="0" containsBlank="1" containsNumber="1" minValue="0" maxValue="1"/>
    </cacheField>
    <cacheField name="Approximate % of beneficiaries in camps" numFmtId="9">
      <sharedItems containsString="0" containsBlank="1" containsNumber="1" minValue="7.0000000000000007E-2" maxValue="1"/>
    </cacheField>
    <cacheField name="Approximate % of beneficiaries in host community" numFmtId="9">
      <sharedItems containsString="0" containsBlank="1" containsNumber="1" minValue="0" maxValue="0.93"/>
    </cacheField>
    <cacheField name="Nb of sanitation beneficiaries plan" numFmtId="0">
      <sharedItems containsString="0" containsBlank="1" containsNumber="1" containsInteger="1" minValue="493" maxValue="86580"/>
    </cacheField>
    <cacheField name="Nb of water access beneficiaries plan" numFmtId="0">
      <sharedItems containsString="0" containsBlank="1" containsNumber="1" containsInteger="1" minValue="0" maxValue="86822"/>
    </cacheField>
    <cacheField name="Nb of beneficiairies for HE" numFmtId="0">
      <sharedItems containsString="0" containsBlank="1" containsNumber="1" containsInteger="1" minValue="0" maxValue="86822"/>
    </cacheField>
    <cacheField name="Nb of sanitation beneficiaries plan2" numFmtId="0">
      <sharedItems containsString="0" containsBlank="1" containsNumber="1" containsInteger="1" minValue="0" maxValue="22000"/>
    </cacheField>
    <cacheField name="Nb of water access beneficiaries plan2" numFmtId="0">
      <sharedItems containsString="0" containsBlank="1" containsNumber="1" containsInteger="1" minValue="0" maxValue="8788"/>
    </cacheField>
    <cacheField name="Nb of beneficiairies for HE2" numFmtId="0">
      <sharedItems containsString="0" containsBlank="1" containsNumber="1" containsInteger="1" minValue="0" maxValue="30788"/>
    </cacheField>
    <cacheField name="Total budget of the project US$. For only WASH related cost (including related support costs)" numFmtId="3">
      <sharedItems containsString="0" containsBlank="1" containsNumber="1" minValue="3031.5058823529412" maxValue="1652740"/>
    </cacheField>
    <cacheField name="Approximate fund before 2014 regarding project date implementation" numFmtId="3">
      <sharedItems containsSemiMixedTypes="0" containsString="0" containsNumber="1" minValue="0" maxValue="1067394.5833333333"/>
    </cacheField>
    <cacheField name="Approximate fund 2014 regarding project date implementation" numFmtId="3">
      <sharedItems containsSemiMixedTypes="0" containsString="0" containsNumber="1" minValue="0" maxValue="1520909.0013263728" count="39">
        <n v="0"/>
        <n v="176992.66666666666"/>
        <n v="210747.24540901504"/>
        <n v="92794.488397790061"/>
        <n v="201418"/>
        <n v="10128.991780821918"/>
        <n v="337220.99"/>
        <n v="121121.92640883979"/>
        <n v="43482"/>
        <n v="151841.64537444935"/>
        <n v="100963.83480176212"/>
        <n v="37538.200440528635"/>
        <n v="939498.21854084812"/>
        <n v="56456.176470588231"/>
        <n v="17000"/>
        <n v="343632.61410788383"/>
        <n v="298146.15434083604"/>
        <n v="328256.45604395604"/>
        <n v="216000.29120879126"/>
        <n v="78945"/>
        <n v="972.74010109523078"/>
        <n v="309421.48760330578"/>
        <n v="104552.48618784532"/>
        <n v="315019.41758241761"/>
        <n v="79925.586080586087"/>
        <n v="50000"/>
        <n v="585345.41666666674"/>
        <n v="564560.43956043955"/>
        <n v="700000"/>
        <n v="322388.15331010451"/>
        <n v="1520909.0013263728" u="1"/>
        <n v="288461.43" u="1"/>
        <n v="350000" u="1"/>
        <n v="750000" u="1"/>
        <n v="455030" u="1"/>
        <n v="200000" u="1"/>
        <n v="249000" u="1"/>
        <n v="220997.4" u="1"/>
        <n v="469947" u="1"/>
      </sharedItems>
    </cacheField>
    <cacheField name="Approximate Fund 2015 regarding project date implementation" numFmtId="3">
      <sharedItems containsSemiMixedTypes="0" containsString="0" containsNumber="1" minValue="0" maxValue="581410.78278552473"/>
    </cacheField>
    <cacheField name="Approximate fund % dedicated to camps population only" numFmtId="0">
      <sharedItems containsString="0" containsBlank="1" containsNumber="1" minValue="0.04" maxValue="1"/>
    </cacheField>
    <cacheField name="Approximate % of fund dedicated to sanitation" numFmtId="9">
      <sharedItems containsString="0" containsBlank="1" containsNumber="1" minValue="0.04" maxValue="1"/>
    </cacheField>
    <cacheField name="Approximate % fund dedicated to Water access" numFmtId="9">
      <sharedItems containsString="0" containsBlank="1" containsNumber="1" minValue="0" maxValue="0.95"/>
    </cacheField>
    <cacheField name="Approximate % of fund dedicated to HP" numFmtId="9">
      <sharedItems containsString="0" containsBlank="1" containsNumber="1" minValue="0" maxValue="0.95"/>
    </cacheField>
    <cacheField name="Miscellaneous Comments on project"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5">
  <r>
    <x v="0"/>
    <s v="MMR001CMP042"/>
    <x v="0"/>
    <x v="0"/>
    <n v="98.131264999999999"/>
    <n v="25.885922999999998"/>
    <x v="0"/>
    <x v="0"/>
    <n v="114"/>
    <n v="524"/>
    <n v="524"/>
    <x v="0"/>
    <s v="Shalom"/>
    <x v="0"/>
    <x v="0"/>
    <d v="2015-05-31T00:00:00"/>
    <m/>
    <m/>
    <s v="Focal NGO"/>
    <x v="0"/>
    <n v="0"/>
    <n v="0"/>
    <s v="No"/>
    <n v="0"/>
    <n v="0"/>
    <n v="12760"/>
    <n v="0"/>
    <n v="0"/>
    <n v="1"/>
    <n v="524"/>
    <n v="1"/>
    <n v="524"/>
    <n v="1"/>
    <n v="524"/>
    <x v="0"/>
    <n v="0"/>
    <n v="0"/>
    <n v="1.31"/>
    <n v="0"/>
    <n v="0"/>
    <n v="1"/>
    <n v="524"/>
    <m/>
    <n v="19"/>
    <n v="7"/>
    <n v="8"/>
    <x v="0"/>
    <n v="0.5725190839694656"/>
    <n v="300"/>
    <n v="0.26717557251908391"/>
    <n v="139.99999999999997"/>
    <n v="0.30534351145038169"/>
    <n v="160"/>
    <n v="0"/>
    <n v="0.56999999999999995"/>
    <n v="298.67999999999995"/>
    <n v="18.2"/>
    <n v="4"/>
    <x v="0"/>
    <n v="0.76335877862595425"/>
    <n v="400"/>
    <n v="1.2400000000000002"/>
    <n v="0.77"/>
    <n v="403.48"/>
    <n v="3"/>
    <n v="0.5725190839694656"/>
    <n v="2.2400000000000002"/>
    <n v="0.57999999999999996"/>
    <m/>
    <d v="2015-02-13T00:00:00"/>
    <d v="2016-02-13T00:00:00"/>
    <n v="119"/>
    <n v="2"/>
    <n v="0"/>
    <n v="1"/>
    <n v="524"/>
    <x v="0"/>
    <m/>
    <n v="1"/>
    <n v="524"/>
    <n v="2"/>
    <s v="Excellent coverage"/>
    <n v="0"/>
    <x v="0"/>
    <m/>
  </r>
  <r>
    <x v="0"/>
    <s v="MMR001CMP043"/>
    <x v="0"/>
    <x v="1"/>
    <n v="98.475719999999995"/>
    <n v="25.754110000000001"/>
    <x v="0"/>
    <x v="1"/>
    <n v="155"/>
    <n v="873"/>
    <n v="873"/>
    <x v="0"/>
    <s v="KBC"/>
    <x v="1"/>
    <x v="0"/>
    <d v="2015-06-30T00:00:00"/>
    <s v="OXFAM"/>
    <d v="2015-06-30T00:00:00"/>
    <s v="Focal NGO"/>
    <x v="0"/>
    <n v="0"/>
    <n v="157140"/>
    <s v="No"/>
    <n v="0"/>
    <n v="0"/>
    <n v="17062"/>
    <n v="0"/>
    <n v="0"/>
    <n v="1"/>
    <n v="873"/>
    <n v="1"/>
    <n v="873"/>
    <n v="1"/>
    <n v="873"/>
    <x v="0"/>
    <n v="0"/>
    <n v="0"/>
    <n v="2.1825000000000001"/>
    <n v="0"/>
    <n v="0"/>
    <n v="1"/>
    <n v="873"/>
    <s v="Currently, according to water frozen KBC and Oxfam distributed a drinking water distribution, it was started in february 15."/>
    <n v="42"/>
    <n v="44"/>
    <n v="0"/>
    <x v="0"/>
    <n v="1"/>
    <n v="873"/>
    <n v="1"/>
    <n v="873"/>
    <n v="0"/>
    <n v="0"/>
    <n v="0"/>
    <n v="1"/>
    <n v="873"/>
    <n v="43.65"/>
    <n v="4"/>
    <x v="1"/>
    <n v="0.45819014891179838"/>
    <n v="400"/>
    <n v="4.7300000000000004"/>
    <n v="0.5"/>
    <n v="436.5"/>
    <n v="10"/>
    <n v="1"/>
    <n v="0"/>
    <n v="1"/>
    <m/>
    <d v="2015-02-18T00:00:00"/>
    <d v="2016-02-18T00:00:00"/>
    <n v="155"/>
    <n v="3"/>
    <n v="0"/>
    <n v="1"/>
    <n v="873"/>
    <x v="0"/>
    <m/>
    <n v="1"/>
    <n v="873"/>
    <n v="3"/>
    <s v="Excellent coverage"/>
    <n v="0"/>
    <x v="1"/>
    <m/>
  </r>
  <r>
    <x v="0"/>
    <s v="MMR001CMP195"/>
    <x v="0"/>
    <x v="2"/>
    <s v="NA"/>
    <s v="NA"/>
    <x v="0"/>
    <x v="0"/>
    <n v="143"/>
    <n v="631"/>
    <n v="631"/>
    <x v="0"/>
    <s v="Shalom"/>
    <x v="0"/>
    <x v="0"/>
    <d v="2015-05-31T00:00:00"/>
    <m/>
    <m/>
    <s v="Focal NGO"/>
    <x v="0"/>
    <n v="0"/>
    <n v="0"/>
    <s v="No"/>
    <n v="0"/>
    <n v="0"/>
    <n v="12760"/>
    <n v="0"/>
    <n v="0"/>
    <n v="1"/>
    <n v="631"/>
    <n v="1"/>
    <n v="631"/>
    <n v="1"/>
    <n v="631"/>
    <x v="0"/>
    <n v="0"/>
    <n v="0"/>
    <n v="1.5774999999999999"/>
    <n v="0"/>
    <n v="0"/>
    <n v="1"/>
    <n v="631"/>
    <m/>
    <n v="5"/>
    <n v="5"/>
    <n v="23"/>
    <x v="0"/>
    <n v="0.88748019017432644"/>
    <n v="560"/>
    <n v="0.15847860538827252"/>
    <n v="99.999999999999957"/>
    <n v="0.72900158478605392"/>
    <n v="460"/>
    <n v="0"/>
    <n v="0.89"/>
    <n v="561.59"/>
    <n v="8.5500000000000007"/>
    <n v="7"/>
    <x v="0"/>
    <n v="1"/>
    <n v="631"/>
    <n v="0"/>
    <n v="1"/>
    <n v="631"/>
    <n v="5"/>
    <n v="0.79239302694136293"/>
    <n v="1.3099999999999996"/>
    <n v="0.79"/>
    <m/>
    <d v="2015-02-13T00:00:00"/>
    <d v="2016-02-13T00:00:00"/>
    <n v="137"/>
    <n v="2"/>
    <n v="6"/>
    <n v="0.95804195804195802"/>
    <n v="604.52447552447552"/>
    <x v="0"/>
    <m/>
    <n v="1"/>
    <n v="631"/>
    <n v="2"/>
    <s v="Excellent coverage"/>
    <n v="0"/>
    <x v="0"/>
    <m/>
  </r>
  <r>
    <x v="0"/>
    <s v="MMR001CMP210"/>
    <x v="0"/>
    <x v="3"/>
    <n v="98.376824999999997"/>
    <n v="25.598251999999999"/>
    <x v="0"/>
    <x v="0"/>
    <n v="68"/>
    <n v="323"/>
    <n v="323"/>
    <x v="0"/>
    <s v="KMSS"/>
    <x v="2"/>
    <x v="0"/>
    <s v="Gap"/>
    <m/>
    <m/>
    <s v="Focal NGO"/>
    <x v="0"/>
    <n v="0"/>
    <n v="0"/>
    <s v="No"/>
    <n v="0"/>
    <n v="0"/>
    <n v="20250"/>
    <n v="0"/>
    <n v="1"/>
    <n v="1"/>
    <n v="323"/>
    <n v="1"/>
    <n v="323"/>
    <n v="1"/>
    <n v="323"/>
    <x v="0"/>
    <n v="0"/>
    <n v="0"/>
    <n v="0.8075"/>
    <n v="68"/>
    <n v="0"/>
    <n v="1"/>
    <n v="323"/>
    <s v="68 chinese water filter distrubuted in 2014"/>
    <n v="8"/>
    <n v="0"/>
    <n v="16"/>
    <x v="1"/>
    <n v="0.99071207430340558"/>
    <n v="320"/>
    <n v="0"/>
    <n v="0"/>
    <n v="0.99071207430340558"/>
    <n v="320"/>
    <n v="0"/>
    <n v="0.99"/>
    <n v="319.77"/>
    <n v="0.14999999999999858"/>
    <n v="2"/>
    <x v="0"/>
    <n v="0.61919504643962853"/>
    <n v="200"/>
    <n v="1.23"/>
    <n v="0.62"/>
    <n v="200.26"/>
    <n v="2"/>
    <n v="0.61919504643962853"/>
    <n v="1.23"/>
    <n v="0.62"/>
    <s v="due to lack of running cost, the HWS facilities have not functioing, hard to construct SPL bcoz of materials not easily availiable"/>
    <d v="2014-05-21T00:00:00"/>
    <d v="2015-05-21T00:00:00"/>
    <n v="94"/>
    <n v="10"/>
    <n v="0"/>
    <n v="1"/>
    <n v="323"/>
    <x v="0"/>
    <m/>
    <n v="0"/>
    <n v="0"/>
    <n v="2"/>
    <s v="Excellent coverage"/>
    <n v="0"/>
    <x v="1"/>
    <s v="2 Hygiene promoter assigned by KMSS gap from Jan 2015, although they have enough latrine, some go outside for open defecation mainly on children (Hygiene Promotion) still need to implement"/>
  </r>
  <r>
    <x v="1"/>
    <s v="MMR001CMP179"/>
    <x v="1"/>
    <x v="4"/>
    <n v="96.355270000000004"/>
    <n v="25.656130000000001"/>
    <x v="0"/>
    <x v="0"/>
    <n v="77"/>
    <n v="360"/>
    <n v="360"/>
    <x v="0"/>
    <s v="Shalom"/>
    <x v="0"/>
    <x v="0"/>
    <s v="Gap"/>
    <m/>
    <m/>
    <s v="Focal NGO"/>
    <x v="0"/>
    <n v="0"/>
    <n v="0"/>
    <s v="No"/>
    <n v="3"/>
    <n v="0"/>
    <n v="6000"/>
    <n v="0"/>
    <n v="0"/>
    <n v="1"/>
    <n v="360"/>
    <n v="1"/>
    <n v="360"/>
    <n v="1"/>
    <n v="360"/>
    <x v="0"/>
    <n v="0"/>
    <n v="0"/>
    <n v="0"/>
    <n v="0"/>
    <n v="0"/>
    <n v="1"/>
    <n v="360"/>
    <m/>
    <n v="8"/>
    <n v="0"/>
    <n v="5"/>
    <x v="2"/>
    <n v="0.27777777777777779"/>
    <n v="100"/>
    <n v="0"/>
    <n v="0"/>
    <n v="0.27777777777777779"/>
    <n v="100"/>
    <n v="0"/>
    <n v="0.28000000000000003"/>
    <n v="100.80000000000001"/>
    <n v="13"/>
    <n v="2"/>
    <x v="2"/>
    <n v="0.55555555555555558"/>
    <n v="200"/>
    <n v="1.6"/>
    <n v="0.56999999999999995"/>
    <n v="205.2"/>
    <n v="6"/>
    <n v="1"/>
    <n v="0"/>
    <n v="1"/>
    <s v="no spaces to construct more latrines and bathing spaces/ now church committee let them to use only in 5 latrines, if they wish, they can go to the church student hostel latrine/ /they have a plan to shilft to the Lal Pyin Qtr of Hpakant,"/>
    <d v="2014-02-25T00:00:00"/>
    <s v="To be realised"/>
    <n v="77"/>
    <n v="10"/>
    <n v="77"/>
    <n v="0"/>
    <n v="0"/>
    <x v="1"/>
    <s v="project gap"/>
    <n v="0"/>
    <n v="0"/>
    <n v="2"/>
    <s v="Excellent coverage"/>
    <n v="0"/>
    <x v="0"/>
    <m/>
  </r>
  <r>
    <x v="1"/>
    <s v="MMR001CMP168"/>
    <x v="1"/>
    <x v="5"/>
    <n v="96.353070000000002"/>
    <n v="25.655819999999999"/>
    <x v="0"/>
    <x v="0"/>
    <n v="83"/>
    <n v="425"/>
    <n v="425"/>
    <x v="0"/>
    <s v="KMSS"/>
    <x v="2"/>
    <x v="0"/>
    <s v="Gap"/>
    <m/>
    <m/>
    <s v="Focal NGO"/>
    <x v="0"/>
    <n v="0"/>
    <n v="0"/>
    <s v="No"/>
    <n v="2"/>
    <n v="0"/>
    <n v="3000"/>
    <n v="0"/>
    <n v="0"/>
    <n v="1"/>
    <n v="425"/>
    <n v="1"/>
    <n v="425"/>
    <n v="1"/>
    <n v="425"/>
    <x v="0"/>
    <n v="0"/>
    <n v="0"/>
    <n v="0"/>
    <n v="0"/>
    <n v="0"/>
    <n v="1"/>
    <n v="425"/>
    <m/>
    <n v="10"/>
    <n v="0"/>
    <n v="19"/>
    <x v="1"/>
    <n v="0.89411764705882357"/>
    <n v="380"/>
    <n v="0"/>
    <n v="0"/>
    <n v="0.89411764705882357"/>
    <n v="380"/>
    <n v="0"/>
    <n v="0.89"/>
    <n v="378.25"/>
    <n v="2.25"/>
    <n v="2"/>
    <x v="1"/>
    <n v="0.47058823529411764"/>
    <n v="200"/>
    <n v="2.25"/>
    <n v="0.48"/>
    <n v="204"/>
    <n v="2"/>
    <n v="0.47058823529411764"/>
    <n v="2.25"/>
    <n v="0.48"/>
    <s v="land spaces are limited, due to lack of running cost, the HWS facilities have not functioing,  if repair  and dig pit. 2-3 latrines can be used, "/>
    <d v="2014-06-27T00:00:00"/>
    <d v="2015-06-27T00:00:00"/>
    <n v="83"/>
    <n v="2"/>
    <n v="0"/>
    <n v="1"/>
    <n v="425"/>
    <x v="2"/>
    <m/>
    <n v="0"/>
    <n v="0"/>
    <n v="0"/>
    <s v="No coverage"/>
    <n v="0"/>
    <x v="1"/>
    <s v="Previously WASH team Myitkyina arrive to this camp to take HE 1 time per 3 month"/>
  </r>
  <r>
    <x v="1"/>
    <s v="MMR001CMP176"/>
    <x v="1"/>
    <x v="6"/>
    <n v="96.345569999999995"/>
    <n v="25.635300000000001"/>
    <x v="0"/>
    <x v="0"/>
    <n v="67"/>
    <n v="338"/>
    <n v="338"/>
    <x v="0"/>
    <s v="Shalom"/>
    <x v="0"/>
    <x v="0"/>
    <s v="Gap"/>
    <m/>
    <m/>
    <s v="Focal NGO"/>
    <x v="0"/>
    <n v="0"/>
    <n v="0"/>
    <s v="No"/>
    <n v="1"/>
    <n v="0"/>
    <n v="0"/>
    <n v="0"/>
    <n v="0"/>
    <n v="1"/>
    <n v="338"/>
    <n v="1"/>
    <n v="338"/>
    <n v="1"/>
    <n v="338"/>
    <x v="0"/>
    <n v="0"/>
    <n v="0"/>
    <n v="0"/>
    <n v="0"/>
    <n v="0"/>
    <n v="1"/>
    <n v="338"/>
    <m/>
    <n v="6"/>
    <n v="0"/>
    <n v="15"/>
    <x v="2"/>
    <n v="0.8875739644970414"/>
    <n v="300"/>
    <n v="0"/>
    <n v="0"/>
    <n v="0.8875739644970414"/>
    <n v="300"/>
    <n v="0"/>
    <n v="0.89"/>
    <n v="300.82"/>
    <n v="1.8999999999999986"/>
    <n v="2"/>
    <x v="0"/>
    <n v="0.59171597633136097"/>
    <n v="200"/>
    <n v="1.38"/>
    <n v="0.6"/>
    <n v="202.79999999999998"/>
    <n v="3"/>
    <n v="0.8875739644970414"/>
    <n v="0.37999999999999989"/>
    <n v="0.9"/>
    <m/>
    <d v="2014-02-25T00:00:00"/>
    <s v="To be realised"/>
    <n v="67"/>
    <n v="10"/>
    <n v="67"/>
    <n v="0"/>
    <n v="0"/>
    <x v="1"/>
    <s v="project gap"/>
    <n v="0"/>
    <n v="0"/>
    <n v="2"/>
    <s v="Excellent coverage"/>
    <n v="0"/>
    <x v="0"/>
    <m/>
  </r>
  <r>
    <x v="1"/>
    <s v="MMR001CMP190"/>
    <x v="1"/>
    <x v="7"/>
    <n v="96.317350000000005"/>
    <n v="25.616509000000001"/>
    <x v="0"/>
    <x v="0"/>
    <n v="14"/>
    <n v="80"/>
    <n v="80"/>
    <x v="1"/>
    <s v="Shalom"/>
    <x v="0"/>
    <x v="0"/>
    <s v="Gap"/>
    <m/>
    <m/>
    <s v="Focal NGO"/>
    <x v="0"/>
    <n v="0"/>
    <n v="0"/>
    <s v="No"/>
    <n v="1"/>
    <n v="0"/>
    <n v="0"/>
    <n v="0"/>
    <n v="0"/>
    <n v="1"/>
    <n v="80"/>
    <n v="1"/>
    <n v="80"/>
    <n v="1"/>
    <n v="80"/>
    <x v="0"/>
    <n v="0"/>
    <n v="0"/>
    <n v="0"/>
    <n v="0"/>
    <n v="0"/>
    <n v="1"/>
    <n v="80"/>
    <m/>
    <n v="0"/>
    <n v="0"/>
    <n v="4"/>
    <x v="2"/>
    <n v="1"/>
    <n v="80"/>
    <n v="0"/>
    <n v="0"/>
    <n v="1"/>
    <n v="80"/>
    <n v="0"/>
    <n v="1"/>
    <n v="80"/>
    <n v="0"/>
    <n v="2"/>
    <x v="2"/>
    <n v="1"/>
    <n v="80"/>
    <n v="0"/>
    <n v="1"/>
    <n v="80"/>
    <n v="3"/>
    <n v="1"/>
    <n v="0"/>
    <n v="1"/>
    <m/>
    <d v="2014-02-25T00:00:00"/>
    <s v="To be realised"/>
    <n v="14"/>
    <n v="10"/>
    <n v="14"/>
    <n v="0"/>
    <n v="0"/>
    <x v="1"/>
    <s v="project gap"/>
    <n v="0"/>
    <n v="0"/>
    <n v="1"/>
    <s v="Excellent coverage"/>
    <n v="0"/>
    <x v="0"/>
    <m/>
  </r>
  <r>
    <x v="1"/>
    <s v="MMR001CMP169"/>
    <x v="1"/>
    <x v="8"/>
    <n v="96.346469999999997"/>
    <n v="25.647649999999999"/>
    <x v="0"/>
    <x v="0"/>
    <n v="35"/>
    <n v="218"/>
    <n v="218"/>
    <x v="1"/>
    <s v="Shalom"/>
    <x v="0"/>
    <x v="0"/>
    <s v="Gap"/>
    <m/>
    <m/>
    <s v="Focal NGO"/>
    <x v="0"/>
    <n v="0"/>
    <n v="0"/>
    <s v="No"/>
    <n v="2"/>
    <n v="0"/>
    <n v="0"/>
    <n v="0"/>
    <n v="0"/>
    <n v="1"/>
    <n v="218"/>
    <n v="1"/>
    <n v="218"/>
    <n v="1"/>
    <n v="218"/>
    <x v="0"/>
    <n v="0"/>
    <n v="0"/>
    <n v="0"/>
    <n v="0"/>
    <n v="0"/>
    <n v="1"/>
    <n v="218"/>
    <m/>
    <n v="10"/>
    <n v="0"/>
    <n v="10"/>
    <x v="1"/>
    <n v="0.91743119266055051"/>
    <n v="200"/>
    <n v="0"/>
    <n v="0"/>
    <n v="0.91743119266055051"/>
    <n v="200"/>
    <n v="0"/>
    <n v="0.92"/>
    <n v="200.56"/>
    <n v="0.90000000000000036"/>
    <n v="2"/>
    <x v="0"/>
    <n v="0.91743119266055051"/>
    <n v="200"/>
    <n v="0.18000000000000016"/>
    <n v="0.92"/>
    <n v="200.56"/>
    <n v="4"/>
    <n v="1"/>
    <n v="0"/>
    <n v="1"/>
    <m/>
    <d v="2014-02-25T00:00:00"/>
    <s v="To be realised"/>
    <n v="35"/>
    <n v="10"/>
    <n v="35"/>
    <n v="0"/>
    <n v="0"/>
    <x v="1"/>
    <s v="project gap"/>
    <n v="0"/>
    <n v="0"/>
    <n v="2"/>
    <s v="Excellent coverage"/>
    <n v="0"/>
    <x v="0"/>
    <m/>
  </r>
  <r>
    <x v="1"/>
    <s v="MMR001CMP188"/>
    <x v="1"/>
    <x v="9"/>
    <n v="96.673805000000002"/>
    <n v="25.728653000000001"/>
    <x v="0"/>
    <x v="0"/>
    <n v="15"/>
    <n v="77"/>
    <n v="77"/>
    <x v="1"/>
    <s v="Shalom"/>
    <x v="0"/>
    <x v="0"/>
    <s v="Gap"/>
    <m/>
    <m/>
    <s v="Focal NGO"/>
    <x v="0"/>
    <n v="0"/>
    <n v="0"/>
    <s v="No"/>
    <n v="1"/>
    <n v="1"/>
    <n v="0"/>
    <n v="0"/>
    <n v="0"/>
    <n v="1"/>
    <n v="77"/>
    <n v="1"/>
    <n v="77"/>
    <n v="1"/>
    <n v="77"/>
    <x v="0"/>
    <n v="0"/>
    <n v="0"/>
    <n v="0"/>
    <n v="0"/>
    <n v="0"/>
    <n v="1"/>
    <n v="77"/>
    <s v="1 tube well is not functioning"/>
    <n v="4"/>
    <n v="2"/>
    <n v="2"/>
    <x v="0"/>
    <n v="1"/>
    <n v="77"/>
    <n v="0.48051948051948057"/>
    <n v="37.000000000000007"/>
    <n v="0.51948051948051943"/>
    <n v="39.999999999999993"/>
    <n v="0"/>
    <n v="1"/>
    <n v="77"/>
    <n v="1.85"/>
    <n v="2"/>
    <x v="0"/>
    <n v="1"/>
    <n v="77"/>
    <n v="0"/>
    <n v="1"/>
    <n v="77"/>
    <n v="3"/>
    <n v="1"/>
    <n v="0"/>
    <n v="1"/>
    <m/>
    <d v="2013-07-14T00:00:00"/>
    <s v="To be realised"/>
    <n v="15"/>
    <n v="10"/>
    <n v="15"/>
    <n v="0"/>
    <n v="0"/>
    <x v="3"/>
    <m/>
    <n v="0"/>
    <n v="0"/>
    <n v="2"/>
    <s v="Excellent coverage"/>
    <n v="0"/>
    <x v="0"/>
    <m/>
  </r>
  <r>
    <x v="1"/>
    <s v="MMR001CMP172"/>
    <x v="1"/>
    <x v="10"/>
    <n v="96.353070000000002"/>
    <n v="25.668469999999999"/>
    <x v="0"/>
    <x v="0"/>
    <n v="1"/>
    <n v="4"/>
    <n v="4"/>
    <x v="1"/>
    <s v="Shalom"/>
    <x v="0"/>
    <x v="0"/>
    <s v="Gap"/>
    <m/>
    <m/>
    <s v="Focal NGO"/>
    <x v="0"/>
    <n v="0"/>
    <n v="0"/>
    <s v="No"/>
    <n v="1"/>
    <n v="0"/>
    <n v="0"/>
    <n v="0"/>
    <n v="0"/>
    <n v="1"/>
    <n v="4"/>
    <n v="1"/>
    <n v="4"/>
    <n v="1"/>
    <n v="4"/>
    <x v="0"/>
    <n v="0"/>
    <n v="0"/>
    <n v="0"/>
    <n v="0"/>
    <n v="0"/>
    <n v="1"/>
    <n v="4"/>
    <m/>
    <n v="2"/>
    <n v="3"/>
    <n v="0"/>
    <x v="2"/>
    <n v="1"/>
    <n v="4"/>
    <n v="1"/>
    <n v="4"/>
    <n v="0"/>
    <n v="0"/>
    <n v="0"/>
    <n v="1"/>
    <n v="4"/>
    <n v="0.2"/>
    <n v="1"/>
    <x v="1"/>
    <n v="1"/>
    <n v="4"/>
    <n v="0"/>
    <n v="1"/>
    <n v="4"/>
    <n v="3"/>
    <n v="1"/>
    <n v="0"/>
    <n v="1"/>
    <s v="small HH, wash their hand on the bathing space"/>
    <d v="2014-02-25T00:00:00"/>
    <s v="To be realised"/>
    <n v="1"/>
    <n v="10"/>
    <n v="1"/>
    <n v="0"/>
    <n v="0"/>
    <x v="1"/>
    <s v="project gap"/>
    <n v="1"/>
    <n v="4"/>
    <n v="0"/>
    <s v="No coverage"/>
    <n v="0"/>
    <x v="2"/>
    <s v="small HH"/>
  </r>
  <r>
    <x v="1"/>
    <s v="MMR001CMP109"/>
    <x v="1"/>
    <x v="11"/>
    <n v="96.283377000000002"/>
    <n v="25.582065"/>
    <x v="0"/>
    <x v="0"/>
    <n v="6"/>
    <n v="25"/>
    <n v="25"/>
    <x v="1"/>
    <s v="Shalom"/>
    <x v="0"/>
    <x v="0"/>
    <s v="Gap"/>
    <m/>
    <m/>
    <s v="Focal NGO"/>
    <x v="0"/>
    <n v="0"/>
    <n v="0"/>
    <s v="No"/>
    <n v="0"/>
    <n v="0"/>
    <n v="2000"/>
    <n v="0"/>
    <n v="0"/>
    <n v="1"/>
    <n v="25"/>
    <n v="1"/>
    <n v="25"/>
    <n v="1"/>
    <n v="25"/>
    <x v="0"/>
    <n v="0"/>
    <n v="0"/>
    <n v="6.25E-2"/>
    <n v="0"/>
    <n v="0"/>
    <n v="1"/>
    <n v="25"/>
    <s v="IDPs can fetach a water from 1 well that situated outside of a camp"/>
    <n v="0"/>
    <n v="0"/>
    <n v="2"/>
    <x v="2"/>
    <n v="1"/>
    <n v="25"/>
    <n v="0"/>
    <n v="0"/>
    <n v="1"/>
    <n v="25"/>
    <n v="0"/>
    <n v="1"/>
    <n v="25"/>
    <n v="0"/>
    <n v="1"/>
    <x v="1"/>
    <n v="1"/>
    <n v="25"/>
    <n v="0"/>
    <n v="1"/>
    <n v="25"/>
    <n v="1"/>
    <n v="1"/>
    <n v="0"/>
    <n v="1"/>
    <m/>
    <d v="2014-02-25T00:00:00"/>
    <s v="To be realised"/>
    <n v="6"/>
    <n v="10"/>
    <n v="6"/>
    <n v="0"/>
    <n v="0"/>
    <x v="1"/>
    <s v="project gap"/>
    <n v="0"/>
    <n v="0"/>
    <n v="1"/>
    <s v="Excellent coverage"/>
    <n v="0"/>
    <x v="0"/>
    <m/>
  </r>
  <r>
    <x v="1"/>
    <s v="MMR001CMP174"/>
    <x v="1"/>
    <x v="12"/>
    <n v="96.354929999999996"/>
    <n v="25.643090000000001"/>
    <x v="0"/>
    <x v="0"/>
    <n v="65"/>
    <n v="335"/>
    <n v="335"/>
    <x v="0"/>
    <s v="Shalom"/>
    <x v="0"/>
    <x v="0"/>
    <s v="Gap"/>
    <m/>
    <m/>
    <s v="Focal NGO"/>
    <x v="0"/>
    <n v="0"/>
    <n v="0"/>
    <s v="No"/>
    <n v="1"/>
    <n v="0"/>
    <n v="3000"/>
    <n v="0"/>
    <n v="0"/>
    <n v="1"/>
    <n v="335"/>
    <n v="1"/>
    <n v="335"/>
    <n v="1"/>
    <n v="335"/>
    <x v="0"/>
    <n v="0"/>
    <n v="0"/>
    <n v="0"/>
    <n v="0"/>
    <n v="0"/>
    <n v="1"/>
    <n v="335"/>
    <m/>
    <n v="10"/>
    <n v="0"/>
    <n v="17"/>
    <x v="0"/>
    <n v="1"/>
    <n v="335"/>
    <n v="0"/>
    <n v="0"/>
    <n v="1"/>
    <n v="335"/>
    <n v="0"/>
    <n v="1"/>
    <n v="335"/>
    <n v="0"/>
    <n v="3"/>
    <x v="0"/>
    <n v="0.89552238805970152"/>
    <n v="300"/>
    <n v="0.35000000000000009"/>
    <n v="0.9"/>
    <n v="301.5"/>
    <n v="4"/>
    <n v="1"/>
    <n v="0"/>
    <n v="1"/>
    <s v="Not have enough space to construct more bathing spaces "/>
    <d v="2014-02-25T00:00:00"/>
    <s v="To be realised"/>
    <n v="65"/>
    <n v="10"/>
    <n v="65"/>
    <n v="0"/>
    <n v="0"/>
    <x v="1"/>
    <s v="project gap"/>
    <n v="0"/>
    <n v="0"/>
    <n v="2"/>
    <s v="Excellent coverage"/>
    <n v="0"/>
    <x v="0"/>
    <m/>
  </r>
  <r>
    <x v="1"/>
    <s v="MMR001CMP148"/>
    <x v="1"/>
    <x v="13"/>
    <n v="96.705960000000005"/>
    <n v="25.51352"/>
    <x v="0"/>
    <x v="0"/>
    <n v="16"/>
    <n v="60"/>
    <n v="60"/>
    <x v="1"/>
    <s v="KBC"/>
    <x v="1"/>
    <x v="0"/>
    <d v="2015-06-30T00:00:00"/>
    <s v="OXFAM"/>
    <d v="2015-06-30T00:00:00"/>
    <s v="Focal NGO"/>
    <x v="0"/>
    <n v="0"/>
    <n v="0"/>
    <s v="No"/>
    <n v="0"/>
    <n v="2"/>
    <n v="0"/>
    <n v="0"/>
    <n v="1"/>
    <n v="1"/>
    <n v="60"/>
    <n v="1"/>
    <n v="60"/>
    <n v="1"/>
    <n v="60"/>
    <x v="0"/>
    <n v="0"/>
    <n v="0"/>
    <n v="0"/>
    <n v="16"/>
    <n v="0"/>
    <n v="1"/>
    <n v="60"/>
    <m/>
    <n v="0"/>
    <n v="3"/>
    <n v="7"/>
    <x v="0"/>
    <n v="1"/>
    <n v="60"/>
    <n v="0"/>
    <n v="0"/>
    <n v="1"/>
    <n v="60"/>
    <n v="0"/>
    <n v="1"/>
    <n v="60"/>
    <n v="0"/>
    <n v="2"/>
    <x v="0"/>
    <n v="1"/>
    <n v="60"/>
    <n v="0"/>
    <n v="1"/>
    <n v="60"/>
    <n v="2"/>
    <n v="1"/>
    <n v="0"/>
    <n v="1"/>
    <m/>
    <d v="2015-02-18T00:00:00"/>
    <d v="2016-02-18T00:00:00"/>
    <n v="16"/>
    <n v="3"/>
    <n v="0"/>
    <n v="1"/>
    <n v="60"/>
    <x v="0"/>
    <m/>
    <n v="0"/>
    <n v="0"/>
    <n v="1"/>
    <s v="Excellent coverage"/>
    <n v="0"/>
    <x v="1"/>
    <m/>
  </r>
  <r>
    <x v="1"/>
    <s v="MMR001CMP191"/>
    <x v="1"/>
    <x v="14"/>
    <n v="96.316564"/>
    <n v="25.615960999999999"/>
    <x v="0"/>
    <x v="0"/>
    <n v="13"/>
    <n v="75"/>
    <n v="75"/>
    <x v="1"/>
    <s v="Shalom"/>
    <x v="0"/>
    <x v="0"/>
    <s v="Gap"/>
    <m/>
    <m/>
    <s v="Focal NGO"/>
    <x v="0"/>
    <n v="0"/>
    <n v="0"/>
    <s v="No"/>
    <n v="1"/>
    <n v="0"/>
    <n v="0"/>
    <n v="0"/>
    <n v="0"/>
    <n v="1"/>
    <n v="75"/>
    <n v="1"/>
    <n v="75"/>
    <n v="1"/>
    <n v="75"/>
    <x v="0"/>
    <n v="0"/>
    <n v="0"/>
    <n v="0"/>
    <n v="0"/>
    <n v="0"/>
    <n v="1"/>
    <n v="75"/>
    <m/>
    <n v="0"/>
    <n v="0"/>
    <n v="5"/>
    <x v="2"/>
    <n v="1"/>
    <n v="75"/>
    <n v="0"/>
    <n v="0"/>
    <n v="1"/>
    <n v="75"/>
    <n v="0"/>
    <n v="1"/>
    <n v="75"/>
    <n v="0"/>
    <n v="1"/>
    <x v="0"/>
    <n v="1"/>
    <n v="75"/>
    <n v="0"/>
    <n v="1"/>
    <n v="75"/>
    <n v="1"/>
    <n v="1"/>
    <n v="0"/>
    <n v="1"/>
    <m/>
    <d v="2014-02-25T00:00:00"/>
    <s v="To be realised"/>
    <n v="13"/>
    <n v="10"/>
    <n v="13"/>
    <n v="0"/>
    <n v="0"/>
    <x v="1"/>
    <s v="project gap"/>
    <n v="0"/>
    <n v="0"/>
    <n v="1"/>
    <s v="Excellent coverage"/>
    <n v="0"/>
    <x v="0"/>
    <m/>
  </r>
  <r>
    <x v="1"/>
    <s v="MMR001CMP229"/>
    <x v="1"/>
    <x v="15"/>
    <n v="96.312790000000007"/>
    <n v="25.611160000000002"/>
    <x v="0"/>
    <x v="0"/>
    <n v="118"/>
    <n v="519"/>
    <n v="519"/>
    <x v="0"/>
    <s v="Shalom"/>
    <x v="0"/>
    <x v="0"/>
    <s v="Gap"/>
    <m/>
    <m/>
    <s v="Focal NGO"/>
    <x v="0"/>
    <n v="0"/>
    <n v="0"/>
    <s v="No"/>
    <n v="1"/>
    <n v="0"/>
    <n v="3320"/>
    <n v="0"/>
    <n v="0"/>
    <n v="1"/>
    <n v="519"/>
    <n v="1"/>
    <n v="519"/>
    <n v="1"/>
    <n v="519"/>
    <x v="0"/>
    <n v="0"/>
    <n v="0"/>
    <n v="0.2975000000000001"/>
    <n v="0"/>
    <n v="0"/>
    <n v="1"/>
    <n v="519"/>
    <m/>
    <n v="20"/>
    <n v="0"/>
    <n v="16"/>
    <x v="1"/>
    <n v="0.61657032755298646"/>
    <n v="320"/>
    <n v="0"/>
    <n v="0"/>
    <n v="0.61657032755298646"/>
    <n v="320"/>
    <n v="0"/>
    <n v="0.62"/>
    <n v="321.77999999999997"/>
    <n v="9.9499999999999993"/>
    <n v="3"/>
    <x v="2"/>
    <n v="0.5780346820809249"/>
    <n v="300"/>
    <n v="2.1900000000000004"/>
    <n v="0.57999999999999996"/>
    <n v="301.02"/>
    <n v="3"/>
    <n v="0.5780346820809249"/>
    <n v="2.1900000000000004"/>
    <n v="1"/>
    <m/>
    <d v="2014-02-25T00:00:00"/>
    <s v="To be realised"/>
    <n v="118"/>
    <n v="10"/>
    <n v="118"/>
    <n v="0"/>
    <n v="0"/>
    <x v="1"/>
    <s v="project gap"/>
    <n v="0"/>
    <n v="0"/>
    <n v="2"/>
    <s v="Excellent coverage"/>
    <n v="0"/>
    <x v="0"/>
    <m/>
  </r>
  <r>
    <x v="1"/>
    <s v="MMR001CMP181"/>
    <x v="1"/>
    <x v="16"/>
    <n v="96.269199999999998"/>
    <n v="25.566510000000001"/>
    <x v="0"/>
    <x v="0"/>
    <n v="26"/>
    <n v="137"/>
    <n v="137"/>
    <x v="1"/>
    <s v="Shalom"/>
    <x v="0"/>
    <x v="0"/>
    <s v="Gap"/>
    <m/>
    <m/>
    <s v="Focal NGO"/>
    <x v="0"/>
    <n v="0"/>
    <n v="0"/>
    <s v="No"/>
    <n v="1"/>
    <n v="0"/>
    <n v="3000"/>
    <n v="0"/>
    <n v="0"/>
    <n v="1"/>
    <n v="137"/>
    <n v="1"/>
    <n v="137"/>
    <n v="1"/>
    <n v="137"/>
    <x v="0"/>
    <n v="0"/>
    <n v="0"/>
    <n v="0"/>
    <n v="0"/>
    <n v="0"/>
    <n v="1"/>
    <n v="137"/>
    <m/>
    <n v="2"/>
    <n v="2"/>
    <n v="6"/>
    <x v="2"/>
    <n v="1"/>
    <n v="137"/>
    <n v="0.12408759124087587"/>
    <n v="16.999999999999993"/>
    <n v="0.87591240875912413"/>
    <n v="120"/>
    <n v="0"/>
    <n v="1"/>
    <n v="137"/>
    <n v="0.84999999999999964"/>
    <n v="2"/>
    <x v="2"/>
    <n v="1"/>
    <n v="137"/>
    <n v="0"/>
    <n v="1"/>
    <n v="137"/>
    <n v="2"/>
    <n v="1"/>
    <n v="0"/>
    <n v="1"/>
    <m/>
    <d v="2014-02-25T00:00:00"/>
    <s v="To be realised"/>
    <n v="26"/>
    <n v="10"/>
    <n v="26"/>
    <n v="0"/>
    <n v="0"/>
    <x v="1"/>
    <s v="project gap"/>
    <n v="0"/>
    <n v="0"/>
    <n v="2"/>
    <s v="Excellent coverage"/>
    <n v="0"/>
    <x v="0"/>
    <m/>
  </r>
  <r>
    <x v="1"/>
    <s v="MMR001CMP167"/>
    <x v="1"/>
    <x v="17"/>
    <n v="96.316400000000002"/>
    <n v="25.61842"/>
    <x v="0"/>
    <x v="0"/>
    <n v="15"/>
    <n v="71"/>
    <n v="71"/>
    <x v="1"/>
    <s v="Shalom"/>
    <x v="0"/>
    <x v="0"/>
    <s v="Gap"/>
    <m/>
    <m/>
    <s v="Focal NGO"/>
    <x v="0"/>
    <n v="0"/>
    <n v="0"/>
    <s v="No"/>
    <n v="1"/>
    <n v="0"/>
    <n v="2000"/>
    <n v="0"/>
    <n v="0"/>
    <n v="1"/>
    <n v="71"/>
    <n v="1"/>
    <n v="71"/>
    <n v="1"/>
    <n v="71"/>
    <x v="0"/>
    <n v="0"/>
    <n v="0"/>
    <n v="0"/>
    <n v="0"/>
    <n v="0"/>
    <n v="1"/>
    <n v="71"/>
    <m/>
    <n v="0"/>
    <n v="1"/>
    <n v="4"/>
    <x v="2"/>
    <n v="1"/>
    <n v="71"/>
    <n v="0"/>
    <n v="0"/>
    <n v="1"/>
    <n v="71"/>
    <n v="0"/>
    <n v="1"/>
    <n v="71"/>
    <n v="0"/>
    <n v="2"/>
    <x v="1"/>
    <n v="1"/>
    <n v="71"/>
    <n v="0"/>
    <n v="1"/>
    <n v="71"/>
    <n v="1"/>
    <n v="1"/>
    <n v="0"/>
    <n v="1"/>
    <m/>
    <d v="2014-02-25T00:00:00"/>
    <s v="To be realised"/>
    <n v="15"/>
    <n v="10"/>
    <n v="15"/>
    <n v="0"/>
    <n v="0"/>
    <x v="1"/>
    <s v="project gap"/>
    <n v="0"/>
    <n v="0"/>
    <n v="1"/>
    <s v="Excellent coverage"/>
    <n v="0"/>
    <x v="0"/>
    <m/>
  </r>
  <r>
    <x v="1"/>
    <s v="MMR001CMP091"/>
    <x v="1"/>
    <x v="18"/>
    <n v="96.319687999999999"/>
    <n v="25.615202"/>
    <x v="0"/>
    <x v="0"/>
    <n v="5"/>
    <n v="25"/>
    <n v="25"/>
    <x v="1"/>
    <s v="Shalom"/>
    <x v="0"/>
    <x v="0"/>
    <s v="Gap"/>
    <m/>
    <m/>
    <s v="Focal NGO"/>
    <x v="0"/>
    <n v="0"/>
    <n v="0"/>
    <s v="No"/>
    <n v="1"/>
    <n v="0"/>
    <n v="6000"/>
    <n v="0"/>
    <n v="0"/>
    <n v="1"/>
    <n v="25"/>
    <n v="1"/>
    <n v="25"/>
    <n v="1"/>
    <n v="25"/>
    <x v="0"/>
    <n v="0"/>
    <n v="0"/>
    <n v="0"/>
    <n v="0"/>
    <n v="0"/>
    <n v="1"/>
    <n v="25"/>
    <m/>
    <n v="2"/>
    <n v="2"/>
    <n v="1"/>
    <x v="3"/>
    <n v="1"/>
    <n v="25"/>
    <n v="0.19999999999999996"/>
    <n v="4.9999999999999991"/>
    <n v="0.8"/>
    <n v="20"/>
    <n v="0"/>
    <n v="1"/>
    <n v="25"/>
    <n v="0.25"/>
    <n v="2"/>
    <x v="0"/>
    <n v="1"/>
    <n v="25"/>
    <n v="0"/>
    <n v="1"/>
    <n v="25"/>
    <n v="3"/>
    <n v="1"/>
    <n v="0"/>
    <n v="1"/>
    <m/>
    <d v="2014-02-25T00:00:00"/>
    <s v="To be realised"/>
    <n v="5"/>
    <n v="10"/>
    <n v="5"/>
    <n v="0"/>
    <n v="0"/>
    <x v="1"/>
    <s v="project gap"/>
    <n v="0"/>
    <n v="0"/>
    <n v="1"/>
    <s v="Excellent coverage"/>
    <n v="0"/>
    <x v="0"/>
    <m/>
  </r>
  <r>
    <x v="1"/>
    <s v="MMR001CMP192"/>
    <x v="1"/>
    <x v="19"/>
    <n v="96.339590000000001"/>
    <n v="25.617998"/>
    <x v="0"/>
    <x v="0"/>
    <n v="17"/>
    <n v="63"/>
    <n v="63"/>
    <x v="1"/>
    <s v="Shalom"/>
    <x v="0"/>
    <x v="0"/>
    <s v="Gap"/>
    <m/>
    <m/>
    <s v="Focal NGO"/>
    <x v="0"/>
    <n v="0"/>
    <n v="0"/>
    <s v="No"/>
    <n v="1"/>
    <n v="0"/>
    <n v="2000"/>
    <n v="0"/>
    <n v="0"/>
    <n v="1"/>
    <n v="63"/>
    <n v="1"/>
    <n v="63"/>
    <n v="1"/>
    <n v="63"/>
    <x v="0"/>
    <n v="0"/>
    <n v="0"/>
    <n v="0"/>
    <n v="0"/>
    <n v="0"/>
    <n v="1"/>
    <n v="63"/>
    <m/>
    <n v="2"/>
    <n v="2"/>
    <n v="3"/>
    <x v="1"/>
    <n v="1"/>
    <n v="63"/>
    <n v="4.7619047619047672E-2"/>
    <n v="3.0000000000000036"/>
    <n v="0.95238095238095233"/>
    <n v="60"/>
    <n v="0"/>
    <n v="1"/>
    <n v="63"/>
    <n v="0.14999999999999991"/>
    <n v="2"/>
    <x v="0"/>
    <n v="1"/>
    <n v="63"/>
    <n v="0"/>
    <n v="1"/>
    <n v="63"/>
    <n v="4"/>
    <n v="1"/>
    <n v="0"/>
    <n v="1"/>
    <m/>
    <d v="2014-02-25T00:00:00"/>
    <s v="To be realised"/>
    <n v="17"/>
    <n v="10"/>
    <n v="17"/>
    <n v="0"/>
    <n v="0"/>
    <x v="1"/>
    <s v="project gap"/>
    <n v="0"/>
    <n v="0"/>
    <n v="2"/>
    <s v="Excellent coverage"/>
    <n v="0"/>
    <x v="0"/>
    <m/>
  </r>
  <r>
    <x v="1"/>
    <s v="MMR001CMP103"/>
    <x v="1"/>
    <x v="20"/>
    <n v="96.341352999999998"/>
    <n v="25.613894999999999"/>
    <x v="0"/>
    <x v="0"/>
    <n v="55"/>
    <n v="272"/>
    <n v="272"/>
    <x v="0"/>
    <s v="KMSS"/>
    <x v="2"/>
    <x v="0"/>
    <s v="Gap"/>
    <m/>
    <m/>
    <s v="Focal NGO"/>
    <x v="0"/>
    <n v="0"/>
    <n v="0"/>
    <s v="No"/>
    <n v="2"/>
    <n v="0"/>
    <n v="3000"/>
    <n v="0"/>
    <n v="0"/>
    <n v="1"/>
    <n v="272"/>
    <n v="1"/>
    <n v="272"/>
    <n v="1"/>
    <n v="272"/>
    <x v="0"/>
    <n v="0"/>
    <n v="0"/>
    <n v="0"/>
    <n v="0"/>
    <n v="0"/>
    <n v="1"/>
    <n v="272"/>
    <m/>
    <n v="5"/>
    <n v="0"/>
    <n v="10"/>
    <x v="2"/>
    <n v="0.73529411764705888"/>
    <n v="200"/>
    <n v="0"/>
    <n v="0"/>
    <n v="0.73529411764705888"/>
    <n v="200"/>
    <n v="0"/>
    <n v="1"/>
    <n v="272"/>
    <n v="3.5999999999999996"/>
    <n v="2"/>
    <x v="0"/>
    <n v="0.73529411764705888"/>
    <n v="200"/>
    <n v="0.7200000000000002"/>
    <n v="0.74"/>
    <n v="201.28"/>
    <n v="3"/>
    <n v="1"/>
    <n v="0"/>
    <n v="1"/>
    <m/>
    <d v="2014-06-27T00:00:00"/>
    <d v="2015-06-27T00:00:00"/>
    <n v="55"/>
    <n v="2"/>
    <n v="0"/>
    <n v="1"/>
    <n v="272"/>
    <x v="2"/>
    <m/>
    <n v="0"/>
    <n v="0"/>
    <n v="0"/>
    <s v="No coverage"/>
    <n v="0"/>
    <x v="1"/>
    <s v="Previously WASH team Myitkyina arrive to this camp to take HE 1 time per 3 month"/>
  </r>
  <r>
    <x v="1"/>
    <s v="MMR001CMP182"/>
    <x v="1"/>
    <x v="21"/>
    <n v="96.279200000000003"/>
    <n v="25.56551"/>
    <x v="0"/>
    <x v="0"/>
    <n v="11"/>
    <n v="42"/>
    <n v="42"/>
    <x v="1"/>
    <s v="Shalom"/>
    <x v="0"/>
    <x v="0"/>
    <s v="Gap"/>
    <m/>
    <m/>
    <s v="Focal NGO"/>
    <x v="0"/>
    <n v="0"/>
    <n v="0"/>
    <s v="No"/>
    <n v="1"/>
    <n v="0"/>
    <n v="1600"/>
    <n v="0"/>
    <n v="0"/>
    <n v="1"/>
    <n v="42"/>
    <n v="1"/>
    <n v="42"/>
    <n v="1"/>
    <n v="42"/>
    <x v="0"/>
    <n v="0"/>
    <n v="0"/>
    <n v="0"/>
    <n v="0"/>
    <n v="0"/>
    <n v="1"/>
    <n v="42"/>
    <m/>
    <n v="1"/>
    <n v="2"/>
    <n v="2"/>
    <x v="2"/>
    <n v="1"/>
    <n v="42"/>
    <n v="4.7619047619047672E-2"/>
    <n v="2.0000000000000022"/>
    <n v="0.95238095238095233"/>
    <n v="40"/>
    <n v="0"/>
    <n v="1"/>
    <n v="42"/>
    <n v="0.10000000000000009"/>
    <n v="2"/>
    <x v="1"/>
    <n v="1"/>
    <n v="42"/>
    <n v="0"/>
    <n v="1"/>
    <n v="42"/>
    <n v="6"/>
    <n v="1"/>
    <n v="0"/>
    <n v="1"/>
    <m/>
    <d v="2014-02-25T00:00:00"/>
    <s v="To be realised"/>
    <n v="11"/>
    <n v="10"/>
    <n v="11"/>
    <n v="0"/>
    <n v="0"/>
    <x v="1"/>
    <s v="project gap"/>
    <n v="0"/>
    <n v="0"/>
    <n v="2"/>
    <s v="Excellent coverage"/>
    <n v="0"/>
    <x v="0"/>
    <m/>
  </r>
  <r>
    <x v="1"/>
    <s v="MMR001CMP183"/>
    <x v="1"/>
    <x v="22"/>
    <n v="96.353030000000004"/>
    <n v="25.668399999999998"/>
    <x v="0"/>
    <x v="0"/>
    <n v="8"/>
    <n v="40"/>
    <n v="40"/>
    <x v="1"/>
    <s v="Shalom"/>
    <x v="0"/>
    <x v="0"/>
    <s v="Gap"/>
    <m/>
    <m/>
    <s v="Focal NGO"/>
    <x v="0"/>
    <n v="0"/>
    <n v="0"/>
    <s v="No"/>
    <n v="0"/>
    <n v="0"/>
    <n v="3750"/>
    <n v="0"/>
    <n v="0"/>
    <n v="1"/>
    <n v="40"/>
    <n v="1"/>
    <n v="40"/>
    <n v="1"/>
    <n v="40"/>
    <x v="0"/>
    <n v="0"/>
    <n v="0"/>
    <n v="0.1"/>
    <n v="0"/>
    <n v="0"/>
    <n v="1"/>
    <n v="40"/>
    <m/>
    <n v="8"/>
    <n v="0"/>
    <n v="8"/>
    <x v="0"/>
    <n v="1"/>
    <n v="40"/>
    <n v="0"/>
    <n v="0"/>
    <n v="1"/>
    <n v="40"/>
    <n v="0"/>
    <n v="1"/>
    <n v="40"/>
    <n v="0"/>
    <n v="2"/>
    <x v="1"/>
    <n v="1"/>
    <n v="40"/>
    <n v="0"/>
    <n v="1"/>
    <n v="40"/>
    <n v="2"/>
    <n v="1"/>
    <n v="0"/>
    <n v="1"/>
    <m/>
    <d v="2014-02-25T00:00:00"/>
    <s v="To be realised"/>
    <n v="8"/>
    <n v="10"/>
    <n v="8"/>
    <n v="0"/>
    <n v="0"/>
    <x v="1"/>
    <s v="project gap"/>
    <n v="0"/>
    <n v="0"/>
    <n v="2"/>
    <s v="Excellent coverage"/>
    <n v="0"/>
    <x v="0"/>
    <m/>
  </r>
  <r>
    <x v="1"/>
    <s v="MMR001CMP184"/>
    <x v="1"/>
    <x v="23"/>
    <n v="96.286680000000004"/>
    <n v="25.577559999999998"/>
    <x v="0"/>
    <x v="0"/>
    <n v="40"/>
    <n v="190"/>
    <n v="190"/>
    <x v="1"/>
    <s v="Shalom"/>
    <x v="0"/>
    <x v="0"/>
    <s v="Gap"/>
    <m/>
    <m/>
    <s v="Focal NGO"/>
    <x v="0"/>
    <n v="0"/>
    <n v="0"/>
    <s v="No"/>
    <n v="1"/>
    <n v="0"/>
    <n v="4800"/>
    <n v="0"/>
    <n v="0"/>
    <n v="1"/>
    <n v="190"/>
    <n v="1"/>
    <n v="190"/>
    <n v="1"/>
    <n v="190"/>
    <x v="0"/>
    <n v="0"/>
    <n v="0"/>
    <n v="0"/>
    <n v="0"/>
    <n v="0"/>
    <n v="1"/>
    <n v="190"/>
    <m/>
    <n v="9"/>
    <n v="5"/>
    <n v="4"/>
    <x v="2"/>
    <n v="0.94736842105263153"/>
    <n v="180"/>
    <n v="0.52631578947368418"/>
    <n v="100"/>
    <n v="0.42105263157894735"/>
    <n v="80"/>
    <n v="0"/>
    <n v="0.95"/>
    <n v="180.5"/>
    <n v="5.5"/>
    <n v="3"/>
    <x v="1"/>
    <n v="1"/>
    <n v="190"/>
    <n v="0"/>
    <n v="1"/>
    <n v="190"/>
    <n v="3"/>
    <n v="1"/>
    <n v="0"/>
    <n v="1"/>
    <s v="land limited for more semi-permanent latrine construciton, 6 semi permanent latrine already existed, church committee let them to use in 3, but if trouble, they church committee can share"/>
    <d v="2014-02-25T00:00:00"/>
    <s v="To be realised"/>
    <n v="40"/>
    <n v="10"/>
    <n v="40"/>
    <n v="0"/>
    <n v="0"/>
    <x v="1"/>
    <s v="project gap"/>
    <n v="0"/>
    <n v="0"/>
    <n v="2"/>
    <s v="Excellent coverage"/>
    <n v="0"/>
    <x v="0"/>
    <m/>
  </r>
  <r>
    <x v="1"/>
    <s v="MMR001CMP105"/>
    <x v="1"/>
    <x v="24"/>
    <n v="96.306910999999999"/>
    <n v="25.599250000000001"/>
    <x v="0"/>
    <x v="0"/>
    <n v="22"/>
    <n v="80"/>
    <n v="80"/>
    <x v="1"/>
    <s v="Shalom"/>
    <x v="0"/>
    <x v="0"/>
    <s v="Gap"/>
    <m/>
    <m/>
    <s v="Focal NGO"/>
    <x v="0"/>
    <n v="0"/>
    <n v="0"/>
    <s v="No"/>
    <n v="0"/>
    <n v="0"/>
    <n v="5600"/>
    <n v="0"/>
    <n v="0"/>
    <n v="1"/>
    <n v="80"/>
    <n v="1"/>
    <n v="80"/>
    <n v="1"/>
    <n v="80"/>
    <x v="0"/>
    <n v="0"/>
    <n v="0"/>
    <n v="0.2"/>
    <n v="0"/>
    <n v="0"/>
    <n v="1"/>
    <n v="80"/>
    <m/>
    <n v="6"/>
    <n v="3"/>
    <n v="1"/>
    <x v="0"/>
    <n v="1"/>
    <n v="80"/>
    <n v="0.75"/>
    <n v="60"/>
    <n v="0.25"/>
    <n v="20"/>
    <n v="0"/>
    <n v="1"/>
    <n v="80"/>
    <n v="3"/>
    <n v="2"/>
    <x v="0"/>
    <n v="1"/>
    <n v="80"/>
    <n v="0"/>
    <n v="1"/>
    <n v="80"/>
    <n v="3"/>
    <n v="1"/>
    <n v="0"/>
    <n v="1"/>
    <s v="due to land owner filled the land the bathing sapce construction have removed"/>
    <d v="2014-02-25T00:00:00"/>
    <s v="To be realised"/>
    <n v="22"/>
    <n v="10"/>
    <n v="22"/>
    <n v="0"/>
    <n v="0"/>
    <x v="1"/>
    <s v="project gap"/>
    <n v="0"/>
    <n v="0"/>
    <n v="2"/>
    <s v="Excellent coverage"/>
    <n v="0"/>
    <x v="0"/>
    <m/>
  </r>
  <r>
    <x v="2"/>
    <s v="MMR001CMP074"/>
    <x v="0"/>
    <x v="25"/>
    <n v="98.144502500000002"/>
    <n v="26.890058"/>
    <x v="0"/>
    <x v="0"/>
    <n v="11"/>
    <n v="17"/>
    <n v="17"/>
    <x v="1"/>
    <m/>
    <x v="3"/>
    <x v="1"/>
    <m/>
    <m/>
    <m/>
    <s v="Not documented"/>
    <x v="1"/>
    <n v="0"/>
    <n v="0"/>
    <s v="No"/>
    <n v="0"/>
    <n v="0"/>
    <n v="0"/>
    <n v="0"/>
    <n v="0"/>
    <n v="0"/>
    <n v="0"/>
    <n v="0"/>
    <n v="0"/>
    <n v="0"/>
    <n v="0"/>
    <x v="1"/>
    <n v="0"/>
    <n v="0"/>
    <n v="4.2500000000000003E-2"/>
    <n v="0"/>
    <n v="0"/>
    <n v="0"/>
    <n v="0"/>
    <s v="Not reachable location"/>
    <n v="0"/>
    <n v="0"/>
    <n v="0"/>
    <x v="2"/>
    <n v="0"/>
    <n v="0"/>
    <n v="0"/>
    <n v="0"/>
    <n v="0"/>
    <n v="0"/>
    <n v="0"/>
    <n v="0"/>
    <n v="0"/>
    <n v="0.85"/>
    <n v="0"/>
    <x v="1"/>
    <n v="0"/>
    <n v="0"/>
    <n v="0.17"/>
    <n v="0"/>
    <n v="0"/>
    <n v="0"/>
    <n v="0"/>
    <n v="0.17"/>
    <n v="0"/>
    <s v="inforamtion gap"/>
    <m/>
    <s v="To be realised"/>
    <n v="0"/>
    <n v="0"/>
    <n v="11"/>
    <n v="0"/>
    <n v="0"/>
    <x v="4"/>
    <m/>
    <n v="0"/>
    <n v="0"/>
    <n v="0"/>
    <s v="No coverage"/>
    <n v="0"/>
    <x v="3"/>
    <s v="information gap (hard access)"/>
  </r>
  <r>
    <x v="3"/>
    <s v="MMR001CMP221"/>
    <x v="0"/>
    <x v="26"/>
    <n v="97.589449999999999"/>
    <n v="27.273710000000001"/>
    <x v="0"/>
    <x v="0"/>
    <n v="8"/>
    <n v="35"/>
    <n v="35"/>
    <x v="1"/>
    <s v="KBC"/>
    <x v="1"/>
    <x v="0"/>
    <s v="Gap"/>
    <m/>
    <m/>
    <s v="Focal NGO"/>
    <x v="0"/>
    <n v="0"/>
    <n v="0"/>
    <s v="No"/>
    <n v="0"/>
    <n v="0"/>
    <n v="3000"/>
    <n v="0"/>
    <n v="0"/>
    <n v="1"/>
    <n v="35"/>
    <n v="1"/>
    <n v="35"/>
    <n v="1"/>
    <n v="35"/>
    <x v="0"/>
    <n v="0"/>
    <n v="0"/>
    <n v="8.7499999999999994E-2"/>
    <n v="0"/>
    <n v="0"/>
    <n v="1"/>
    <n v="35"/>
    <s v="this place have a plan to relocate into Lone Sut camp"/>
    <n v="1"/>
    <n v="1"/>
    <n v="0"/>
    <x v="2"/>
    <n v="0.5714285714285714"/>
    <n v="20"/>
    <n v="0.5714285714285714"/>
    <n v="20"/>
    <n v="0"/>
    <n v="0"/>
    <n v="0"/>
    <n v="0.56999999999999995"/>
    <n v="19.95"/>
    <n v="1.75"/>
    <n v="0"/>
    <x v="1"/>
    <n v="0"/>
    <n v="0"/>
    <n v="0.35"/>
    <n v="0"/>
    <n v="0"/>
    <n v="0"/>
    <n v="0"/>
    <n v="0.35"/>
    <n v="0"/>
    <m/>
    <m/>
    <s v="To be realised"/>
    <n v="0"/>
    <n v="0"/>
    <n v="8"/>
    <n v="0"/>
    <n v="0"/>
    <x v="4"/>
    <m/>
    <n v="0"/>
    <n v="0"/>
    <n v="0"/>
    <s v="No coverage"/>
    <n v="0"/>
    <x v="3"/>
    <s v="information gap (hard access)"/>
  </r>
  <r>
    <x v="4"/>
    <s v="MMR001CMP078"/>
    <x v="2"/>
    <x v="27"/>
    <n v="96.922619999999995"/>
    <n v="25.305669999999999"/>
    <x v="0"/>
    <x v="0"/>
    <n v="17"/>
    <n v="69"/>
    <n v="69"/>
    <x v="1"/>
    <s v="KBC"/>
    <x v="1"/>
    <x v="0"/>
    <d v="2015-06-30T00:00:00"/>
    <s v="OXFAM"/>
    <d v="2015-06-30T00:00:00"/>
    <s v="Focal NGO"/>
    <x v="0"/>
    <n v="0"/>
    <n v="0"/>
    <s v="No"/>
    <n v="0"/>
    <n v="2"/>
    <n v="3600"/>
    <n v="0"/>
    <n v="1"/>
    <n v="1"/>
    <n v="69"/>
    <n v="1"/>
    <n v="69"/>
    <n v="1"/>
    <n v="69"/>
    <x v="0"/>
    <n v="0"/>
    <n v="0"/>
    <n v="0"/>
    <n v="17"/>
    <n v="0"/>
    <n v="1"/>
    <n v="69"/>
    <m/>
    <n v="0"/>
    <n v="0"/>
    <n v="6"/>
    <x v="0"/>
    <n v="1"/>
    <n v="69"/>
    <n v="0"/>
    <n v="0"/>
    <n v="1"/>
    <n v="69"/>
    <n v="0"/>
    <n v="1"/>
    <n v="69"/>
    <n v="0"/>
    <n v="2"/>
    <x v="0"/>
    <n v="1"/>
    <n v="69"/>
    <n v="0"/>
    <n v="1"/>
    <n v="69"/>
    <n v="6"/>
    <n v="1"/>
    <n v="0"/>
    <n v="1"/>
    <m/>
    <d v="2015-02-18T00:00:00"/>
    <d v="2016-02-18T00:00:00"/>
    <n v="17"/>
    <n v="3"/>
    <n v="0"/>
    <n v="1"/>
    <n v="69"/>
    <x v="0"/>
    <m/>
    <n v="0.8"/>
    <n v="55.2"/>
    <n v="1"/>
    <s v="Excellent coverage"/>
    <n v="0"/>
    <x v="1"/>
    <m/>
  </r>
  <r>
    <x v="4"/>
    <s v="MMR001CMP077"/>
    <x v="2"/>
    <x v="28"/>
    <n v="96.942279999999997"/>
    <n v="25.296579999999999"/>
    <x v="0"/>
    <x v="0"/>
    <n v="12"/>
    <n v="48"/>
    <n v="48"/>
    <x v="1"/>
    <s v="KBC"/>
    <x v="1"/>
    <x v="0"/>
    <d v="2015-06-30T00:00:00"/>
    <s v="OXFAM"/>
    <d v="2015-06-30T00:00:00"/>
    <s v="Focal NGO"/>
    <x v="0"/>
    <n v="0"/>
    <n v="0"/>
    <s v="No"/>
    <n v="0"/>
    <n v="2"/>
    <n v="3600"/>
    <n v="0"/>
    <n v="1"/>
    <n v="1"/>
    <n v="48"/>
    <n v="1"/>
    <n v="48"/>
    <n v="1"/>
    <n v="48"/>
    <x v="0"/>
    <n v="0"/>
    <n v="0"/>
    <n v="0"/>
    <n v="12"/>
    <n v="0"/>
    <n v="1"/>
    <n v="48"/>
    <m/>
    <n v="0"/>
    <n v="0"/>
    <n v="4"/>
    <x v="0"/>
    <n v="1"/>
    <n v="48"/>
    <n v="0"/>
    <n v="0"/>
    <n v="1"/>
    <n v="48"/>
    <n v="0"/>
    <n v="1"/>
    <n v="48"/>
    <n v="0"/>
    <n v="2"/>
    <x v="1"/>
    <n v="1"/>
    <n v="48"/>
    <n v="0"/>
    <n v="1"/>
    <n v="48"/>
    <n v="3"/>
    <n v="1"/>
    <n v="0"/>
    <n v="1"/>
    <m/>
    <d v="2015-02-18T00:00:00"/>
    <d v="2016-02-18T00:00:00"/>
    <n v="12"/>
    <n v="3"/>
    <n v="0"/>
    <n v="1"/>
    <n v="48"/>
    <x v="0"/>
    <m/>
    <n v="0.8"/>
    <n v="38.400000000000006"/>
    <n v="1"/>
    <s v="Excellent coverage"/>
    <n v="0"/>
    <x v="1"/>
    <m/>
  </r>
  <r>
    <x v="4"/>
    <s v="MMR001CMP079"/>
    <x v="2"/>
    <x v="29"/>
    <n v="96.948740000000001"/>
    <n v="25.30442"/>
    <x v="0"/>
    <x v="0"/>
    <n v="15"/>
    <n v="47"/>
    <n v="47"/>
    <x v="1"/>
    <s v="KBC"/>
    <x v="1"/>
    <x v="0"/>
    <d v="2015-06-30T00:00:00"/>
    <s v="OXFAM"/>
    <d v="2015-06-30T00:00:00"/>
    <s v="Focal NGO"/>
    <x v="0"/>
    <n v="0"/>
    <n v="0"/>
    <s v="No"/>
    <n v="1"/>
    <n v="2"/>
    <n v="3600"/>
    <n v="0"/>
    <n v="1"/>
    <n v="1"/>
    <n v="47"/>
    <n v="1"/>
    <n v="47"/>
    <n v="1"/>
    <n v="47"/>
    <x v="0"/>
    <n v="0"/>
    <n v="0"/>
    <n v="0"/>
    <n v="15"/>
    <n v="0"/>
    <n v="1"/>
    <n v="47"/>
    <m/>
    <n v="0"/>
    <n v="0"/>
    <n v="3"/>
    <x v="0"/>
    <n v="1"/>
    <n v="47"/>
    <n v="0"/>
    <n v="0"/>
    <n v="1"/>
    <n v="47"/>
    <n v="0"/>
    <n v="1"/>
    <n v="47"/>
    <n v="0"/>
    <n v="2"/>
    <x v="0"/>
    <n v="1"/>
    <n v="47"/>
    <n v="0"/>
    <n v="1"/>
    <n v="47"/>
    <n v="6"/>
    <n v="1"/>
    <n v="0"/>
    <n v="1"/>
    <m/>
    <d v="2015-02-18T00:00:00"/>
    <d v="2016-02-18T00:00:00"/>
    <n v="15"/>
    <n v="3"/>
    <n v="0"/>
    <n v="1"/>
    <n v="47"/>
    <x v="0"/>
    <m/>
    <n v="0.8"/>
    <n v="37.6"/>
    <n v="1"/>
    <s v="Excellent coverage"/>
    <n v="0"/>
    <x v="1"/>
    <m/>
  </r>
  <r>
    <x v="5"/>
    <s v="MMR001CMP152"/>
    <x v="2"/>
    <x v="30"/>
    <n v="96.364949999999993"/>
    <n v="24.998349999999999"/>
    <x v="0"/>
    <x v="0"/>
    <n v="19"/>
    <n v="84"/>
    <n v="104"/>
    <x v="1"/>
    <s v="KBC"/>
    <x v="1"/>
    <x v="0"/>
    <d v="2015-06-30T00:00:00"/>
    <s v="OXFAM"/>
    <d v="2015-06-30T00:00:00"/>
    <s v="Focal NGO"/>
    <x v="0"/>
    <n v="0"/>
    <n v="0"/>
    <s v="No"/>
    <n v="0"/>
    <n v="1"/>
    <n v="7200"/>
    <n v="0"/>
    <n v="1"/>
    <n v="1"/>
    <n v="104"/>
    <n v="1"/>
    <n v="104"/>
    <n v="1"/>
    <n v="104"/>
    <x v="0"/>
    <n v="0"/>
    <n v="0"/>
    <n v="0"/>
    <n v="19"/>
    <n v="0"/>
    <n v="1"/>
    <n v="104"/>
    <m/>
    <n v="0"/>
    <n v="0"/>
    <n v="5"/>
    <x v="0"/>
    <n v="0.96153846153846156"/>
    <n v="100"/>
    <n v="0"/>
    <n v="0"/>
    <n v="0.96153846153846156"/>
    <n v="100"/>
    <n v="0"/>
    <n v="0.96"/>
    <n v="99.84"/>
    <n v="0.20000000000000018"/>
    <n v="2"/>
    <x v="0"/>
    <n v="1"/>
    <n v="104"/>
    <n v="0"/>
    <n v="1"/>
    <n v="104"/>
    <n v="2"/>
    <n v="1"/>
    <n v="0"/>
    <n v="1"/>
    <s v="land space limited"/>
    <d v="2015-02-18T00:00:00"/>
    <d v="2016-02-18T00:00:00"/>
    <n v="19"/>
    <n v="3"/>
    <n v="0"/>
    <n v="1"/>
    <n v="104"/>
    <x v="0"/>
    <m/>
    <n v="0.8"/>
    <n v="83.2"/>
    <n v="1"/>
    <s v="Excellent coverage"/>
    <n v="0"/>
    <x v="1"/>
    <m/>
  </r>
  <r>
    <x v="5"/>
    <s v="MMR001CMP080"/>
    <x v="2"/>
    <x v="31"/>
    <n v="96.367059999999995"/>
    <n v="24.764800000000001"/>
    <x v="0"/>
    <x v="0"/>
    <n v="12"/>
    <n v="51"/>
    <n v="51"/>
    <x v="1"/>
    <s v="KMSS"/>
    <x v="2"/>
    <x v="0"/>
    <s v="Gap"/>
    <m/>
    <m/>
    <s v="Focal NGO"/>
    <x v="0"/>
    <n v="0"/>
    <n v="0"/>
    <s v="No"/>
    <n v="1"/>
    <n v="0"/>
    <n v="3000"/>
    <n v="0"/>
    <n v="0"/>
    <n v="1"/>
    <n v="51"/>
    <n v="1"/>
    <n v="51"/>
    <n v="1"/>
    <n v="51"/>
    <x v="0"/>
    <n v="0"/>
    <n v="0"/>
    <n v="0"/>
    <n v="0"/>
    <n v="0"/>
    <n v="1"/>
    <n v="51"/>
    <m/>
    <n v="11"/>
    <n v="0"/>
    <n v="3"/>
    <x v="1"/>
    <n v="1"/>
    <n v="51"/>
    <n v="0"/>
    <n v="0"/>
    <n v="1"/>
    <n v="51"/>
    <n v="0"/>
    <n v="1"/>
    <n v="51"/>
    <n v="0"/>
    <n v="2"/>
    <x v="0"/>
    <n v="1"/>
    <n v="51"/>
    <n v="0"/>
    <n v="1"/>
    <n v="51"/>
    <n v="1"/>
    <n v="1"/>
    <n v="0"/>
    <n v="1"/>
    <m/>
    <d v="2014-06-27T00:00:00"/>
    <d v="2015-06-27T00:00:00"/>
    <n v="12"/>
    <n v="2"/>
    <n v="0"/>
    <n v="1"/>
    <n v="51"/>
    <x v="2"/>
    <m/>
    <n v="0"/>
    <n v="0"/>
    <n v="0"/>
    <s v="No coverage"/>
    <n v="0"/>
    <x v="1"/>
    <m/>
  </r>
  <r>
    <x v="6"/>
    <s v="MMR001CMP123"/>
    <x v="3"/>
    <x v="32"/>
    <n v="97.537099999999995"/>
    <n v="24.461033"/>
    <x v="0"/>
    <x v="1"/>
    <n v="117"/>
    <n v="620"/>
    <n v="620"/>
    <x v="0"/>
    <s v="IRRC"/>
    <x v="2"/>
    <x v="0"/>
    <s v="Gap"/>
    <m/>
    <m/>
    <s v="Focal NGO"/>
    <x v="0"/>
    <n v="0"/>
    <n v="0"/>
    <s v="No"/>
    <n v="0"/>
    <n v="0"/>
    <n v="14568"/>
    <n v="0"/>
    <n v="1"/>
    <n v="1"/>
    <n v="620"/>
    <n v="1"/>
    <n v="620"/>
    <n v="1"/>
    <n v="620"/>
    <x v="0"/>
    <n v="0"/>
    <n v="0"/>
    <n v="1.55"/>
    <n v="117"/>
    <n v="0"/>
    <n v="1"/>
    <n v="620"/>
    <s v="118 chinese water filter  distributed in 2014"/>
    <n v="62"/>
    <n v="60"/>
    <n v="37"/>
    <x v="3"/>
    <n v="1"/>
    <n v="620"/>
    <n v="0"/>
    <n v="0"/>
    <n v="1"/>
    <n v="620"/>
    <n v="0"/>
    <n v="1"/>
    <n v="620"/>
    <n v="0"/>
    <n v="4"/>
    <x v="0"/>
    <n v="0.64516129032258063"/>
    <n v="400"/>
    <n v="2.2000000000000002"/>
    <n v="0.66"/>
    <n v="409.20000000000005"/>
    <n v="7"/>
    <n v="1"/>
    <n v="0"/>
    <n v="1"/>
    <m/>
    <d v="2015-03-02T00:00:00"/>
    <d v="2016-03-01T00:00:00"/>
    <n v="117"/>
    <n v="3"/>
    <n v="0"/>
    <n v="1"/>
    <n v="620"/>
    <x v="0"/>
    <m/>
    <n v="0"/>
    <n v="0"/>
    <n v="0"/>
    <s v="No coverage"/>
    <n v="0"/>
    <x v="1"/>
    <m/>
  </r>
  <r>
    <x v="6"/>
    <s v="MMR001CMP122"/>
    <x v="4"/>
    <x v="33"/>
    <n v="97.573166999999998"/>
    <n v="24.661466999999998"/>
    <x v="0"/>
    <x v="1"/>
    <n v="479"/>
    <n v="2288"/>
    <n v="2288"/>
    <x v="2"/>
    <s v="KMSS"/>
    <x v="4"/>
    <x v="0"/>
    <d v="2015-04-30T00:00:00"/>
    <m/>
    <m/>
    <s v="Focal NGO"/>
    <x v="0"/>
    <n v="0"/>
    <n v="0"/>
    <s v="No"/>
    <n v="3"/>
    <n v="0"/>
    <n v="34155"/>
    <n v="0"/>
    <n v="1"/>
    <n v="1"/>
    <n v="2288"/>
    <n v="1"/>
    <n v="2288"/>
    <n v="1"/>
    <n v="2288"/>
    <x v="0"/>
    <n v="0"/>
    <n v="0"/>
    <n v="2.7199999999999998"/>
    <n v="479"/>
    <n v="0"/>
    <n v="1"/>
    <n v="2288"/>
    <m/>
    <n v="0"/>
    <n v="70"/>
    <n v="148"/>
    <x v="2"/>
    <n v="1"/>
    <n v="2288"/>
    <n v="0"/>
    <n v="0"/>
    <n v="1"/>
    <n v="2288"/>
    <n v="0"/>
    <n v="1"/>
    <n v="2288"/>
    <n v="0"/>
    <n v="6"/>
    <x v="1"/>
    <n v="0.26223776223776224"/>
    <n v="600"/>
    <n v="16.88"/>
    <n v="0.26"/>
    <n v="594.88"/>
    <n v="28"/>
    <n v="1"/>
    <n v="0"/>
    <n v="1"/>
    <m/>
    <d v="2013-10-12T00:00:00"/>
    <s v="To be realised"/>
    <n v="479"/>
    <n v="18"/>
    <n v="479"/>
    <n v="0"/>
    <n v="0"/>
    <x v="0"/>
    <s v="Metta only distributed refill HK in 2015"/>
    <n v="0.5"/>
    <n v="1144"/>
    <n v="2"/>
    <s v="Low coverage"/>
    <n v="1"/>
    <x v="0"/>
    <m/>
  </r>
  <r>
    <x v="7"/>
    <s v="MMR001CMP012"/>
    <x v="5"/>
    <x v="34"/>
    <n v="97.385101000000006"/>
    <n v="25.399795999999998"/>
    <x v="0"/>
    <x v="0"/>
    <n v="6"/>
    <n v="27"/>
    <n v="27"/>
    <x v="1"/>
    <s v="KBC"/>
    <x v="1"/>
    <x v="0"/>
    <d v="2015-06-30T00:00:00"/>
    <s v="OXFAM"/>
    <d v="2015-06-30T00:00:00"/>
    <s v="Focal NGO"/>
    <x v="0"/>
    <n v="0"/>
    <n v="0"/>
    <s v="No"/>
    <n v="0"/>
    <n v="1"/>
    <n v="0"/>
    <n v="0"/>
    <n v="1"/>
    <n v="1"/>
    <n v="27"/>
    <n v="1"/>
    <n v="27"/>
    <n v="1"/>
    <n v="27"/>
    <x v="0"/>
    <n v="0"/>
    <n v="0"/>
    <n v="0"/>
    <n v="6"/>
    <n v="0"/>
    <n v="1"/>
    <n v="27"/>
    <m/>
    <n v="0"/>
    <n v="0"/>
    <n v="1"/>
    <x v="0"/>
    <n v="0.7407407407407407"/>
    <n v="20"/>
    <n v="0"/>
    <n v="0"/>
    <n v="0.7407407407407407"/>
    <n v="20"/>
    <n v="0"/>
    <n v="0.74"/>
    <n v="19.98"/>
    <n v="0.35000000000000009"/>
    <n v="1"/>
    <x v="1"/>
    <n v="1"/>
    <n v="27"/>
    <n v="0"/>
    <n v="1"/>
    <n v="27"/>
    <n v="2"/>
    <n v="1"/>
    <n v="0"/>
    <n v="1"/>
    <s v="1 SPL already closed bcoz of nearing the dining room (can move to other place)"/>
    <d v="2015-02-18T00:00:00"/>
    <d v="2016-02-18T00:00:00"/>
    <n v="6"/>
    <n v="3"/>
    <n v="0"/>
    <n v="1"/>
    <n v="27"/>
    <x v="0"/>
    <m/>
    <n v="0.8"/>
    <n v="21.6"/>
    <n v="1"/>
    <s v="Excellent coverage"/>
    <n v="0"/>
    <x v="1"/>
    <m/>
  </r>
  <r>
    <x v="7"/>
    <s v="MMR001CMP010"/>
    <x v="5"/>
    <x v="35"/>
    <n v="97.383056999999994"/>
    <n v="25.395994000000002"/>
    <x v="0"/>
    <x v="0"/>
    <n v="6"/>
    <n v="35"/>
    <n v="35"/>
    <x v="1"/>
    <s v="KBC"/>
    <x v="1"/>
    <x v="0"/>
    <d v="2015-06-30T00:00:00"/>
    <s v="OXFAM"/>
    <d v="2015-06-30T00:00:00"/>
    <s v="Focal NGO"/>
    <x v="0"/>
    <n v="0"/>
    <n v="0"/>
    <s v="No"/>
    <n v="0"/>
    <n v="1"/>
    <n v="0"/>
    <n v="0"/>
    <n v="1"/>
    <n v="1"/>
    <n v="35"/>
    <n v="1"/>
    <n v="35"/>
    <n v="1"/>
    <n v="35"/>
    <x v="0"/>
    <n v="0"/>
    <n v="0"/>
    <n v="0"/>
    <n v="6"/>
    <n v="0"/>
    <n v="1"/>
    <n v="35"/>
    <m/>
    <n v="0"/>
    <n v="0"/>
    <n v="3"/>
    <x v="0"/>
    <n v="1"/>
    <n v="35"/>
    <n v="0"/>
    <n v="0"/>
    <n v="1"/>
    <n v="35"/>
    <n v="0"/>
    <n v="1"/>
    <n v="35"/>
    <n v="0"/>
    <n v="1"/>
    <x v="1"/>
    <n v="1"/>
    <n v="35"/>
    <n v="0"/>
    <n v="1"/>
    <n v="35"/>
    <n v="3"/>
    <n v="1"/>
    <n v="0"/>
    <n v="1"/>
    <s v="HWS is not functioning, 1 SP was closed becoz of demage concrect ring"/>
    <d v="2015-02-18T00:00:00"/>
    <d v="2016-02-18T00:00:00"/>
    <n v="6"/>
    <n v="3"/>
    <n v="0"/>
    <n v="1"/>
    <n v="35"/>
    <x v="0"/>
    <m/>
    <n v="0.8"/>
    <n v="28"/>
    <n v="1"/>
    <s v="Excellent coverage"/>
    <n v="0"/>
    <x v="1"/>
    <m/>
  </r>
  <r>
    <x v="7"/>
    <s v="MMR001CMP011"/>
    <x v="5"/>
    <x v="36"/>
    <n v="97.381195000000005"/>
    <n v="25.396363999999998"/>
    <x v="0"/>
    <x v="0"/>
    <n v="8"/>
    <n v="26"/>
    <n v="26"/>
    <x v="1"/>
    <s v="KBC"/>
    <x v="1"/>
    <x v="0"/>
    <d v="2015-06-30T00:00:00"/>
    <s v="OXFAM"/>
    <d v="2015-06-30T00:00:00"/>
    <s v="Focal NGO"/>
    <x v="0"/>
    <n v="0"/>
    <n v="0"/>
    <s v="No"/>
    <n v="0"/>
    <n v="1"/>
    <n v="0"/>
    <n v="0"/>
    <n v="1"/>
    <n v="1"/>
    <n v="26"/>
    <n v="1"/>
    <n v="26"/>
    <n v="1"/>
    <n v="26"/>
    <x v="0"/>
    <n v="0"/>
    <n v="0"/>
    <n v="0"/>
    <n v="8"/>
    <n v="0"/>
    <n v="1"/>
    <n v="26"/>
    <m/>
    <n v="0"/>
    <n v="0"/>
    <n v="1"/>
    <x v="0"/>
    <n v="0.76923076923076927"/>
    <n v="20"/>
    <n v="0"/>
    <n v="0"/>
    <n v="0.76923076923076927"/>
    <n v="20"/>
    <n v="0"/>
    <n v="0.77"/>
    <n v="20.02"/>
    <n v="0.30000000000000004"/>
    <n v="1"/>
    <x v="1"/>
    <n v="1"/>
    <n v="26"/>
    <n v="0"/>
    <n v="1"/>
    <n v="26"/>
    <n v="3"/>
    <n v="1"/>
    <n v="0"/>
    <n v="1"/>
    <s v="HWS is not functioning, 1 latrien pit already exised , just to move the frame"/>
    <d v="2015-02-18T00:00:00"/>
    <d v="2016-02-18T00:00:00"/>
    <n v="8"/>
    <n v="3"/>
    <n v="0"/>
    <n v="1"/>
    <n v="26"/>
    <x v="0"/>
    <m/>
    <n v="0.8"/>
    <n v="20.8"/>
    <n v="1"/>
    <s v="Excellent coverage"/>
    <n v="0"/>
    <x v="1"/>
    <m/>
  </r>
  <r>
    <x v="7"/>
    <s v="MMR001CMP018"/>
    <x v="5"/>
    <x v="37"/>
    <n v="97.389778000000007"/>
    <n v="25.417733999999999"/>
    <x v="0"/>
    <x v="0"/>
    <n v="189"/>
    <n v="974"/>
    <n v="974"/>
    <x v="0"/>
    <s v="KBC"/>
    <x v="1"/>
    <x v="0"/>
    <d v="2015-06-30T00:00:00"/>
    <s v="OXFAM"/>
    <d v="2015-06-30T00:00:00"/>
    <s v="Focal NGO"/>
    <x v="0"/>
    <n v="0"/>
    <n v="0"/>
    <s v="No"/>
    <n v="1"/>
    <n v="9"/>
    <n v="3000"/>
    <n v="0"/>
    <n v="1"/>
    <n v="1"/>
    <n v="974"/>
    <n v="1"/>
    <n v="974"/>
    <n v="1"/>
    <n v="974"/>
    <x v="0"/>
    <n v="0"/>
    <n v="0"/>
    <n v="0"/>
    <n v="189"/>
    <n v="0"/>
    <n v="1"/>
    <n v="974"/>
    <m/>
    <n v="0"/>
    <n v="0"/>
    <n v="51"/>
    <x v="0"/>
    <n v="1"/>
    <n v="974"/>
    <n v="0"/>
    <n v="0"/>
    <n v="1"/>
    <n v="974"/>
    <n v="0"/>
    <n v="1"/>
    <n v="974"/>
    <n v="0"/>
    <n v="4"/>
    <x v="2"/>
    <n v="0.41067761806981518"/>
    <n v="400"/>
    <n v="5.74"/>
    <n v="0.41"/>
    <n v="399.34"/>
    <n v="15"/>
    <n v="1"/>
    <n v="0"/>
    <n v="1"/>
    <s v="although 15 hand washing station on this camp, they do not use all of these HWS now. "/>
    <d v="2015-02-18T00:00:00"/>
    <d v="2016-02-18T00:00:00"/>
    <n v="189"/>
    <n v="3"/>
    <n v="0"/>
    <n v="1"/>
    <n v="974"/>
    <x v="0"/>
    <m/>
    <n v="0.8"/>
    <n v="779.2"/>
    <n v="3"/>
    <s v="Excellent coverage"/>
    <n v="0"/>
    <x v="1"/>
    <m/>
  </r>
  <r>
    <x v="7"/>
    <s v="MMR001CMP019"/>
    <x v="5"/>
    <x v="38"/>
    <n v="97.373361000000003"/>
    <n v="25.403476999999999"/>
    <x v="0"/>
    <x v="0"/>
    <n v="106"/>
    <n v="468"/>
    <n v="468"/>
    <x v="0"/>
    <s v="KMSS"/>
    <x v="2"/>
    <x v="0"/>
    <s v="Gap"/>
    <m/>
    <m/>
    <s v="Focal NGO"/>
    <x v="0"/>
    <n v="0"/>
    <n v="0"/>
    <s v="No"/>
    <n v="1"/>
    <n v="3"/>
    <n v="3000"/>
    <n v="0"/>
    <n v="1"/>
    <n v="1"/>
    <n v="468"/>
    <n v="1"/>
    <n v="468"/>
    <n v="1"/>
    <n v="468"/>
    <x v="0"/>
    <n v="0"/>
    <n v="0"/>
    <n v="0"/>
    <n v="106"/>
    <n v="0"/>
    <n v="1"/>
    <n v="468"/>
    <s v="106 CWF distributed on 27th February 15"/>
    <n v="27"/>
    <n v="0"/>
    <n v="20"/>
    <x v="0"/>
    <n v="0.85470085470085466"/>
    <n v="400"/>
    <n v="0"/>
    <n v="0"/>
    <n v="0.85470085470085466"/>
    <n v="400"/>
    <n v="0"/>
    <n v="0.85"/>
    <n v="397.8"/>
    <n v="3.3999999999999986"/>
    <n v="1"/>
    <x v="1"/>
    <n v="0.21367521367521367"/>
    <n v="100"/>
    <n v="3.6799999999999997"/>
    <n v="0.21"/>
    <n v="98.28"/>
    <n v="4"/>
    <n v="0.85470085470085466"/>
    <n v="0.67999999999999972"/>
    <n v="0.85"/>
    <s v="HWS is not functioning/ due to land limited the bathing space construction have hard to implement"/>
    <d v="2014-05-22T00:00:00"/>
    <d v="2015-05-22T00:00:00"/>
    <n v="106"/>
    <n v="2"/>
    <n v="0"/>
    <n v="1"/>
    <n v="468"/>
    <x v="5"/>
    <m/>
    <n v="0.5"/>
    <n v="234"/>
    <n v="0"/>
    <s v="No coverage"/>
    <n v="0"/>
    <x v="1"/>
    <m/>
  </r>
  <r>
    <x v="7"/>
    <s v="MMR001CMP013"/>
    <x v="5"/>
    <x v="39"/>
    <n v="97.405120999999994"/>
    <n v="25.365891000000001"/>
    <x v="0"/>
    <x v="0"/>
    <n v="44"/>
    <n v="180"/>
    <n v="180"/>
    <x v="1"/>
    <s v="KBC"/>
    <x v="1"/>
    <x v="0"/>
    <d v="2015-06-30T00:00:00"/>
    <s v="OXFAM"/>
    <d v="2015-06-30T00:00:00"/>
    <s v="Focal NGO"/>
    <x v="0"/>
    <n v="0"/>
    <n v="0"/>
    <s v="No"/>
    <n v="1"/>
    <n v="1"/>
    <n v="0"/>
    <n v="0"/>
    <n v="1"/>
    <n v="1"/>
    <n v="180"/>
    <n v="1"/>
    <n v="180"/>
    <n v="1"/>
    <n v="180"/>
    <x v="0"/>
    <n v="0"/>
    <n v="0"/>
    <n v="0"/>
    <n v="44"/>
    <n v="0"/>
    <n v="1"/>
    <n v="180"/>
    <m/>
    <n v="0"/>
    <n v="0"/>
    <n v="8"/>
    <x v="0"/>
    <n v="0.88888888888888884"/>
    <n v="160"/>
    <n v="0"/>
    <n v="0"/>
    <n v="0.88888888888888884"/>
    <n v="160"/>
    <n v="0"/>
    <n v="0.89"/>
    <n v="160.19999999999999"/>
    <n v="1"/>
    <n v="2"/>
    <x v="1"/>
    <n v="1"/>
    <n v="180"/>
    <n v="0"/>
    <n v="1"/>
    <n v="180"/>
    <n v="3"/>
    <n v="1"/>
    <n v="0"/>
    <n v="1"/>
    <s v="have limited spaces to construct more latrines and WASH facilities"/>
    <d v="2015-02-18T00:00:00"/>
    <d v="2016-02-18T00:00:00"/>
    <n v="44"/>
    <n v="3"/>
    <n v="0"/>
    <n v="1"/>
    <n v="180"/>
    <x v="0"/>
    <m/>
    <n v="0.8"/>
    <n v="144"/>
    <n v="1"/>
    <s v="Excellent coverage"/>
    <n v="0"/>
    <x v="1"/>
    <m/>
  </r>
  <r>
    <x v="7"/>
    <s v="MMR001CMP147"/>
    <x v="5"/>
    <x v="40"/>
    <s v="NA"/>
    <s v="NA"/>
    <x v="1"/>
    <x v="1"/>
    <n v="375"/>
    <n v="1691"/>
    <n v="1691"/>
    <x v="2"/>
    <m/>
    <x v="3"/>
    <x v="1"/>
    <m/>
    <m/>
    <m/>
    <s v="Not documented"/>
    <x v="1"/>
    <n v="0"/>
    <n v="0"/>
    <s v="No"/>
    <n v="0"/>
    <n v="0"/>
    <n v="0"/>
    <n v="0"/>
    <n v="0"/>
    <n v="0"/>
    <n v="0"/>
    <n v="0"/>
    <n v="0"/>
    <n v="0"/>
    <n v="0"/>
    <x v="1"/>
    <n v="0"/>
    <n v="0"/>
    <n v="4.2275"/>
    <n v="0"/>
    <n v="0"/>
    <n v="0"/>
    <n v="0"/>
    <s v="Not reachable location"/>
    <n v="0"/>
    <n v="0"/>
    <n v="0"/>
    <x v="2"/>
    <n v="0"/>
    <n v="0"/>
    <n v="0"/>
    <n v="0"/>
    <n v="0"/>
    <n v="0"/>
    <n v="0"/>
    <n v="0"/>
    <n v="0"/>
    <n v="84.55"/>
    <n v="0"/>
    <x v="1"/>
    <n v="0"/>
    <n v="0"/>
    <n v="16.91"/>
    <n v="0"/>
    <n v="0"/>
    <n v="0"/>
    <n v="0"/>
    <n v="16.91"/>
    <n v="0"/>
    <s v="information gap"/>
    <m/>
    <s v="To be realised"/>
    <n v="0"/>
    <n v="0"/>
    <n v="375"/>
    <n v="0"/>
    <n v="0"/>
    <x v="4"/>
    <m/>
    <n v="0"/>
    <n v="0"/>
    <n v="0"/>
    <s v="No coverage"/>
    <n v="0"/>
    <x v="3"/>
    <s v="information gap  (hard access)"/>
  </r>
  <r>
    <x v="7"/>
    <s v="MMR001CMP015"/>
    <x v="5"/>
    <x v="41"/>
    <n v="97.409317000000001"/>
    <n v="25.362189999999998"/>
    <x v="0"/>
    <x v="0"/>
    <n v="105"/>
    <n v="563"/>
    <n v="328"/>
    <x v="0"/>
    <s v="KBC"/>
    <x v="1"/>
    <x v="0"/>
    <d v="2015-06-30T00:00:00"/>
    <s v="OXFAM"/>
    <d v="2015-06-30T00:00:00"/>
    <s v="Focal NGO"/>
    <x v="0"/>
    <n v="0"/>
    <n v="0"/>
    <s v="No"/>
    <n v="1"/>
    <n v="0"/>
    <n v="0"/>
    <n v="0"/>
    <n v="1"/>
    <n v="1"/>
    <n v="328"/>
    <n v="1"/>
    <n v="328"/>
    <n v="1"/>
    <n v="328"/>
    <x v="0"/>
    <n v="0"/>
    <n v="0"/>
    <n v="0"/>
    <n v="105"/>
    <n v="0"/>
    <n v="1"/>
    <n v="328"/>
    <s v="No space to dig up more hand dug well"/>
    <n v="0"/>
    <n v="0"/>
    <n v="10"/>
    <x v="0"/>
    <n v="0.6097560975609756"/>
    <n v="200"/>
    <n v="0"/>
    <n v="0"/>
    <n v="0.6097560975609756"/>
    <n v="200"/>
    <n v="0"/>
    <n v="0.61"/>
    <n v="200.07999999999998"/>
    <n v="6.3999999999999986"/>
    <n v="1"/>
    <x v="1"/>
    <n v="0.3048780487804878"/>
    <n v="100"/>
    <n v="4.63"/>
    <n v="0.3"/>
    <n v="98.399999999999991"/>
    <n v="3"/>
    <n v="0.91463414634146345"/>
    <n v="2.63"/>
    <n v="0.91"/>
    <s v="No spaces to construct more latrines and bathing spaces/ now church committee."/>
    <d v="2015-02-18T00:00:00"/>
    <d v="2016-02-18T00:00:00"/>
    <n v="105"/>
    <n v="3"/>
    <n v="0"/>
    <n v="1"/>
    <n v="328"/>
    <x v="0"/>
    <m/>
    <n v="0.8"/>
    <n v="262.40000000000003"/>
    <n v="1"/>
    <s v="Excellent coverage"/>
    <n v="3"/>
    <x v="1"/>
    <m/>
  </r>
  <r>
    <x v="7"/>
    <s v="MMR001CMP014"/>
    <x v="5"/>
    <x v="42"/>
    <n v="97.408919999999995"/>
    <n v="25.355983999999999"/>
    <x v="0"/>
    <x v="0"/>
    <n v="143"/>
    <n v="462"/>
    <n v="717"/>
    <x v="0"/>
    <s v="KBC"/>
    <x v="1"/>
    <x v="0"/>
    <d v="2015-06-30T00:00:00"/>
    <s v="OXFAM"/>
    <d v="2015-06-30T00:00:00"/>
    <s v="Focal NGO"/>
    <x v="0"/>
    <n v="0"/>
    <n v="0"/>
    <s v="No"/>
    <n v="0"/>
    <n v="3"/>
    <n v="5600"/>
    <n v="0"/>
    <n v="1"/>
    <n v="1"/>
    <n v="717"/>
    <n v="1"/>
    <n v="717"/>
    <n v="1"/>
    <n v="717"/>
    <x v="0"/>
    <n v="0"/>
    <n v="0"/>
    <n v="0"/>
    <n v="143"/>
    <n v="0"/>
    <n v="1"/>
    <n v="717"/>
    <m/>
    <n v="0"/>
    <n v="0"/>
    <n v="34"/>
    <x v="0"/>
    <n v="0.94839609483960952"/>
    <n v="680"/>
    <n v="0"/>
    <n v="0"/>
    <n v="0.94839609483960952"/>
    <n v="680"/>
    <n v="0"/>
    <n v="0.95"/>
    <n v="681.15"/>
    <n v="1.8500000000000014"/>
    <n v="2"/>
    <x v="0"/>
    <n v="0.2789400278940028"/>
    <n v="200"/>
    <n v="2.62"/>
    <n v="0.28000000000000003"/>
    <n v="200.76000000000002"/>
    <n v="9"/>
    <n v="1"/>
    <n v="0"/>
    <n v="1"/>
    <s v="have limited spaces to construct more latrines"/>
    <d v="2015-02-18T00:00:00"/>
    <d v="2016-02-18T00:00:00"/>
    <n v="143"/>
    <n v="3"/>
    <n v="0"/>
    <n v="1"/>
    <n v="717"/>
    <x v="0"/>
    <m/>
    <n v="0.8"/>
    <n v="573.6"/>
    <n v="2"/>
    <s v="Excellent coverage"/>
    <n v="0"/>
    <x v="1"/>
    <m/>
  </r>
  <r>
    <x v="7"/>
    <s v="MMR001CMP016"/>
    <x v="5"/>
    <x v="43"/>
    <n v="97.411606000000006"/>
    <n v="25.360475999999998"/>
    <x v="0"/>
    <x v="0"/>
    <n v="71"/>
    <n v="319"/>
    <n v="319"/>
    <x v="0"/>
    <s v="KBC"/>
    <x v="1"/>
    <x v="0"/>
    <d v="2015-06-30T00:00:00"/>
    <s v="OXFAM"/>
    <d v="2015-06-30T00:00:00"/>
    <s v="Focal NGO"/>
    <x v="0"/>
    <n v="0"/>
    <n v="0"/>
    <s v="No"/>
    <n v="1"/>
    <n v="1"/>
    <n v="1600"/>
    <n v="0"/>
    <n v="1"/>
    <n v="1"/>
    <n v="319"/>
    <n v="1"/>
    <n v="319"/>
    <n v="1"/>
    <n v="319"/>
    <x v="0"/>
    <n v="0"/>
    <n v="0"/>
    <n v="0"/>
    <n v="71"/>
    <n v="0"/>
    <n v="1"/>
    <n v="319"/>
    <m/>
    <n v="0"/>
    <n v="0"/>
    <n v="12"/>
    <x v="0"/>
    <n v="0.75235109717868343"/>
    <n v="240"/>
    <n v="0"/>
    <n v="0"/>
    <n v="0.75235109717868343"/>
    <n v="240"/>
    <n v="0"/>
    <n v="0.75"/>
    <n v="239.25"/>
    <n v="3.9499999999999993"/>
    <n v="2"/>
    <x v="1"/>
    <n v="0.62695924764890287"/>
    <n v="200.00000000000003"/>
    <n v="1.19"/>
    <n v="0.63"/>
    <n v="200.97"/>
    <n v="3"/>
    <n v="0.94043887147335425"/>
    <n v="0.18999999999999995"/>
    <n v="0.94"/>
    <s v="due to IDPs make and sued individual bathing space, no need to construct more. And also land limited. "/>
    <d v="2015-02-18T00:00:00"/>
    <d v="2016-02-18T00:00:00"/>
    <n v="71"/>
    <n v="3"/>
    <n v="0"/>
    <n v="1"/>
    <n v="319"/>
    <x v="0"/>
    <m/>
    <n v="0.8"/>
    <n v="255.20000000000002"/>
    <n v="1"/>
    <s v="Excellent coverage"/>
    <n v="2"/>
    <x v="1"/>
    <m/>
  </r>
  <r>
    <x v="7"/>
    <s v="MMR001CMP008"/>
    <x v="5"/>
    <x v="44"/>
    <n v="97.418694000000002"/>
    <n v="25.428910999999999"/>
    <x v="0"/>
    <x v="0"/>
    <n v="87"/>
    <n v="452"/>
    <n v="452"/>
    <x v="0"/>
    <s v="KBC"/>
    <x v="1"/>
    <x v="0"/>
    <d v="2015-06-30T00:00:00"/>
    <s v="OXFAM"/>
    <d v="2015-06-30T00:00:00"/>
    <s v="Focal NGO"/>
    <x v="0"/>
    <n v="0"/>
    <n v="0"/>
    <s v="No"/>
    <n v="2"/>
    <n v="0"/>
    <n v="1000"/>
    <n v="0"/>
    <n v="1"/>
    <n v="1"/>
    <n v="452"/>
    <n v="1"/>
    <n v="452"/>
    <n v="1"/>
    <n v="452"/>
    <x v="0"/>
    <n v="0"/>
    <n v="0"/>
    <n v="0"/>
    <n v="87"/>
    <n v="0"/>
    <n v="1"/>
    <n v="452"/>
    <m/>
    <n v="0"/>
    <n v="0"/>
    <n v="24"/>
    <x v="0"/>
    <n v="1"/>
    <n v="452"/>
    <n v="0"/>
    <n v="0"/>
    <n v="1"/>
    <n v="452"/>
    <n v="0"/>
    <n v="1"/>
    <n v="452"/>
    <n v="0"/>
    <n v="1"/>
    <x v="1"/>
    <n v="0.22123893805309736"/>
    <n v="100"/>
    <n v="3.5199999999999996"/>
    <n v="0.22"/>
    <n v="99.44"/>
    <n v="12"/>
    <n v="1"/>
    <n v="0"/>
    <n v="1"/>
    <m/>
    <d v="2015-02-18T00:00:00"/>
    <d v="2016-02-18T00:00:00"/>
    <n v="87"/>
    <n v="3"/>
    <n v="0"/>
    <n v="1"/>
    <n v="452"/>
    <x v="0"/>
    <m/>
    <n v="0.75"/>
    <n v="339"/>
    <n v="1"/>
    <s v="Excellent coverage"/>
    <n v="1"/>
    <x v="1"/>
    <s v="temporary  incinerator not functioning"/>
  </r>
  <r>
    <x v="7"/>
    <s v="MMR001CMP020"/>
    <x v="5"/>
    <x v="45"/>
    <n v="97.284729999999996"/>
    <n v="25.374020000000002"/>
    <x v="0"/>
    <x v="0"/>
    <n v="22"/>
    <n v="100"/>
    <n v="100"/>
    <x v="1"/>
    <s v="Shalom"/>
    <x v="0"/>
    <x v="0"/>
    <d v="2015-05-31T00:00:00"/>
    <m/>
    <m/>
    <s v="Focal NGO"/>
    <x v="0"/>
    <n v="0"/>
    <n v="0"/>
    <s v="No"/>
    <n v="1"/>
    <n v="1"/>
    <n v="3000"/>
    <n v="0"/>
    <n v="0"/>
    <n v="1"/>
    <n v="100"/>
    <n v="1"/>
    <n v="100"/>
    <n v="1"/>
    <n v="100"/>
    <x v="0"/>
    <n v="0"/>
    <n v="0"/>
    <n v="0"/>
    <n v="0"/>
    <n v="0"/>
    <n v="1"/>
    <n v="100"/>
    <m/>
    <n v="0"/>
    <n v="0"/>
    <n v="6"/>
    <x v="0"/>
    <n v="1"/>
    <n v="100"/>
    <n v="0"/>
    <n v="0"/>
    <n v="1"/>
    <n v="100"/>
    <n v="0"/>
    <n v="1"/>
    <n v="100"/>
    <n v="0"/>
    <n v="2"/>
    <x v="3"/>
    <n v="1"/>
    <n v="100"/>
    <n v="0"/>
    <n v="1"/>
    <n v="100"/>
    <n v="3"/>
    <n v="1"/>
    <n v="0"/>
    <n v="1"/>
    <m/>
    <d v="2015-02-13T00:00:00"/>
    <d v="2016-02-13T00:00:00"/>
    <n v="22"/>
    <n v="2"/>
    <n v="0"/>
    <n v="1"/>
    <n v="100"/>
    <x v="0"/>
    <m/>
    <n v="1"/>
    <n v="100"/>
    <n v="2"/>
    <s v="Excellent coverage"/>
    <n v="1"/>
    <x v="0"/>
    <s v="temporary incinerator have implemented as pilot by Oxfam but it was not functioning now"/>
  </r>
  <r>
    <x v="7"/>
    <s v="MMR001CMP021"/>
    <x v="5"/>
    <x v="46"/>
    <n v="97.291079999999994"/>
    <n v="25.371179999999999"/>
    <x v="0"/>
    <x v="0"/>
    <n v="14"/>
    <n v="73"/>
    <n v="73"/>
    <x v="1"/>
    <s v="Shalom"/>
    <x v="0"/>
    <x v="0"/>
    <d v="2015-05-31T00:00:00"/>
    <m/>
    <m/>
    <s v="Focal NGO"/>
    <x v="0"/>
    <n v="0"/>
    <n v="0"/>
    <s v="No"/>
    <n v="1"/>
    <n v="0"/>
    <n v="3000"/>
    <n v="0"/>
    <n v="0"/>
    <n v="1"/>
    <n v="73"/>
    <n v="1"/>
    <n v="73"/>
    <n v="1"/>
    <n v="73"/>
    <x v="0"/>
    <n v="0"/>
    <n v="0"/>
    <n v="0"/>
    <n v="0"/>
    <n v="0"/>
    <n v="1"/>
    <n v="73"/>
    <m/>
    <n v="0"/>
    <n v="2"/>
    <n v="3"/>
    <x v="0"/>
    <n v="1"/>
    <n v="73"/>
    <n v="0.17808219178082196"/>
    <n v="13.000000000000004"/>
    <n v="0.82191780821917804"/>
    <n v="60"/>
    <n v="0"/>
    <n v="1"/>
    <n v="73"/>
    <n v="0.64999999999999991"/>
    <n v="2"/>
    <x v="0"/>
    <n v="1"/>
    <n v="73"/>
    <n v="0"/>
    <n v="1"/>
    <n v="73"/>
    <n v="3"/>
    <n v="1"/>
    <n v="0"/>
    <n v="1"/>
    <m/>
    <d v="2015-02-13T00:00:00"/>
    <d v="2016-02-13T00:00:00"/>
    <n v="14"/>
    <n v="2"/>
    <n v="0"/>
    <n v="1"/>
    <n v="73"/>
    <x v="0"/>
    <m/>
    <n v="1"/>
    <n v="73"/>
    <n v="2"/>
    <s v="Excellent coverage"/>
    <n v="0"/>
    <x v="0"/>
    <m/>
  </r>
  <r>
    <x v="7"/>
    <s v="MMR001CMP024"/>
    <x v="5"/>
    <x v="47"/>
    <n v="97.359380000000002"/>
    <n v="25.411770000000001"/>
    <x v="0"/>
    <x v="0"/>
    <n v="72"/>
    <n v="308"/>
    <n v="308"/>
    <x v="0"/>
    <s v="KMSS"/>
    <x v="2"/>
    <x v="0"/>
    <s v="Gap"/>
    <m/>
    <m/>
    <s v="Focal NGO"/>
    <x v="0"/>
    <n v="0"/>
    <n v="0"/>
    <s v="No"/>
    <n v="0"/>
    <n v="4"/>
    <n v="8000"/>
    <n v="0"/>
    <n v="1"/>
    <n v="1"/>
    <n v="308"/>
    <n v="1"/>
    <n v="308"/>
    <n v="1"/>
    <n v="308"/>
    <x v="0"/>
    <n v="0"/>
    <n v="0"/>
    <n v="0"/>
    <n v="72"/>
    <n v="0"/>
    <n v="1"/>
    <n v="308"/>
    <s v="74 CWF distributed on 27th February 15 (with ICRC)"/>
    <n v="33"/>
    <n v="17"/>
    <n v="6"/>
    <x v="1"/>
    <n v="1"/>
    <n v="308"/>
    <n v="0.61038961038961037"/>
    <n v="188"/>
    <n v="0.38961038961038963"/>
    <n v="120"/>
    <n v="0"/>
    <n v="1"/>
    <n v="308"/>
    <n v="9.4"/>
    <n v="3"/>
    <x v="0"/>
    <n v="0.97402597402597402"/>
    <n v="300"/>
    <n v="8.0000000000000071E-2"/>
    <n v="0.97"/>
    <n v="298.76"/>
    <n v="4"/>
    <n v="1"/>
    <n v="0"/>
    <n v="1"/>
    <s v="now all of HWS don't use , they wash their hands only in the Bathing Spaces"/>
    <d v="2014-05-22T00:00:00"/>
    <d v="2015-05-22T00:00:00"/>
    <n v="72"/>
    <n v="2"/>
    <n v="0"/>
    <n v="1"/>
    <n v="308"/>
    <x v="5"/>
    <m/>
    <n v="0.5"/>
    <n v="154"/>
    <n v="0"/>
    <s v="No coverage"/>
    <n v="0"/>
    <x v="1"/>
    <m/>
  </r>
  <r>
    <x v="7"/>
    <s v="MMR001CMP002"/>
    <x v="5"/>
    <x v="48"/>
    <n v="97.394547000000003"/>
    <n v="25.422194000000001"/>
    <x v="0"/>
    <x v="0"/>
    <n v="55"/>
    <n v="229"/>
    <n v="229"/>
    <x v="0"/>
    <s v="KBC"/>
    <x v="1"/>
    <x v="0"/>
    <d v="2015-06-30T00:00:00"/>
    <s v="OXFAM"/>
    <d v="2015-06-30T00:00:00"/>
    <s v="Focal NGO"/>
    <x v="0"/>
    <n v="0"/>
    <n v="0"/>
    <s v="No"/>
    <n v="2"/>
    <n v="2"/>
    <n v="0"/>
    <n v="0"/>
    <n v="1"/>
    <n v="1"/>
    <n v="229"/>
    <n v="1"/>
    <n v="229"/>
    <n v="1"/>
    <n v="229"/>
    <x v="0"/>
    <n v="0"/>
    <n v="0"/>
    <n v="0"/>
    <n v="55"/>
    <n v="0"/>
    <n v="1"/>
    <n v="229"/>
    <m/>
    <n v="0"/>
    <n v="0"/>
    <n v="8"/>
    <x v="0"/>
    <n v="0.69868995633187769"/>
    <n v="160"/>
    <n v="0"/>
    <n v="0"/>
    <n v="0.69868995633187769"/>
    <n v="160"/>
    <n v="0"/>
    <n v="0.7"/>
    <n v="160.29999999999998"/>
    <n v="3.4499999999999993"/>
    <n v="2"/>
    <x v="0"/>
    <n v="0.8733624454148472"/>
    <n v="200"/>
    <n v="0.29000000000000004"/>
    <n v="0.87"/>
    <n v="199.23"/>
    <n v="6"/>
    <n v="1"/>
    <n v="0"/>
    <n v="1"/>
    <s v="have limited spaces to construct more sanitation facilities. "/>
    <d v="2015-02-18T00:00:00"/>
    <d v="2016-02-18T00:00:00"/>
    <n v="55"/>
    <n v="3"/>
    <n v="0"/>
    <n v="1"/>
    <n v="229"/>
    <x v="0"/>
    <m/>
    <n v="0.8"/>
    <n v="183.20000000000002"/>
    <n v="1"/>
    <s v="Excellent coverage"/>
    <n v="0"/>
    <x v="1"/>
    <m/>
  </r>
  <r>
    <x v="7"/>
    <s v="MMR001CMP162"/>
    <x v="5"/>
    <x v="49"/>
    <n v="97.4345"/>
    <n v="25.493819999999999"/>
    <x v="0"/>
    <x v="0"/>
    <n v="28"/>
    <n v="176"/>
    <n v="176"/>
    <x v="1"/>
    <s v="KMSS"/>
    <x v="2"/>
    <x v="0"/>
    <s v="Gap"/>
    <m/>
    <m/>
    <s v="Focal NGO"/>
    <x v="0"/>
    <n v="0"/>
    <n v="0"/>
    <s v="No"/>
    <n v="1"/>
    <n v="1"/>
    <n v="3000"/>
    <n v="0"/>
    <n v="1"/>
    <n v="1"/>
    <n v="176"/>
    <n v="1"/>
    <n v="176"/>
    <n v="1"/>
    <n v="176"/>
    <x v="0"/>
    <n v="0"/>
    <n v="0"/>
    <n v="0"/>
    <n v="28"/>
    <n v="0"/>
    <n v="1"/>
    <n v="176"/>
    <s v="28 CWF distri buted on 27th February 15"/>
    <n v="10"/>
    <n v="0"/>
    <n v="10"/>
    <x v="0"/>
    <n v="1"/>
    <n v="176"/>
    <n v="0"/>
    <n v="0"/>
    <n v="1"/>
    <n v="176"/>
    <n v="0"/>
    <n v="1"/>
    <n v="176"/>
    <n v="0"/>
    <n v="2"/>
    <x v="0"/>
    <n v="1"/>
    <n v="176"/>
    <n v="0"/>
    <n v="1"/>
    <n v="176"/>
    <n v="3"/>
    <n v="1"/>
    <n v="0"/>
    <n v="1"/>
    <m/>
    <d v="2014-05-22T00:00:00"/>
    <d v="2015-05-22T00:00:00"/>
    <n v="28"/>
    <n v="2"/>
    <n v="0"/>
    <n v="1"/>
    <n v="176"/>
    <x v="5"/>
    <m/>
    <n v="0.5"/>
    <n v="88"/>
    <n v="0"/>
    <s v="No coverage"/>
    <n v="0"/>
    <x v="1"/>
    <m/>
  </r>
  <r>
    <x v="7"/>
    <s v="MMR001CMP006"/>
    <x v="5"/>
    <x v="50"/>
    <n v="97.399628000000007"/>
    <n v="25.412313000000001"/>
    <x v="0"/>
    <x v="0"/>
    <n v="100"/>
    <n v="400"/>
    <n v="400"/>
    <x v="0"/>
    <s v="KBC"/>
    <x v="1"/>
    <x v="0"/>
    <d v="2015-06-30T00:00:00"/>
    <s v="OXFAM"/>
    <d v="2015-06-30T00:00:00"/>
    <s v="Focal NGO"/>
    <x v="0"/>
    <n v="0"/>
    <n v="0"/>
    <s v="No"/>
    <n v="2"/>
    <n v="1"/>
    <n v="3000"/>
    <n v="0"/>
    <n v="1"/>
    <n v="1"/>
    <n v="400"/>
    <n v="1"/>
    <n v="400"/>
    <n v="1"/>
    <n v="400"/>
    <x v="0"/>
    <n v="0"/>
    <n v="0"/>
    <n v="0"/>
    <n v="100"/>
    <n v="0"/>
    <n v="1"/>
    <n v="400"/>
    <m/>
    <n v="0"/>
    <n v="0"/>
    <n v="15"/>
    <x v="0"/>
    <n v="0.75"/>
    <n v="300"/>
    <n v="0"/>
    <n v="0"/>
    <n v="0.75"/>
    <n v="300"/>
    <n v="0"/>
    <n v="0.75"/>
    <n v="300"/>
    <n v="5"/>
    <n v="2"/>
    <x v="1"/>
    <n v="0.5"/>
    <n v="200"/>
    <n v="2"/>
    <n v="0.51"/>
    <n v="204"/>
    <n v="12"/>
    <n v="1"/>
    <n v="0"/>
    <n v="1"/>
    <s v="have limited spaces to construct more latrines"/>
    <d v="2015-02-18T00:00:00"/>
    <d v="2016-02-18T00:00:00"/>
    <n v="100"/>
    <n v="3"/>
    <n v="0"/>
    <n v="1"/>
    <n v="400"/>
    <x v="0"/>
    <m/>
    <n v="0.8"/>
    <n v="320"/>
    <n v="2"/>
    <s v="Excellent coverage"/>
    <n v="0"/>
    <x v="1"/>
    <m/>
  </r>
  <r>
    <x v="7"/>
    <s v="MMR001CMP007"/>
    <x v="5"/>
    <x v="51"/>
    <n v="97.418004999999994"/>
    <n v="25.423817"/>
    <x v="0"/>
    <x v="0"/>
    <n v="16"/>
    <n v="77"/>
    <n v="77"/>
    <x v="1"/>
    <s v="Shalom"/>
    <x v="0"/>
    <x v="0"/>
    <d v="2015-05-31T00:00:00"/>
    <m/>
    <m/>
    <s v="Focal NGO"/>
    <x v="0"/>
    <n v="0"/>
    <n v="0"/>
    <s v="No"/>
    <n v="2"/>
    <n v="0"/>
    <n v="0"/>
    <n v="0"/>
    <n v="0"/>
    <n v="1"/>
    <n v="77"/>
    <n v="1"/>
    <n v="77"/>
    <n v="1"/>
    <n v="77"/>
    <x v="0"/>
    <n v="0"/>
    <n v="0"/>
    <n v="0"/>
    <n v="0"/>
    <n v="0"/>
    <n v="1"/>
    <n v="77"/>
    <m/>
    <n v="0"/>
    <n v="0"/>
    <n v="5"/>
    <x v="0"/>
    <n v="1"/>
    <n v="77"/>
    <n v="0"/>
    <n v="0"/>
    <n v="1"/>
    <n v="77"/>
    <n v="0"/>
    <n v="1"/>
    <n v="77"/>
    <n v="0"/>
    <n v="2"/>
    <x v="0"/>
    <n v="1"/>
    <n v="77"/>
    <n v="0"/>
    <n v="1"/>
    <n v="77"/>
    <n v="2"/>
    <n v="1"/>
    <n v="0"/>
    <n v="1"/>
    <m/>
    <d v="2015-02-13T00:00:00"/>
    <d v="2016-02-13T00:00:00"/>
    <n v="16"/>
    <n v="2"/>
    <n v="0"/>
    <n v="1"/>
    <n v="77"/>
    <x v="0"/>
    <m/>
    <n v="1"/>
    <n v="77"/>
    <n v="2"/>
    <s v="Excellent coverage"/>
    <n v="0"/>
    <x v="0"/>
    <m/>
  </r>
  <r>
    <x v="7"/>
    <s v="MMR001CMP009"/>
    <x v="5"/>
    <x v="52"/>
    <n v="97.419403000000003"/>
    <n v="25.440928"/>
    <x v="0"/>
    <x v="0"/>
    <n v="83"/>
    <n v="425"/>
    <n v="425"/>
    <x v="0"/>
    <s v="KBC"/>
    <x v="1"/>
    <x v="0"/>
    <d v="2015-06-30T00:00:00"/>
    <s v="OXFAM"/>
    <d v="2015-06-30T00:00:00"/>
    <s v="Focal NGO"/>
    <x v="0"/>
    <n v="0"/>
    <n v="0"/>
    <s v="No"/>
    <n v="2"/>
    <n v="0"/>
    <n v="2000"/>
    <n v="0"/>
    <n v="1"/>
    <n v="1"/>
    <n v="425"/>
    <n v="1"/>
    <n v="425"/>
    <n v="1"/>
    <n v="425"/>
    <x v="0"/>
    <n v="0"/>
    <n v="0"/>
    <n v="0"/>
    <n v="83"/>
    <n v="0"/>
    <n v="1"/>
    <n v="425"/>
    <s v="start water shortage (start to water turbid)/CWF already distributed"/>
    <n v="0"/>
    <n v="0"/>
    <n v="16"/>
    <x v="0"/>
    <n v="0.75294117647058822"/>
    <n v="320"/>
    <n v="0"/>
    <n v="0"/>
    <n v="0.75294117647058822"/>
    <n v="320"/>
    <n v="0"/>
    <n v="0.75"/>
    <n v="318.75"/>
    <n v="5.25"/>
    <n v="1"/>
    <x v="1"/>
    <n v="0.23529411764705882"/>
    <n v="100"/>
    <n v="3.25"/>
    <n v="0.24"/>
    <n v="102"/>
    <n v="6"/>
    <n v="1"/>
    <n v="0"/>
    <n v="1"/>
    <s v="have limited spaces to construct more latrines, 1 BS can be repair by updating water supply system"/>
    <d v="2015-02-18T00:00:00"/>
    <d v="2016-02-18T00:00:00"/>
    <n v="83"/>
    <n v="3"/>
    <n v="0"/>
    <n v="1"/>
    <n v="425"/>
    <x v="0"/>
    <m/>
    <n v="0.8"/>
    <n v="340"/>
    <n v="1"/>
    <s v="Excellent coverage"/>
    <n v="0"/>
    <x v="1"/>
    <m/>
  </r>
  <r>
    <x v="7"/>
    <s v="MMR001CMP001"/>
    <x v="5"/>
    <x v="53"/>
    <n v="97.386718999999999"/>
    <n v="25.415482000000001"/>
    <x v="0"/>
    <x v="0"/>
    <n v="87"/>
    <n v="258"/>
    <n v="258"/>
    <x v="0"/>
    <s v="KBC"/>
    <x v="1"/>
    <x v="0"/>
    <d v="2015-06-30T00:00:00"/>
    <s v="OXFAM"/>
    <d v="2015-06-30T00:00:00"/>
    <s v="Focal NGO"/>
    <x v="0"/>
    <n v="0"/>
    <n v="0"/>
    <s v="No"/>
    <n v="0"/>
    <n v="3"/>
    <n v="1000"/>
    <n v="0"/>
    <n v="1"/>
    <n v="1"/>
    <n v="258"/>
    <n v="1"/>
    <n v="258"/>
    <n v="1"/>
    <n v="258"/>
    <x v="0"/>
    <n v="0"/>
    <n v="0"/>
    <n v="0"/>
    <n v="87"/>
    <n v="0"/>
    <n v="1"/>
    <n v="258"/>
    <m/>
    <n v="0"/>
    <n v="0"/>
    <n v="10"/>
    <x v="1"/>
    <n v="0.77519379844961245"/>
    <n v="200"/>
    <n v="0"/>
    <n v="0"/>
    <n v="0.77519379844961245"/>
    <n v="200"/>
    <n v="0"/>
    <n v="0.78"/>
    <n v="201.24"/>
    <n v="2.9000000000000004"/>
    <n v="2"/>
    <x v="2"/>
    <n v="0.77519379844961245"/>
    <n v="200"/>
    <n v="0.58000000000000007"/>
    <n v="0.78"/>
    <n v="201.24"/>
    <n v="1"/>
    <n v="0.38759689922480622"/>
    <n v="1.58"/>
    <n v="0.39"/>
    <s v="have limited spaces to construct more sanitation facilities. "/>
    <d v="2015-02-18T00:00:00"/>
    <d v="2016-02-18T00:00:00"/>
    <n v="87"/>
    <n v="3"/>
    <n v="0"/>
    <n v="1"/>
    <n v="258"/>
    <x v="0"/>
    <m/>
    <n v="0.8"/>
    <n v="206.4"/>
    <n v="1"/>
    <s v="Excellent coverage"/>
    <n v="0"/>
    <x v="1"/>
    <m/>
  </r>
  <r>
    <x v="7"/>
    <s v="MMR001CMP023"/>
    <x v="5"/>
    <x v="54"/>
    <n v="97.387370000000004"/>
    <n v="25.42595"/>
    <x v="0"/>
    <x v="0"/>
    <n v="34"/>
    <n v="176"/>
    <n v="176"/>
    <x v="1"/>
    <s v="Shalom"/>
    <x v="0"/>
    <x v="0"/>
    <d v="2015-05-31T00:00:00"/>
    <m/>
    <m/>
    <s v="Focal NGO"/>
    <x v="0"/>
    <n v="0"/>
    <n v="0"/>
    <s v="No"/>
    <n v="1"/>
    <n v="2"/>
    <n v="0"/>
    <n v="0"/>
    <n v="0"/>
    <n v="1"/>
    <n v="176"/>
    <n v="1"/>
    <n v="176"/>
    <n v="1"/>
    <n v="176"/>
    <x v="0"/>
    <n v="0"/>
    <n v="0"/>
    <n v="0"/>
    <n v="0"/>
    <n v="0"/>
    <n v="1"/>
    <n v="176"/>
    <m/>
    <n v="0"/>
    <n v="2"/>
    <n v="8"/>
    <x v="0"/>
    <n v="1"/>
    <n v="176"/>
    <n v="9.0909090909090939E-2"/>
    <n v="16.000000000000007"/>
    <n v="0.90909090909090906"/>
    <n v="160"/>
    <n v="0"/>
    <n v="1"/>
    <n v="176"/>
    <n v="0.80000000000000071"/>
    <n v="2"/>
    <x v="1"/>
    <n v="1"/>
    <n v="176"/>
    <n v="0"/>
    <n v="1"/>
    <n v="176"/>
    <n v="2"/>
    <n v="1"/>
    <n v="0"/>
    <n v="1"/>
    <m/>
    <d v="2015-02-13T00:00:00"/>
    <d v="2016-02-13T00:00:00"/>
    <n v="34"/>
    <n v="2"/>
    <n v="0"/>
    <n v="1"/>
    <n v="176"/>
    <x v="0"/>
    <m/>
    <n v="1"/>
    <n v="176"/>
    <n v="1"/>
    <s v="Excellent coverage"/>
    <n v="0"/>
    <x v="0"/>
    <m/>
  </r>
  <r>
    <x v="7"/>
    <s v="MMR001CMP023"/>
    <x v="5"/>
    <x v="55"/>
    <n v="97.388400000000004"/>
    <n v="25.40982"/>
    <x v="0"/>
    <x v="0"/>
    <n v="35"/>
    <n v="160"/>
    <n v="160"/>
    <x v="1"/>
    <s v="Shalom"/>
    <x v="0"/>
    <x v="0"/>
    <d v="2015-05-31T00:00:00"/>
    <m/>
    <m/>
    <s v="Focal NGO"/>
    <x v="0"/>
    <n v="0"/>
    <n v="0"/>
    <s v="No"/>
    <n v="1"/>
    <n v="2"/>
    <n v="2000"/>
    <n v="0"/>
    <n v="0"/>
    <n v="1"/>
    <n v="160"/>
    <n v="1"/>
    <n v="160"/>
    <n v="1"/>
    <n v="160"/>
    <x v="0"/>
    <n v="0"/>
    <n v="0"/>
    <n v="0"/>
    <n v="0"/>
    <n v="0"/>
    <n v="1"/>
    <n v="160"/>
    <m/>
    <n v="16"/>
    <n v="3"/>
    <n v="6"/>
    <x v="0"/>
    <n v="1"/>
    <n v="160"/>
    <n v="0.25"/>
    <n v="40"/>
    <n v="0.75"/>
    <n v="120"/>
    <n v="0"/>
    <n v="1"/>
    <n v="160"/>
    <n v="2"/>
    <n v="2"/>
    <x v="0"/>
    <n v="1"/>
    <n v="160"/>
    <n v="0"/>
    <n v="1"/>
    <n v="160"/>
    <n v="6"/>
    <n v="1"/>
    <n v="0"/>
    <n v="1"/>
    <m/>
    <d v="2015-02-13T00:00:00"/>
    <d v="2016-02-13T00:00:00"/>
    <n v="35"/>
    <n v="2"/>
    <n v="0"/>
    <n v="1"/>
    <n v="160"/>
    <x v="0"/>
    <m/>
    <n v="1"/>
    <n v="160"/>
    <n v="1"/>
    <s v="Excellent coverage"/>
    <n v="0"/>
    <x v="0"/>
    <m/>
  </r>
  <r>
    <x v="7"/>
    <s v="MMR001CMP004"/>
    <x v="5"/>
    <x v="56"/>
    <n v="97.379272"/>
    <n v="25.401074999999999"/>
    <x v="0"/>
    <x v="0"/>
    <n v="7"/>
    <n v="30"/>
    <n v="30"/>
    <x v="1"/>
    <s v="Shalom"/>
    <x v="0"/>
    <x v="0"/>
    <d v="2015-05-31T00:00:00"/>
    <m/>
    <m/>
    <s v="Focal NGO"/>
    <x v="0"/>
    <n v="0"/>
    <n v="0"/>
    <s v="No"/>
    <n v="0"/>
    <n v="1"/>
    <n v="3600"/>
    <n v="0"/>
    <n v="0"/>
    <n v="1"/>
    <n v="30"/>
    <n v="1"/>
    <n v="30"/>
    <n v="1"/>
    <n v="30"/>
    <x v="0"/>
    <n v="0"/>
    <n v="0"/>
    <n v="0"/>
    <n v="0"/>
    <n v="0"/>
    <n v="1"/>
    <n v="30"/>
    <m/>
    <n v="0"/>
    <n v="0"/>
    <n v="2"/>
    <x v="0"/>
    <n v="1"/>
    <n v="30"/>
    <n v="0"/>
    <n v="0"/>
    <n v="1"/>
    <n v="30"/>
    <n v="0"/>
    <n v="1"/>
    <n v="30"/>
    <n v="0"/>
    <n v="1"/>
    <x v="0"/>
    <n v="1"/>
    <n v="30"/>
    <n v="0"/>
    <n v="1"/>
    <n v="30"/>
    <n v="3"/>
    <n v="1"/>
    <n v="0"/>
    <n v="1"/>
    <m/>
    <d v="2015-02-13T00:00:00"/>
    <d v="2016-02-13T00:00:00"/>
    <n v="7"/>
    <n v="2"/>
    <n v="0"/>
    <n v="1"/>
    <n v="30"/>
    <x v="0"/>
    <m/>
    <n v="1"/>
    <n v="30"/>
    <n v="2"/>
    <s v="Excellent coverage"/>
    <n v="1"/>
    <x v="0"/>
    <s v="temporary incinerator have implemented as pilot by Oxfam but it was not functioning now"/>
  </r>
  <r>
    <x v="7"/>
    <s v="MMR001CMP003"/>
    <x v="5"/>
    <x v="57"/>
    <n v="97.377662999999998"/>
    <n v="25.404752999999999"/>
    <x v="0"/>
    <x v="0"/>
    <n v="31"/>
    <n v="131"/>
    <n v="131"/>
    <x v="1"/>
    <s v="KBC"/>
    <x v="1"/>
    <x v="0"/>
    <d v="2015-06-30T00:00:00"/>
    <s v="OXFAM"/>
    <d v="2015-06-30T00:00:00"/>
    <s v="Focal NGO"/>
    <x v="0"/>
    <n v="0"/>
    <n v="0"/>
    <s v="No"/>
    <n v="0"/>
    <n v="2"/>
    <n v="2000"/>
    <n v="0"/>
    <n v="1"/>
    <n v="1"/>
    <n v="131"/>
    <n v="1"/>
    <n v="131"/>
    <n v="1"/>
    <n v="131"/>
    <x v="0"/>
    <n v="0"/>
    <n v="0"/>
    <n v="0"/>
    <n v="31"/>
    <n v="0"/>
    <n v="1"/>
    <n v="131"/>
    <m/>
    <n v="0"/>
    <n v="0"/>
    <n v="7"/>
    <x v="1"/>
    <n v="1"/>
    <n v="131"/>
    <n v="0"/>
    <n v="0"/>
    <n v="1"/>
    <n v="131"/>
    <n v="0"/>
    <n v="1"/>
    <n v="131"/>
    <n v="0"/>
    <n v="2"/>
    <x v="1"/>
    <n v="1"/>
    <n v="131"/>
    <n v="0"/>
    <n v="1"/>
    <n v="131"/>
    <n v="4"/>
    <n v="1"/>
    <n v="0"/>
    <n v="1"/>
    <m/>
    <d v="2015-02-18T00:00:00"/>
    <d v="2016-02-18T00:00:00"/>
    <n v="31"/>
    <n v="3"/>
    <n v="0"/>
    <n v="1"/>
    <n v="131"/>
    <x v="0"/>
    <m/>
    <n v="0.8"/>
    <n v="104.80000000000001"/>
    <n v="1"/>
    <s v="Excellent coverage"/>
    <n v="1"/>
    <x v="1"/>
    <s v="temporary  incinerator not functioning"/>
  </r>
  <r>
    <x v="7"/>
    <s v="MMR001CMP005"/>
    <x v="5"/>
    <x v="58"/>
    <n v="97.382192000000003"/>
    <n v="25.404015000000001"/>
    <x v="0"/>
    <x v="0"/>
    <n v="33"/>
    <n v="120"/>
    <n v="120"/>
    <x v="1"/>
    <s v="KBC"/>
    <x v="1"/>
    <x v="0"/>
    <d v="2015-06-30T00:00:00"/>
    <s v="OXFAM"/>
    <d v="2015-06-30T00:00:00"/>
    <s v="Focal NGO"/>
    <x v="0"/>
    <n v="0"/>
    <n v="0"/>
    <s v="No"/>
    <n v="0"/>
    <n v="2"/>
    <n v="0"/>
    <n v="0"/>
    <n v="1"/>
    <n v="1"/>
    <n v="120"/>
    <n v="1"/>
    <n v="120"/>
    <n v="1"/>
    <n v="120"/>
    <x v="0"/>
    <n v="0"/>
    <n v="0"/>
    <n v="0"/>
    <n v="33"/>
    <n v="0"/>
    <n v="1"/>
    <n v="120"/>
    <m/>
    <n v="0"/>
    <n v="0"/>
    <n v="8"/>
    <x v="0"/>
    <n v="1"/>
    <n v="120"/>
    <n v="0"/>
    <n v="0"/>
    <n v="1"/>
    <n v="120"/>
    <n v="0"/>
    <n v="1"/>
    <n v="120"/>
    <n v="0"/>
    <n v="1"/>
    <x v="1"/>
    <n v="0.83333333333333337"/>
    <n v="100"/>
    <n v="0.19999999999999996"/>
    <n v="0.83"/>
    <n v="99.6"/>
    <n v="5"/>
    <n v="1"/>
    <n v="0"/>
    <n v="1"/>
    <s v="And also land limited for new sanitation facitlies construction. But Church committee have a plan to relocate some people from this camp to another place. "/>
    <d v="2015-02-18T00:00:00"/>
    <d v="2016-02-18T00:00:00"/>
    <n v="33"/>
    <n v="3"/>
    <n v="0"/>
    <n v="1"/>
    <n v="120"/>
    <x v="0"/>
    <m/>
    <n v="0.8"/>
    <n v="96"/>
    <n v="1"/>
    <s v="Excellent coverage"/>
    <n v="0"/>
    <x v="1"/>
    <s v="temporary  incinerator not functioning"/>
  </r>
  <r>
    <x v="7"/>
    <s v="MMR001CMP022"/>
    <x v="5"/>
    <x v="59"/>
    <n v="97.403407999999999"/>
    <n v="25.377545999999999"/>
    <x v="0"/>
    <x v="0"/>
    <n v="6"/>
    <n v="37"/>
    <n v="37"/>
    <x v="1"/>
    <s v="Shalom"/>
    <x v="0"/>
    <x v="0"/>
    <d v="2015-05-31T00:00:00"/>
    <m/>
    <m/>
    <s v="Focal NGO"/>
    <x v="0"/>
    <n v="0"/>
    <n v="0"/>
    <s v="No"/>
    <n v="0"/>
    <n v="0"/>
    <n v="7200"/>
    <n v="0"/>
    <n v="0"/>
    <n v="1"/>
    <n v="37"/>
    <n v="1"/>
    <n v="37"/>
    <n v="1"/>
    <n v="37"/>
    <x v="0"/>
    <n v="0"/>
    <n v="0"/>
    <n v="9.2499999999999999E-2"/>
    <n v="0"/>
    <n v="0"/>
    <n v="1"/>
    <n v="37"/>
    <m/>
    <n v="0"/>
    <n v="0"/>
    <n v="6"/>
    <x v="0"/>
    <n v="1"/>
    <n v="37"/>
    <n v="0"/>
    <n v="0"/>
    <n v="1"/>
    <n v="37"/>
    <n v="0"/>
    <n v="1"/>
    <n v="37"/>
    <n v="0"/>
    <n v="1"/>
    <x v="3"/>
    <n v="1"/>
    <n v="37"/>
    <n v="0"/>
    <n v="1"/>
    <n v="37"/>
    <n v="2"/>
    <n v="1"/>
    <n v="0"/>
    <n v="1"/>
    <m/>
    <d v="2015-02-13T00:00:00"/>
    <d v="2016-02-13T00:00:00"/>
    <n v="6"/>
    <n v="2"/>
    <n v="0"/>
    <n v="1"/>
    <n v="37"/>
    <x v="0"/>
    <m/>
    <n v="1"/>
    <n v="37"/>
    <n v="2"/>
    <s v="Excellent coverage"/>
    <n v="0"/>
    <x v="0"/>
    <m/>
  </r>
  <r>
    <x v="8"/>
    <s v="MMR001CMP075"/>
    <x v="0"/>
    <x v="60"/>
    <n v="97.418279999999996"/>
    <n v="27.310880000000001"/>
    <x v="1"/>
    <x v="0"/>
    <n v="14"/>
    <n v="64"/>
    <n v="64"/>
    <x v="1"/>
    <m/>
    <x v="3"/>
    <x v="1"/>
    <m/>
    <m/>
    <m/>
    <s v="UNICEF"/>
    <x v="0"/>
    <n v="0"/>
    <n v="0"/>
    <s v="No"/>
    <n v="1"/>
    <n v="0"/>
    <n v="0"/>
    <n v="0"/>
    <n v="0"/>
    <n v="1"/>
    <n v="64"/>
    <n v="1"/>
    <n v="64"/>
    <n v="1"/>
    <n v="64"/>
    <x v="0"/>
    <n v="0"/>
    <n v="0"/>
    <n v="0"/>
    <n v="0"/>
    <n v="0"/>
    <n v="1"/>
    <n v="64"/>
    <m/>
    <n v="14"/>
    <n v="14"/>
    <n v="0"/>
    <x v="2"/>
    <n v="1"/>
    <n v="64"/>
    <n v="1"/>
    <n v="64"/>
    <n v="0"/>
    <n v="0"/>
    <n v="0"/>
    <n v="1"/>
    <n v="64"/>
    <n v="3.2"/>
    <n v="0"/>
    <x v="1"/>
    <n v="0"/>
    <n v="0"/>
    <n v="0.64"/>
    <n v="0"/>
    <n v="0"/>
    <n v="0"/>
    <n v="0"/>
    <n v="0.64"/>
    <n v="0"/>
    <s v="inforamtion gap "/>
    <m/>
    <s v="To be realised"/>
    <n v="0"/>
    <n v="0"/>
    <n v="14"/>
    <n v="0"/>
    <n v="0"/>
    <x v="4"/>
    <m/>
    <n v="0"/>
    <n v="0"/>
    <n v="0"/>
    <s v="No coverage"/>
    <n v="0"/>
    <x v="3"/>
    <s v="information gap (hard access)"/>
  </r>
  <r>
    <x v="8"/>
    <m/>
    <x v="0"/>
    <x v="61"/>
    <s v="NA"/>
    <s v="NA"/>
    <x v="0"/>
    <x v="0"/>
    <n v="27"/>
    <n v="82"/>
    <n v="82"/>
    <x v="1"/>
    <m/>
    <x v="1"/>
    <x v="0"/>
    <s v="Gap"/>
    <m/>
    <m/>
    <s v="Focal NGO"/>
    <x v="0"/>
    <n v="0"/>
    <n v="0"/>
    <s v="No"/>
    <n v="1"/>
    <n v="0"/>
    <n v="0"/>
    <n v="0"/>
    <n v="0"/>
    <n v="1"/>
    <n v="82"/>
    <n v="1"/>
    <n v="82"/>
    <n v="1"/>
    <n v="82"/>
    <x v="0"/>
    <n v="0"/>
    <n v="0"/>
    <n v="0"/>
    <n v="0"/>
    <n v="0"/>
    <n v="1"/>
    <n v="82"/>
    <m/>
    <n v="6"/>
    <n v="6"/>
    <n v="0"/>
    <x v="2"/>
    <n v="1"/>
    <n v="82"/>
    <n v="1"/>
    <n v="82"/>
    <n v="0"/>
    <n v="0"/>
    <n v="0"/>
    <n v="1"/>
    <n v="82"/>
    <n v="4.0999999999999996"/>
    <n v="0"/>
    <x v="1"/>
    <n v="0"/>
    <n v="0"/>
    <n v="0.82"/>
    <n v="0"/>
    <n v="0"/>
    <n v="0"/>
    <n v="0"/>
    <n v="0.82"/>
    <n v="0"/>
    <s v="KBC didn't have plan to construct sanitation facilities"/>
    <m/>
    <s v="To be realised"/>
    <n v="0"/>
    <n v="0"/>
    <n v="27"/>
    <n v="0"/>
    <n v="0"/>
    <x v="4"/>
    <s v="KBC contacted with SI to disbtirubte HK"/>
    <n v="0"/>
    <n v="0"/>
    <n v="0"/>
    <s v="No coverage"/>
    <n v="0"/>
    <x v="2"/>
    <m/>
  </r>
  <r>
    <x v="8"/>
    <s v="MMR001CMP220"/>
    <x v="0"/>
    <x v="62"/>
    <n v="97.584950000000006"/>
    <n v="27.26989"/>
    <x v="0"/>
    <x v="0"/>
    <n v="13"/>
    <n v="87"/>
    <n v="87"/>
    <x v="1"/>
    <s v="KBC"/>
    <x v="1"/>
    <x v="0"/>
    <s v="Gap"/>
    <m/>
    <m/>
    <s v="Focal NGO"/>
    <x v="0"/>
    <n v="0"/>
    <n v="0"/>
    <s v="No"/>
    <n v="0"/>
    <n v="0"/>
    <n v="225"/>
    <n v="0"/>
    <n v="0"/>
    <n v="0.17241379310344829"/>
    <n v="15.000000000000002"/>
    <n v="0.17241379310344829"/>
    <n v="15.000000000000002"/>
    <n v="0.17241379310344829"/>
    <n v="15.000000000000002"/>
    <x v="2"/>
    <n v="0"/>
    <n v="0"/>
    <n v="0.2175"/>
    <n v="0"/>
    <n v="0"/>
    <n v="0.17"/>
    <n v="14.790000000000001"/>
    <s v="this place have a plan to relocate into Lone Sut camp"/>
    <n v="2"/>
    <n v="2"/>
    <n v="0"/>
    <x v="2"/>
    <n v="0.45977011494252873"/>
    <n v="40"/>
    <n v="0.45977011494252873"/>
    <n v="40"/>
    <n v="0"/>
    <n v="0"/>
    <n v="0"/>
    <n v="0.46"/>
    <n v="40.020000000000003"/>
    <n v="4.3499999999999996"/>
    <n v="0"/>
    <x v="1"/>
    <n v="0"/>
    <n v="0"/>
    <n v="0.87"/>
    <n v="0"/>
    <n v="0"/>
    <n v="0"/>
    <n v="0"/>
    <n v="0.87"/>
    <n v="0"/>
    <s v="will move to lone sut camp"/>
    <m/>
    <s v="To be realised"/>
    <n v="0"/>
    <n v="0"/>
    <n v="13"/>
    <n v="0"/>
    <n v="0"/>
    <x v="4"/>
    <m/>
    <n v="0"/>
    <n v="0"/>
    <n v="0"/>
    <s v="No coverage"/>
    <n v="0"/>
    <x v="3"/>
    <m/>
  </r>
  <r>
    <x v="9"/>
    <s v="MMR001CMP113"/>
    <x v="4"/>
    <x v="63"/>
    <n v="97.915833000000006"/>
    <n v="25.220278"/>
    <x v="0"/>
    <x v="1"/>
    <n v="133"/>
    <n v="645"/>
    <n v="645"/>
    <x v="0"/>
    <s v="IRRC"/>
    <x v="2"/>
    <x v="0"/>
    <s v="Gap"/>
    <m/>
    <m/>
    <s v="Focal NGO"/>
    <x v="0"/>
    <n v="0"/>
    <n v="0"/>
    <s v="No"/>
    <n v="0"/>
    <n v="0"/>
    <n v="15000"/>
    <n v="0"/>
    <n v="1"/>
    <n v="1"/>
    <n v="645"/>
    <n v="1"/>
    <n v="645"/>
    <n v="1"/>
    <n v="645"/>
    <x v="0"/>
    <n v="0"/>
    <n v="0"/>
    <n v="1.6125"/>
    <n v="133"/>
    <n v="0"/>
    <n v="1"/>
    <n v="645"/>
    <s v="180 chinese water filter  distributed in 2014"/>
    <n v="115"/>
    <n v="95"/>
    <n v="8"/>
    <x v="0"/>
    <n v="1"/>
    <n v="645"/>
    <n v="0.75193798449612403"/>
    <n v="485"/>
    <n v="0.24806201550387597"/>
    <n v="160"/>
    <n v="0"/>
    <n v="1"/>
    <n v="645"/>
    <n v="24.25"/>
    <n v="1"/>
    <x v="0"/>
    <n v="0.15503875968992248"/>
    <n v="100"/>
    <n v="5.45"/>
    <n v="0.16"/>
    <n v="103.2"/>
    <n v="4"/>
    <n v="0.62015503875968991"/>
    <n v="2.4500000000000002"/>
    <n v="0.62"/>
    <s v="hard to implement due to rocky, logistic issues"/>
    <d v="2015-04-28T00:00:00"/>
    <d v="2016-04-27T00:00:00"/>
    <n v="133"/>
    <n v="3"/>
    <n v="0"/>
    <n v="1"/>
    <n v="645"/>
    <x v="0"/>
    <m/>
    <n v="0"/>
    <n v="0"/>
    <n v="0"/>
    <s v="No coverage"/>
    <n v="0"/>
    <x v="1"/>
    <m/>
  </r>
  <r>
    <x v="9"/>
    <s v="MMR001CMP028"/>
    <x v="5"/>
    <x v="64"/>
    <n v="97.408302000000006"/>
    <n v="25.324567999999999"/>
    <x v="0"/>
    <x v="0"/>
    <n v="110"/>
    <n v="505"/>
    <n v="505"/>
    <x v="0"/>
    <s v="Shalom"/>
    <x v="0"/>
    <x v="0"/>
    <d v="2015-05-31T00:00:00"/>
    <m/>
    <m/>
    <s v="Focal NGO"/>
    <x v="0"/>
    <n v="0"/>
    <n v="0"/>
    <s v="No"/>
    <n v="3"/>
    <n v="1"/>
    <n v="3600"/>
    <n v="0"/>
    <n v="0"/>
    <n v="1"/>
    <n v="505"/>
    <n v="1"/>
    <n v="505"/>
    <n v="1"/>
    <n v="505"/>
    <x v="0"/>
    <n v="0"/>
    <n v="0"/>
    <n v="0"/>
    <n v="0"/>
    <n v="0"/>
    <n v="1"/>
    <n v="505"/>
    <m/>
    <n v="2"/>
    <n v="2"/>
    <n v="26"/>
    <x v="0"/>
    <n v="1"/>
    <n v="505"/>
    <n v="0"/>
    <n v="0"/>
    <n v="1"/>
    <n v="505"/>
    <n v="0"/>
    <n v="1"/>
    <n v="505"/>
    <n v="0"/>
    <n v="4"/>
    <x v="0"/>
    <n v="0.79207920792079212"/>
    <n v="400"/>
    <n v="1.0499999999999998"/>
    <n v="0.79"/>
    <n v="398.95000000000005"/>
    <n v="15"/>
    <n v="1"/>
    <n v="0"/>
    <n v="1"/>
    <m/>
    <d v="2015-02-13T00:00:00"/>
    <d v="2016-02-13T00:00:00"/>
    <n v="110"/>
    <n v="2"/>
    <n v="0"/>
    <n v="1"/>
    <n v="505"/>
    <x v="0"/>
    <m/>
    <n v="1"/>
    <n v="505"/>
    <n v="2"/>
    <s v="Excellent coverage"/>
    <n v="0"/>
    <x v="0"/>
    <m/>
  </r>
  <r>
    <x v="9"/>
    <s v="MMR001CMP115"/>
    <x v="4"/>
    <x v="65"/>
    <n v="97.807182999999995"/>
    <n v="25.200333000000001"/>
    <x v="0"/>
    <x v="1"/>
    <n v="170"/>
    <n v="1156"/>
    <n v="1156"/>
    <x v="0"/>
    <s v="KBC"/>
    <x v="1"/>
    <x v="0"/>
    <d v="2015-06-30T00:00:00"/>
    <s v="OXFAM"/>
    <d v="2015-06-30T00:00:00"/>
    <s v="Focal NGO"/>
    <x v="0"/>
    <n v="0"/>
    <n v="0"/>
    <s v="No"/>
    <n v="0"/>
    <n v="0"/>
    <n v="30000"/>
    <n v="0"/>
    <n v="0"/>
    <n v="1"/>
    <n v="1156"/>
    <n v="1"/>
    <n v="1156"/>
    <n v="1"/>
    <n v="1156"/>
    <x v="0"/>
    <n v="0"/>
    <n v="0"/>
    <n v="2.89"/>
    <n v="0"/>
    <n v="0"/>
    <n v="1"/>
    <n v="1156"/>
    <s v="KBC not distributed CWF in this camp"/>
    <n v="0"/>
    <n v="70"/>
    <n v="0"/>
    <x v="0"/>
    <n v="1"/>
    <n v="1156"/>
    <n v="1"/>
    <n v="1156"/>
    <n v="0"/>
    <n v="0"/>
    <n v="0"/>
    <n v="1"/>
    <n v="1156"/>
    <n v="57.8"/>
    <n v="3"/>
    <x v="0"/>
    <n v="0.25951557093425603"/>
    <n v="300"/>
    <n v="8.56"/>
    <n v="0.26"/>
    <n v="300.56"/>
    <n v="0"/>
    <n v="0"/>
    <n v="11.56"/>
    <n v="0"/>
    <s v=" all hand washing not functioning due to tap broken, bottle moved out. "/>
    <d v="2015-02-18T00:00:00"/>
    <d v="2016-02-18T00:00:00"/>
    <n v="170"/>
    <n v="3"/>
    <n v="0"/>
    <n v="1"/>
    <n v="1156"/>
    <x v="0"/>
    <m/>
    <n v="0.8"/>
    <n v="924.80000000000007"/>
    <n v="3"/>
    <s v="Excellent coverage"/>
    <n v="0"/>
    <x v="1"/>
    <m/>
  </r>
  <r>
    <x v="9"/>
    <s v="MMR001CMP027"/>
    <x v="5"/>
    <x v="66"/>
    <n v="97.451965000000001"/>
    <n v="25.356632000000001"/>
    <x v="0"/>
    <x v="0"/>
    <n v="21"/>
    <n v="109"/>
    <n v="109"/>
    <x v="1"/>
    <s v="Shalom"/>
    <x v="1"/>
    <x v="0"/>
    <d v="2015-06-30T00:00:00"/>
    <s v="OXFAM"/>
    <d v="2015-06-30T00:00:00"/>
    <s v="Focal NGO"/>
    <x v="0"/>
    <n v="0"/>
    <n v="0"/>
    <s v="No"/>
    <n v="1"/>
    <n v="0"/>
    <n v="2000"/>
    <n v="0"/>
    <n v="1"/>
    <n v="1"/>
    <n v="109"/>
    <n v="1"/>
    <n v="109"/>
    <n v="1"/>
    <n v="109"/>
    <x v="0"/>
    <n v="0"/>
    <n v="0"/>
    <n v="0"/>
    <n v="21"/>
    <n v="0"/>
    <n v="1"/>
    <n v="109"/>
    <m/>
    <n v="0"/>
    <n v="0"/>
    <n v="6"/>
    <x v="0"/>
    <n v="1"/>
    <n v="109"/>
    <n v="0"/>
    <n v="0"/>
    <n v="1"/>
    <n v="109"/>
    <n v="0"/>
    <n v="1"/>
    <n v="109"/>
    <n v="0"/>
    <n v="1"/>
    <x v="1"/>
    <n v="0.91743119266055051"/>
    <n v="100"/>
    <n v="9.000000000000008E-2"/>
    <n v="0.92"/>
    <n v="100.28"/>
    <n v="3"/>
    <n v="1"/>
    <n v="0"/>
    <n v="1"/>
    <m/>
    <d v="2015-02-18T00:00:00"/>
    <d v="2016-02-18T00:00:00"/>
    <n v="21"/>
    <n v="3"/>
    <n v="0"/>
    <n v="1"/>
    <n v="109"/>
    <x v="0"/>
    <m/>
    <n v="0.8"/>
    <n v="87.2"/>
    <n v="1"/>
    <s v="Excellent coverage"/>
    <n v="1"/>
    <x v="1"/>
    <m/>
  </r>
  <r>
    <x v="9"/>
    <s v="MMR001CMP119"/>
    <x v="4"/>
    <x v="67"/>
    <n v="97.715230000000005"/>
    <n v="24.980250000000002"/>
    <x v="0"/>
    <x v="1"/>
    <n v="645"/>
    <n v="2810"/>
    <n v="2810"/>
    <x v="3"/>
    <s v="IRRC"/>
    <x v="1"/>
    <x v="0"/>
    <d v="2015-06-30T00:00:00"/>
    <s v="OXFAM"/>
    <d v="2015-06-30T00:00:00"/>
    <s v="Focal NGO"/>
    <x v="0"/>
    <n v="0"/>
    <n v="0"/>
    <s v="No"/>
    <n v="0"/>
    <n v="0"/>
    <n v="45000"/>
    <n v="0"/>
    <n v="0"/>
    <n v="1"/>
    <n v="2810"/>
    <n v="1"/>
    <n v="2810"/>
    <n v="1"/>
    <n v="2810"/>
    <x v="0"/>
    <n v="0"/>
    <n v="0"/>
    <n v="7.0250000000000004"/>
    <n v="0"/>
    <n v="0"/>
    <n v="1"/>
    <n v="2810"/>
    <s v="KBC not distributed CWF in this camp"/>
    <n v="190"/>
    <n v="229"/>
    <n v="0"/>
    <x v="0"/>
    <n v="1"/>
    <n v="2810"/>
    <n v="1"/>
    <n v="2810"/>
    <n v="0"/>
    <n v="0"/>
    <n v="0"/>
    <n v="1"/>
    <n v="2810"/>
    <n v="140.5"/>
    <n v="4"/>
    <x v="0"/>
    <n v="0.14234875444839859"/>
    <n v="400.00000000000006"/>
    <n v="24.1"/>
    <n v="0.14000000000000001"/>
    <n v="393.40000000000003"/>
    <n v="0"/>
    <n v="0"/>
    <n v="28.1"/>
    <n v="0"/>
    <s v=" all hand washing not functioning due to tap broken, bottle moved out. HPA also filled the latrines gap as emergency latrines construction consulted with KBC."/>
    <d v="2015-02-18T00:00:00"/>
    <d v="2016-02-18T00:00:00"/>
    <n v="645"/>
    <n v="3"/>
    <n v="0"/>
    <n v="1"/>
    <n v="2810"/>
    <x v="0"/>
    <m/>
    <n v="1"/>
    <n v="2810"/>
    <n v="5"/>
    <s v="Good coverage"/>
    <n v="0"/>
    <x v="1"/>
    <m/>
  </r>
  <r>
    <x v="9"/>
    <s v="MMR001CMP031"/>
    <x v="5"/>
    <x v="68"/>
    <n v="97.435233999999994"/>
    <n v="25.425276"/>
    <x v="0"/>
    <x v="0"/>
    <n v="118"/>
    <n v="641"/>
    <n v="641"/>
    <x v="0"/>
    <s v="Shalom"/>
    <x v="0"/>
    <x v="0"/>
    <d v="2015-05-31T00:00:00"/>
    <m/>
    <m/>
    <s v="Focal NGO"/>
    <x v="0"/>
    <n v="0"/>
    <n v="0"/>
    <s v="No"/>
    <n v="4"/>
    <n v="0"/>
    <n v="2500"/>
    <n v="0"/>
    <n v="0"/>
    <n v="1"/>
    <n v="641"/>
    <n v="1"/>
    <n v="641"/>
    <n v="1"/>
    <n v="641"/>
    <x v="0"/>
    <n v="0"/>
    <n v="0"/>
    <n v="0"/>
    <n v="0"/>
    <n v="0"/>
    <n v="1"/>
    <n v="641"/>
    <m/>
    <n v="0"/>
    <n v="0"/>
    <n v="24"/>
    <x v="0"/>
    <n v="0.74882995319812795"/>
    <n v="480"/>
    <n v="0"/>
    <n v="0"/>
    <n v="0.74882995319812795"/>
    <n v="480"/>
    <n v="0"/>
    <n v="0.75"/>
    <n v="480.75"/>
    <n v="8.0499999999999972"/>
    <n v="6"/>
    <x v="0"/>
    <n v="0.93603744149765988"/>
    <n v="600"/>
    <n v="0.41000000000000014"/>
    <n v="0.94"/>
    <n v="602.54"/>
    <n v="15"/>
    <n v="1"/>
    <n v="0"/>
    <n v="1"/>
    <m/>
    <d v="2015-02-13T00:00:00"/>
    <d v="2016-02-13T00:00:00"/>
    <n v="118"/>
    <n v="2"/>
    <n v="0"/>
    <n v="1"/>
    <n v="641"/>
    <x v="0"/>
    <m/>
    <n v="1"/>
    <n v="641"/>
    <n v="2"/>
    <s v="Excellent coverage"/>
    <n v="6"/>
    <x v="0"/>
    <s v="temporary incinerator have implemented as pilot by Oxfam but it was not functioning now"/>
  </r>
  <r>
    <x v="9"/>
    <s v="MMR001CMP029"/>
    <x v="5"/>
    <x v="69"/>
    <n v="97.438450000000003"/>
    <n v="25.415900000000001"/>
    <x v="0"/>
    <x v="0"/>
    <n v="238"/>
    <n v="1234"/>
    <n v="1234"/>
    <x v="0"/>
    <s v="KMSS"/>
    <x v="2"/>
    <x v="0"/>
    <s v="Gap"/>
    <m/>
    <m/>
    <s v="Focal NGO"/>
    <x v="0"/>
    <n v="0"/>
    <n v="0"/>
    <s v="No"/>
    <n v="10"/>
    <n v="1"/>
    <n v="15000"/>
    <n v="0"/>
    <n v="1"/>
    <n v="1"/>
    <n v="1234"/>
    <n v="1"/>
    <n v="1234"/>
    <n v="1"/>
    <n v="1234"/>
    <x v="0"/>
    <n v="0"/>
    <n v="0"/>
    <n v="0"/>
    <n v="238"/>
    <n v="0"/>
    <n v="1"/>
    <n v="1234"/>
    <s v="240 CWF diistributed within 26th February 15"/>
    <n v="78"/>
    <n v="32"/>
    <n v="16"/>
    <x v="0"/>
    <n v="0.77795786061588335"/>
    <n v="960"/>
    <n v="0.5186385737439223"/>
    <n v="640.00000000000011"/>
    <n v="0.2593192868719611"/>
    <n v="320"/>
    <n v="0"/>
    <n v="0.78"/>
    <n v="962.52"/>
    <n v="45.7"/>
    <n v="0"/>
    <x v="0"/>
    <n v="0"/>
    <n v="0"/>
    <n v="12.34"/>
    <n v="0"/>
    <n v="0"/>
    <n v="0"/>
    <n v="0"/>
    <n v="12.34"/>
    <n v="0"/>
    <s v="due to lack of running cost, the HWS facilities have not functioing/ 4 bathing space have constructed but all are not functioning currently/8-10 latrines closeed due to near shelter/need to renovate in some latrine "/>
    <d v="2014-05-22T00:00:00"/>
    <d v="2015-05-22T00:00:00"/>
    <n v="238"/>
    <n v="2"/>
    <n v="0"/>
    <n v="1"/>
    <n v="1234"/>
    <x v="5"/>
    <m/>
    <n v="0.5"/>
    <n v="617"/>
    <n v="0"/>
    <s v="No coverage"/>
    <n v="0"/>
    <x v="1"/>
    <m/>
  </r>
  <r>
    <x v="9"/>
    <s v="MMR001CMP040"/>
    <x v="5"/>
    <x v="70"/>
    <n v="97.437434999999994"/>
    <n v="25.411413"/>
    <x v="0"/>
    <x v="0"/>
    <n v="415"/>
    <n v="2077"/>
    <n v="2077"/>
    <x v="2"/>
    <s v="KBC"/>
    <x v="1"/>
    <x v="0"/>
    <d v="2015-06-30T00:00:00"/>
    <s v="OXFAM"/>
    <d v="2015-06-30T00:00:00"/>
    <s v="Focal NGO"/>
    <x v="0"/>
    <n v="0"/>
    <n v="0"/>
    <s v="No"/>
    <n v="8"/>
    <n v="0"/>
    <n v="16800"/>
    <n v="0"/>
    <n v="1"/>
    <n v="1"/>
    <n v="2077"/>
    <n v="1"/>
    <n v="2077"/>
    <n v="1"/>
    <n v="2077"/>
    <x v="0"/>
    <n v="0"/>
    <n v="0"/>
    <n v="0"/>
    <n v="415"/>
    <n v="0"/>
    <n v="1"/>
    <n v="2077"/>
    <m/>
    <n v="0"/>
    <n v="0"/>
    <n v="132"/>
    <x v="0"/>
    <n v="1"/>
    <n v="2077"/>
    <n v="0"/>
    <n v="0"/>
    <n v="1"/>
    <n v="2077"/>
    <n v="4"/>
    <n v="1"/>
    <n v="2077"/>
    <n v="0"/>
    <n v="6"/>
    <x v="0"/>
    <n v="0.28887818969667789"/>
    <n v="600"/>
    <n v="14.77"/>
    <n v="0.28999999999999998"/>
    <n v="602.32999999999993"/>
    <n v="45"/>
    <n v="1"/>
    <n v="0"/>
    <n v="1"/>
    <s v="due to IDPs make and used individual bathing space, no need to construct more. "/>
    <d v="2015-02-18T00:00:00"/>
    <d v="2016-02-18T00:00:00"/>
    <n v="415"/>
    <n v="3"/>
    <n v="0"/>
    <n v="1"/>
    <n v="2077"/>
    <x v="0"/>
    <m/>
    <n v="0.8"/>
    <n v="1661.6000000000001"/>
    <n v="4"/>
    <s v="Good coverage"/>
    <n v="0"/>
    <x v="1"/>
    <s v="6 temporary  incinerator was not functioning "/>
  </r>
  <r>
    <x v="9"/>
    <s v="MMR001CMP039"/>
    <x v="5"/>
    <x v="71"/>
    <n v="97.426297000000005"/>
    <n v="25.409566000000002"/>
    <x v="0"/>
    <x v="0"/>
    <n v="44"/>
    <n v="187"/>
    <n v="187"/>
    <x v="1"/>
    <s v="KBC"/>
    <x v="1"/>
    <x v="0"/>
    <d v="2015-06-30T00:00:00"/>
    <s v="OXFAM"/>
    <d v="2015-06-30T00:00:00"/>
    <s v="Focal NGO"/>
    <x v="0"/>
    <n v="0"/>
    <n v="0"/>
    <s v="No"/>
    <n v="2"/>
    <n v="0"/>
    <n v="3000"/>
    <n v="0"/>
    <n v="1"/>
    <n v="1"/>
    <n v="187"/>
    <n v="1"/>
    <n v="187"/>
    <n v="1"/>
    <n v="187"/>
    <x v="0"/>
    <n v="0"/>
    <n v="0"/>
    <n v="0"/>
    <n v="44"/>
    <n v="0"/>
    <n v="1"/>
    <n v="187"/>
    <m/>
    <n v="0"/>
    <n v="0"/>
    <n v="14"/>
    <x v="0"/>
    <n v="1"/>
    <n v="187"/>
    <n v="0"/>
    <n v="0"/>
    <n v="1"/>
    <n v="187"/>
    <n v="0"/>
    <n v="1"/>
    <n v="187"/>
    <n v="0"/>
    <n v="2"/>
    <x v="2"/>
    <n v="1"/>
    <n v="187"/>
    <n v="0"/>
    <n v="1"/>
    <n v="187"/>
    <n v="3"/>
    <n v="1"/>
    <n v="0"/>
    <n v="1"/>
    <m/>
    <d v="2015-02-18T00:00:00"/>
    <d v="2016-02-18T00:00:00"/>
    <n v="44"/>
    <n v="3"/>
    <n v="0"/>
    <n v="1"/>
    <n v="187"/>
    <x v="0"/>
    <m/>
    <n v="0.8"/>
    <n v="149.6"/>
    <n v="1"/>
    <s v="Excellent coverage"/>
    <n v="0"/>
    <x v="1"/>
    <m/>
  </r>
  <r>
    <x v="9"/>
    <s v="MMR001CMP120"/>
    <x v="4"/>
    <x v="72"/>
    <n v="97.751389000000003"/>
    <n v="24.831944"/>
    <x v="0"/>
    <x v="1"/>
    <n v="191"/>
    <n v="770"/>
    <n v="770"/>
    <x v="0"/>
    <s v="KBC"/>
    <x v="1"/>
    <x v="0"/>
    <d v="2015-06-30T00:00:00"/>
    <s v="OXFAM"/>
    <d v="2015-06-30T00:00:00"/>
    <s v="Focal NGO"/>
    <x v="0"/>
    <n v="0"/>
    <n v="0"/>
    <s v="No"/>
    <n v="0"/>
    <n v="0"/>
    <n v="12000"/>
    <n v="0"/>
    <n v="0"/>
    <n v="1"/>
    <n v="770"/>
    <n v="1"/>
    <n v="770"/>
    <n v="1"/>
    <n v="770"/>
    <x v="0"/>
    <n v="0"/>
    <n v="0"/>
    <n v="1.925"/>
    <n v="0"/>
    <n v="0"/>
    <n v="1"/>
    <n v="770"/>
    <s v="KBC not distributed CWF in this camp"/>
    <n v="11"/>
    <n v="50"/>
    <n v="0"/>
    <x v="0"/>
    <n v="1"/>
    <n v="770"/>
    <n v="1"/>
    <n v="770"/>
    <n v="0"/>
    <n v="0"/>
    <n v="0"/>
    <n v="1"/>
    <n v="770"/>
    <n v="38.5"/>
    <n v="4"/>
    <x v="0"/>
    <n v="0.51948051948051943"/>
    <n v="399.99999999999994"/>
    <n v="3.7"/>
    <n v="0.52"/>
    <n v="400.40000000000003"/>
    <n v="0"/>
    <n v="0"/>
    <n v="7.7"/>
    <n v="0"/>
    <s v="all hand washing not functioning due to tap broken, bottle moved out."/>
    <d v="2015-02-18T00:00:00"/>
    <d v="2016-02-18T00:00:00"/>
    <n v="191"/>
    <n v="3"/>
    <n v="0"/>
    <n v="1"/>
    <n v="770"/>
    <x v="0"/>
    <m/>
    <n v="0.8"/>
    <n v="616"/>
    <n v="3"/>
    <s v="Excellent coverage"/>
    <n v="0"/>
    <x v="1"/>
    <m/>
  </r>
  <r>
    <x v="9"/>
    <s v="MMR001CMP160"/>
    <x v="4"/>
    <x v="73"/>
    <n v="97.990555999999998"/>
    <n v="25.265277999999999"/>
    <x v="0"/>
    <x v="1"/>
    <n v="109"/>
    <n v="640"/>
    <n v="640"/>
    <x v="0"/>
    <s v="IRRC"/>
    <x v="2"/>
    <x v="0"/>
    <s v="Gap"/>
    <m/>
    <m/>
    <s v="Focal NGO"/>
    <x v="0"/>
    <n v="0"/>
    <n v="0"/>
    <s v="No"/>
    <n v="0"/>
    <n v="0"/>
    <n v="13000"/>
    <n v="0"/>
    <n v="1"/>
    <n v="1"/>
    <n v="640"/>
    <n v="1"/>
    <n v="640"/>
    <n v="1"/>
    <n v="640"/>
    <x v="0"/>
    <n v="0"/>
    <n v="0"/>
    <n v="1.6"/>
    <n v="109"/>
    <n v="0"/>
    <n v="1"/>
    <n v="640"/>
    <s v="120 chinese water filter  distributed in 2014"/>
    <n v="80"/>
    <n v="109"/>
    <n v="14"/>
    <x v="0"/>
    <n v="1"/>
    <n v="640"/>
    <n v="0.5625"/>
    <n v="360"/>
    <n v="0.4375"/>
    <n v="280"/>
    <n v="0"/>
    <n v="1"/>
    <n v="640"/>
    <n v="18"/>
    <n v="2"/>
    <x v="0"/>
    <n v="0.3125"/>
    <n v="200"/>
    <n v="4.4000000000000004"/>
    <n v="0.31"/>
    <n v="198.4"/>
    <n v="4"/>
    <n v="0.625"/>
    <n v="2.4000000000000004"/>
    <n v="0.63"/>
    <s v="hard to implement due to rocky, logistic issues"/>
    <d v="2015-04-29T00:00:00"/>
    <d v="2016-04-28T00:00:00"/>
    <n v="109"/>
    <n v="3"/>
    <n v="0"/>
    <n v="1"/>
    <n v="640"/>
    <x v="0"/>
    <m/>
    <n v="0"/>
    <n v="0"/>
    <n v="0"/>
    <s v="No coverage"/>
    <n v="0"/>
    <x v="1"/>
    <m/>
  </r>
  <r>
    <x v="9"/>
    <s v="MMR001CMP032"/>
    <x v="5"/>
    <x v="74"/>
    <n v="97.441483000000005"/>
    <n v="25.354883999999998"/>
    <x v="0"/>
    <x v="0"/>
    <n v="86"/>
    <n v="346"/>
    <n v="246"/>
    <x v="0"/>
    <s v="Shalom"/>
    <x v="0"/>
    <x v="0"/>
    <d v="2015-05-31T00:00:00"/>
    <m/>
    <m/>
    <s v="Focal NGO"/>
    <x v="0"/>
    <n v="0"/>
    <n v="0"/>
    <s v="No"/>
    <n v="1"/>
    <n v="1"/>
    <n v="0"/>
    <n v="0"/>
    <n v="0"/>
    <n v="1"/>
    <n v="246"/>
    <n v="1"/>
    <n v="246"/>
    <n v="1"/>
    <n v="246"/>
    <x v="0"/>
    <n v="0"/>
    <n v="0"/>
    <n v="0"/>
    <n v="0"/>
    <n v="0"/>
    <n v="1"/>
    <n v="246"/>
    <m/>
    <n v="0"/>
    <n v="0"/>
    <n v="8"/>
    <x v="0"/>
    <n v="0.65040650406504064"/>
    <n v="160"/>
    <n v="0"/>
    <n v="0"/>
    <n v="0.65040650406504064"/>
    <n v="160"/>
    <n v="0"/>
    <n v="0.65"/>
    <n v="159.9"/>
    <n v="4.3000000000000007"/>
    <n v="2"/>
    <x v="0"/>
    <n v="0.81300813008130079"/>
    <n v="200"/>
    <n v="1.46"/>
    <n v="0.81"/>
    <n v="199.26000000000002"/>
    <n v="3"/>
    <n v="1"/>
    <n v="0.45999999999999996"/>
    <n v="1"/>
    <m/>
    <d v="2015-02-13T00:00:00"/>
    <d v="2016-02-13T00:00:00"/>
    <n v="86"/>
    <n v="2"/>
    <n v="0"/>
    <n v="1"/>
    <n v="246"/>
    <x v="0"/>
    <m/>
    <n v="1"/>
    <n v="246"/>
    <n v="2"/>
    <s v="Excellent coverage"/>
    <n v="0"/>
    <x v="0"/>
    <m/>
  </r>
  <r>
    <x v="9"/>
    <s v="MMR001CMP025"/>
    <x v="5"/>
    <x v="75"/>
    <n v="97.438271"/>
    <n v="25.351655000000001"/>
    <x v="0"/>
    <x v="0"/>
    <n v="67"/>
    <n v="315"/>
    <n v="315"/>
    <x v="0"/>
    <s v="KBC"/>
    <x v="1"/>
    <x v="0"/>
    <d v="2015-06-30T00:00:00"/>
    <s v="OXFAM"/>
    <d v="2015-06-30T00:00:00"/>
    <s v="Focal NGO"/>
    <x v="0"/>
    <n v="0"/>
    <n v="0"/>
    <s v="No"/>
    <n v="2"/>
    <n v="1"/>
    <n v="0"/>
    <n v="0"/>
    <n v="1"/>
    <n v="1"/>
    <n v="315"/>
    <n v="1"/>
    <n v="315"/>
    <n v="1"/>
    <n v="315"/>
    <x v="0"/>
    <n v="0"/>
    <n v="0"/>
    <n v="0"/>
    <n v="67"/>
    <n v="0"/>
    <n v="1"/>
    <n v="315"/>
    <m/>
    <n v="0"/>
    <n v="0"/>
    <n v="12"/>
    <x v="0"/>
    <n v="0.76190476190476186"/>
    <n v="240"/>
    <n v="0"/>
    <n v="0"/>
    <n v="0.76190476190476186"/>
    <n v="240"/>
    <n v="0"/>
    <n v="0.76"/>
    <n v="239.4"/>
    <n v="3.75"/>
    <n v="2"/>
    <x v="0"/>
    <n v="0.63492063492063489"/>
    <n v="200"/>
    <n v="1.1499999999999999"/>
    <n v="0.63"/>
    <n v="198.45"/>
    <n v="3"/>
    <n v="0.95238095238095233"/>
    <n v="0.14999999999999991"/>
    <n v="0.95"/>
    <s v="have limited spaces to construct more sanitation facilities. Some household has alaready moved to new location (have a plan to move all HHs to this new site. "/>
    <d v="2015-02-18T00:00:00"/>
    <d v="2016-02-18T00:00:00"/>
    <n v="67"/>
    <n v="3"/>
    <n v="0"/>
    <n v="1"/>
    <n v="315"/>
    <x v="0"/>
    <m/>
    <n v="0.8"/>
    <n v="252"/>
    <n v="1"/>
    <s v="Excellent coverage"/>
    <n v="0"/>
    <x v="1"/>
    <m/>
  </r>
  <r>
    <x v="9"/>
    <s v="MMR001CMP030"/>
    <x v="5"/>
    <x v="76"/>
    <n v="97.437568999999996"/>
    <n v="25.346004000000001"/>
    <x v="0"/>
    <x v="0"/>
    <n v="31"/>
    <n v="169"/>
    <n v="169"/>
    <x v="1"/>
    <s v="Shalom"/>
    <x v="0"/>
    <x v="0"/>
    <d v="2015-05-31T00:00:00"/>
    <m/>
    <m/>
    <s v="Focal NGO"/>
    <x v="0"/>
    <n v="0"/>
    <n v="0"/>
    <s v="No"/>
    <n v="2"/>
    <n v="0"/>
    <n v="3000"/>
    <n v="0"/>
    <n v="0"/>
    <n v="1"/>
    <n v="169"/>
    <n v="1"/>
    <n v="169"/>
    <n v="1"/>
    <n v="169"/>
    <x v="0"/>
    <n v="0"/>
    <n v="0"/>
    <n v="0"/>
    <n v="0"/>
    <n v="0"/>
    <n v="1"/>
    <n v="169"/>
    <m/>
    <n v="0"/>
    <n v="0"/>
    <n v="7"/>
    <x v="0"/>
    <n v="0.82840236686390534"/>
    <n v="140"/>
    <n v="0"/>
    <n v="0"/>
    <n v="0.82840236686390534"/>
    <n v="140"/>
    <n v="0"/>
    <n v="0.83"/>
    <n v="140.26999999999998"/>
    <n v="1.4499999999999993"/>
    <n v="4"/>
    <x v="0"/>
    <n v="1"/>
    <n v="169"/>
    <n v="0"/>
    <n v="1"/>
    <n v="169"/>
    <n v="3"/>
    <n v="1"/>
    <n v="0"/>
    <n v="1"/>
    <m/>
    <d v="2015-02-13T00:00:00"/>
    <d v="2016-02-13T00:00:00"/>
    <n v="31"/>
    <n v="2"/>
    <n v="0"/>
    <n v="1"/>
    <n v="169"/>
    <x v="0"/>
    <m/>
    <n v="1"/>
    <n v="169"/>
    <n v="2"/>
    <s v="Excellent coverage"/>
    <n v="0"/>
    <x v="0"/>
    <m/>
  </r>
  <r>
    <x v="9"/>
    <s v="MMR001CMP026"/>
    <x v="5"/>
    <x v="77"/>
    <n v="97.432495000000003"/>
    <n v="25.350809000000002"/>
    <x v="0"/>
    <x v="0"/>
    <n v="91"/>
    <n v="467"/>
    <n v="467"/>
    <x v="0"/>
    <s v="Shalom"/>
    <x v="0"/>
    <x v="0"/>
    <d v="2015-05-31T00:00:00"/>
    <m/>
    <m/>
    <s v="Focal NGO"/>
    <x v="0"/>
    <n v="0"/>
    <n v="0"/>
    <s v="No"/>
    <n v="4"/>
    <n v="0"/>
    <n v="3600"/>
    <n v="0"/>
    <n v="0"/>
    <n v="1"/>
    <n v="467"/>
    <n v="1"/>
    <n v="467"/>
    <n v="1"/>
    <n v="467"/>
    <x v="0"/>
    <n v="0"/>
    <n v="0"/>
    <n v="0"/>
    <n v="0"/>
    <n v="0"/>
    <n v="1"/>
    <n v="467"/>
    <m/>
    <n v="6"/>
    <n v="8"/>
    <n v="19"/>
    <x v="0"/>
    <n v="1"/>
    <n v="467"/>
    <n v="0.1862955032119914"/>
    <n v="86.999999999999986"/>
    <n v="0.8137044967880086"/>
    <n v="380"/>
    <n v="0"/>
    <n v="1"/>
    <n v="467"/>
    <n v="4.3500000000000014"/>
    <n v="5"/>
    <x v="0"/>
    <n v="1"/>
    <n v="467"/>
    <n v="0"/>
    <n v="1"/>
    <n v="467"/>
    <n v="6"/>
    <n v="1"/>
    <n v="0"/>
    <n v="1"/>
    <m/>
    <d v="2015-02-13T00:00:00"/>
    <d v="2016-02-13T00:00:00"/>
    <n v="91"/>
    <n v="2"/>
    <n v="0"/>
    <n v="1"/>
    <n v="467"/>
    <x v="0"/>
    <m/>
    <n v="1"/>
    <n v="467"/>
    <n v="2"/>
    <s v="Excellent coverage"/>
    <n v="1"/>
    <x v="0"/>
    <m/>
  </r>
  <r>
    <x v="9"/>
    <s v="MMR001CMP041"/>
    <x v="4"/>
    <x v="78"/>
    <n v="98.025662999999994"/>
    <n v="25.418084"/>
    <x v="0"/>
    <x v="1"/>
    <n v="198"/>
    <n v="872"/>
    <n v="872"/>
    <x v="0"/>
    <s v="KBC"/>
    <x v="1"/>
    <x v="0"/>
    <d v="2015-06-30T00:00:00"/>
    <s v="OXFAM"/>
    <d v="2015-06-30T00:00:00"/>
    <s v="Focal NGO"/>
    <x v="0"/>
    <n v="0"/>
    <n v="0"/>
    <s v="No"/>
    <n v="0"/>
    <n v="0"/>
    <n v="18000"/>
    <n v="0"/>
    <n v="0"/>
    <n v="1"/>
    <n v="872"/>
    <n v="1"/>
    <n v="872"/>
    <n v="1"/>
    <n v="872"/>
    <x v="0"/>
    <n v="0"/>
    <n v="0"/>
    <n v="2.1800000000000002"/>
    <n v="0"/>
    <n v="0"/>
    <n v="1"/>
    <n v="872"/>
    <s v="KBC not distributed CWF in this camp"/>
    <n v="0"/>
    <n v="44"/>
    <n v="0"/>
    <x v="0"/>
    <n v="1"/>
    <n v="872"/>
    <n v="1"/>
    <n v="872"/>
    <n v="0"/>
    <n v="0"/>
    <n v="0"/>
    <n v="1"/>
    <n v="872"/>
    <n v="43.6"/>
    <n v="3"/>
    <x v="0"/>
    <n v="0.34403669724770641"/>
    <n v="300"/>
    <n v="5.7200000000000006"/>
    <n v="0.34"/>
    <n v="296.48"/>
    <n v="0"/>
    <n v="0"/>
    <n v="8.7200000000000006"/>
    <n v="0"/>
    <s v=" all hand washing not functioning due to tap broken, bottle moved out."/>
    <d v="2015-02-18T00:00:00"/>
    <d v="2016-02-18T00:00:00"/>
    <n v="198"/>
    <n v="3"/>
    <n v="0"/>
    <n v="1"/>
    <n v="872"/>
    <x v="0"/>
    <m/>
    <n v="0.8"/>
    <n v="697.6"/>
    <n v="3"/>
    <s v="Excellent coverage"/>
    <n v="0"/>
    <x v="1"/>
    <m/>
  </r>
  <r>
    <x v="9"/>
    <s v="MMR001CMP037"/>
    <x v="5"/>
    <x v="79"/>
    <n v="97.427959999999999"/>
    <n v="25.33351"/>
    <x v="0"/>
    <x v="0"/>
    <n v="67"/>
    <n v="307"/>
    <n v="307"/>
    <x v="0"/>
    <s v="Shalom"/>
    <x v="0"/>
    <x v="0"/>
    <d v="2015-05-31T00:00:00"/>
    <m/>
    <m/>
    <s v="Focal NGO"/>
    <x v="0"/>
    <n v="0"/>
    <n v="0"/>
    <s v="No"/>
    <n v="3"/>
    <n v="0"/>
    <n v="0"/>
    <n v="0"/>
    <n v="0"/>
    <n v="1"/>
    <n v="307"/>
    <n v="1"/>
    <n v="307"/>
    <n v="1"/>
    <n v="307"/>
    <x v="0"/>
    <n v="0"/>
    <n v="0"/>
    <n v="0"/>
    <n v="0"/>
    <n v="0"/>
    <n v="1"/>
    <n v="307"/>
    <m/>
    <n v="0"/>
    <n v="0"/>
    <n v="13"/>
    <x v="0"/>
    <n v="0.84690553745928343"/>
    <n v="260"/>
    <n v="0"/>
    <n v="0"/>
    <n v="0.84690553745928343"/>
    <n v="260"/>
    <n v="0"/>
    <n v="0.85"/>
    <n v="260.95"/>
    <n v="2.3499999999999996"/>
    <n v="4"/>
    <x v="0"/>
    <n v="1"/>
    <n v="307"/>
    <n v="0"/>
    <n v="1"/>
    <n v="307"/>
    <n v="9"/>
    <n v="1"/>
    <n v="0"/>
    <n v="1"/>
    <m/>
    <d v="2015-02-13T00:00:00"/>
    <d v="2016-02-13T00:00:00"/>
    <n v="67"/>
    <n v="2"/>
    <n v="0"/>
    <n v="1"/>
    <n v="307"/>
    <x v="0"/>
    <m/>
    <n v="1"/>
    <n v="307"/>
    <n v="2"/>
    <s v="Excellent coverage"/>
    <n v="0"/>
    <x v="0"/>
    <s v="temporary incinerator have implemented as pilot by Oxfam but it was not functioning now"/>
  </r>
  <r>
    <x v="9"/>
    <s v="MMR001CMP038"/>
    <x v="5"/>
    <x v="80"/>
    <n v="97.443702000000002"/>
    <n v="25.351241999999999"/>
    <x v="0"/>
    <x v="0"/>
    <n v="91"/>
    <n v="368"/>
    <n v="268"/>
    <x v="0"/>
    <s v="Shalom"/>
    <x v="0"/>
    <x v="0"/>
    <d v="2015-05-31T00:00:00"/>
    <m/>
    <m/>
    <s v="Focal NGO"/>
    <x v="0"/>
    <n v="0"/>
    <n v="0"/>
    <s v="No"/>
    <n v="3"/>
    <n v="0"/>
    <n v="3000"/>
    <n v="0"/>
    <n v="0"/>
    <n v="1"/>
    <n v="268"/>
    <n v="1"/>
    <n v="268"/>
    <n v="1"/>
    <n v="268"/>
    <x v="0"/>
    <n v="0"/>
    <n v="0"/>
    <n v="0"/>
    <n v="0"/>
    <n v="0"/>
    <n v="1"/>
    <n v="268"/>
    <m/>
    <n v="2"/>
    <n v="0"/>
    <n v="6"/>
    <x v="0"/>
    <n v="0.44776119402985076"/>
    <n v="120"/>
    <n v="0"/>
    <n v="0"/>
    <n v="0.44776119402985076"/>
    <n v="120"/>
    <n v="0"/>
    <n v="0.45"/>
    <n v="120.60000000000001"/>
    <n v="7.4"/>
    <n v="3"/>
    <x v="0"/>
    <n v="1"/>
    <n v="268"/>
    <n v="0.68000000000000016"/>
    <n v="1"/>
    <n v="268"/>
    <n v="6"/>
    <n v="1"/>
    <n v="0"/>
    <n v="1"/>
    <m/>
    <d v="2015-02-13T00:00:00"/>
    <d v="2016-02-13T00:00:00"/>
    <n v="91"/>
    <n v="2"/>
    <n v="0"/>
    <n v="1"/>
    <n v="268"/>
    <x v="0"/>
    <m/>
    <n v="1"/>
    <n v="268"/>
    <n v="2"/>
    <s v="Excellent coverage"/>
    <n v="0"/>
    <x v="0"/>
    <m/>
  </r>
  <r>
    <x v="9"/>
    <s v="MMR001CMP036"/>
    <x v="5"/>
    <x v="81"/>
    <n v="97.438259000000002"/>
    <n v="25.355841999999999"/>
    <x v="0"/>
    <x v="0"/>
    <n v="33"/>
    <n v="85"/>
    <n v="85"/>
    <x v="1"/>
    <s v="KBC"/>
    <x v="1"/>
    <x v="0"/>
    <d v="2015-06-30T00:00:00"/>
    <s v="OXFAM"/>
    <d v="2015-06-30T00:00:00"/>
    <s v="Focal NGO"/>
    <x v="0"/>
    <n v="0"/>
    <n v="0"/>
    <s v="No"/>
    <n v="2"/>
    <n v="0"/>
    <n v="6000"/>
    <n v="0"/>
    <n v="1"/>
    <n v="1"/>
    <n v="85"/>
    <n v="1"/>
    <n v="85"/>
    <n v="1"/>
    <n v="85"/>
    <x v="0"/>
    <n v="0"/>
    <n v="0"/>
    <n v="0"/>
    <n v="33"/>
    <n v="0"/>
    <n v="1"/>
    <n v="85"/>
    <m/>
    <n v="0"/>
    <n v="0"/>
    <n v="16"/>
    <x v="1"/>
    <n v="1"/>
    <n v="85"/>
    <n v="0"/>
    <n v="0"/>
    <n v="1"/>
    <n v="85"/>
    <n v="0"/>
    <n v="1"/>
    <n v="85"/>
    <n v="0"/>
    <n v="1"/>
    <x v="1"/>
    <n v="1"/>
    <n v="85"/>
    <n v="0"/>
    <n v="1"/>
    <n v="85"/>
    <n v="3"/>
    <n v="1"/>
    <n v="0"/>
    <n v="1"/>
    <m/>
    <d v="2015-02-18T00:00:00"/>
    <d v="2016-02-18T00:00:00"/>
    <n v="33"/>
    <n v="3"/>
    <n v="0"/>
    <n v="1"/>
    <n v="85"/>
    <x v="0"/>
    <m/>
    <n v="0.8"/>
    <n v="68"/>
    <n v="1"/>
    <s v="Excellent coverage"/>
    <n v="0"/>
    <x v="1"/>
    <m/>
  </r>
  <r>
    <x v="9"/>
    <s v="MMR001CMP116"/>
    <x v="4"/>
    <x v="82"/>
    <s v="NA"/>
    <s v="NA"/>
    <x v="0"/>
    <x v="1"/>
    <n v="48"/>
    <n v="218"/>
    <n v="218"/>
    <x v="1"/>
    <s v="IRRC"/>
    <x v="4"/>
    <x v="0"/>
    <d v="2015-04-30T00:00:00"/>
    <m/>
    <m/>
    <s v="Focal NGO"/>
    <x v="0"/>
    <n v="0"/>
    <n v="0"/>
    <s v="No"/>
    <n v="0"/>
    <n v="0"/>
    <n v="30240"/>
    <n v="0"/>
    <n v="1"/>
    <n v="1"/>
    <n v="218"/>
    <n v="1"/>
    <n v="218"/>
    <n v="1"/>
    <n v="218"/>
    <x v="0"/>
    <n v="0"/>
    <n v="0"/>
    <n v="0.54500000000000004"/>
    <n v="48"/>
    <n v="0"/>
    <n v="1"/>
    <n v="218"/>
    <m/>
    <n v="0"/>
    <n v="0"/>
    <n v="12"/>
    <x v="2"/>
    <n v="1"/>
    <n v="218"/>
    <n v="0"/>
    <n v="0"/>
    <n v="1"/>
    <n v="218"/>
    <n v="0"/>
    <n v="1"/>
    <n v="218"/>
    <n v="0"/>
    <n v="4"/>
    <x v="1"/>
    <n v="1"/>
    <n v="218"/>
    <n v="0"/>
    <n v="1"/>
    <n v="218"/>
    <n v="6"/>
    <n v="1"/>
    <n v="0"/>
    <n v="1"/>
    <m/>
    <d v="2014-04-01T00:00:00"/>
    <s v="To be realised"/>
    <n v="48"/>
    <n v="12"/>
    <n v="48"/>
    <n v="0"/>
    <n v="0"/>
    <x v="0"/>
    <s v="Metta only distributed refill HK in 2015"/>
    <n v="0.5"/>
    <n v="109"/>
    <n v="0"/>
    <s v="No coverage"/>
    <n v="0"/>
    <x v="2"/>
    <m/>
  </r>
  <r>
    <x v="9"/>
    <s v="MMR001CMP116"/>
    <x v="4"/>
    <x v="83"/>
    <n v="97.567116999999996"/>
    <n v="24.768383"/>
    <x v="1"/>
    <x v="1"/>
    <n v="659"/>
    <n v="3541"/>
    <n v="3541"/>
    <x v="3"/>
    <m/>
    <x v="4"/>
    <x v="0"/>
    <d v="2015-04-30T00:00:00"/>
    <m/>
    <m/>
    <s v="Focal NGO"/>
    <x v="0"/>
    <n v="0"/>
    <n v="0"/>
    <s v="No"/>
    <n v="3"/>
    <n v="0"/>
    <n v="70000"/>
    <n v="0"/>
    <n v="1"/>
    <n v="1"/>
    <n v="3541"/>
    <n v="1"/>
    <n v="3541"/>
    <n v="1"/>
    <n v="3541"/>
    <x v="0"/>
    <n v="0"/>
    <n v="0"/>
    <n v="5.8524999999999991"/>
    <n v="659"/>
    <n v="0"/>
    <n v="1"/>
    <n v="3541"/>
    <m/>
    <n v="0"/>
    <n v="0"/>
    <n v="659"/>
    <x v="2"/>
    <n v="1"/>
    <n v="3541"/>
    <n v="0"/>
    <n v="0"/>
    <n v="1"/>
    <n v="3541"/>
    <n v="0"/>
    <n v="1"/>
    <n v="3541"/>
    <n v="0"/>
    <n v="0"/>
    <x v="1"/>
    <n v="0"/>
    <n v="0"/>
    <n v="35.409999999999997"/>
    <n v="0"/>
    <n v="0"/>
    <n v="0"/>
    <n v="0"/>
    <n v="35.409999999999997"/>
    <n v="0"/>
    <s v="every host families HH have a latrine"/>
    <d v="2014-04-01T00:00:00"/>
    <s v="To be realised"/>
    <n v="659"/>
    <n v="12"/>
    <n v="659"/>
    <n v="0"/>
    <n v="0"/>
    <x v="0"/>
    <s v="Metta only distributed refill HK in 2015"/>
    <n v="0"/>
    <n v="0"/>
    <n v="0"/>
    <s v="No coverage"/>
    <n v="0"/>
    <x v="2"/>
    <m/>
  </r>
  <r>
    <x v="9"/>
    <s v="MMR001CMP116"/>
    <x v="4"/>
    <x v="84"/>
    <n v="97.567116999999996"/>
    <n v="24.768383"/>
    <x v="0"/>
    <x v="1"/>
    <n v="281"/>
    <n v="1534"/>
    <n v="1534"/>
    <x v="2"/>
    <s v="IRRC"/>
    <x v="4"/>
    <x v="0"/>
    <d v="2015-04-30T00:00:00"/>
    <m/>
    <m/>
    <s v="Focal NGO"/>
    <x v="0"/>
    <n v="0"/>
    <n v="0"/>
    <s v="No"/>
    <n v="0"/>
    <n v="0"/>
    <n v="53805"/>
    <n v="0"/>
    <n v="1"/>
    <n v="1"/>
    <n v="1534"/>
    <n v="1"/>
    <n v="1534"/>
    <n v="1"/>
    <n v="1534"/>
    <x v="0"/>
    <n v="0"/>
    <n v="0"/>
    <n v="3.835"/>
    <n v="281"/>
    <n v="0"/>
    <n v="1"/>
    <n v="1534"/>
    <m/>
    <n v="0"/>
    <n v="29"/>
    <n v="53"/>
    <x v="2"/>
    <n v="1"/>
    <n v="1534"/>
    <n v="0.30899608865710559"/>
    <n v="474"/>
    <n v="0.69100391134289441"/>
    <n v="1060"/>
    <n v="0"/>
    <n v="1"/>
    <n v="1534"/>
    <n v="23.700000000000003"/>
    <n v="16"/>
    <x v="1"/>
    <n v="1"/>
    <n v="1534"/>
    <n v="0"/>
    <n v="1"/>
    <n v="1534"/>
    <n v="7"/>
    <n v="0.45632333767926986"/>
    <n v="8.34"/>
    <n v="0.46"/>
    <s v="land limited for more semi-permanent latrine construciton and also for other sanitation facilities, they more preferred to take a bath near their  shelter."/>
    <d v="2014-04-01T00:00:00"/>
    <s v="To be realised"/>
    <n v="281"/>
    <n v="12"/>
    <n v="281"/>
    <n v="0"/>
    <n v="0"/>
    <x v="0"/>
    <s v="Metta only distributed refill HK in 2015"/>
    <n v="0.5"/>
    <n v="767"/>
    <n v="5"/>
    <s v="Excellent coverage"/>
    <n v="0"/>
    <x v="1"/>
    <m/>
  </r>
  <r>
    <x v="9"/>
    <s v="MMR001CMP111"/>
    <x v="4"/>
    <x v="85"/>
    <n v="97.756789999999995"/>
    <n v="25.106670000000001"/>
    <x v="0"/>
    <x v="1"/>
    <n v="646"/>
    <n v="2440"/>
    <n v="2440"/>
    <x v="3"/>
    <s v="KBC"/>
    <x v="1"/>
    <x v="0"/>
    <d v="2015-06-30T00:00:00"/>
    <s v="OXFAM"/>
    <d v="2015-06-30T00:00:00"/>
    <s v="Focal NGO"/>
    <x v="0"/>
    <n v="0"/>
    <n v="0"/>
    <s v="No"/>
    <n v="0"/>
    <n v="0"/>
    <n v="40000"/>
    <n v="0"/>
    <n v="0"/>
    <n v="1"/>
    <n v="2440"/>
    <n v="1"/>
    <n v="2440"/>
    <n v="1"/>
    <n v="2440"/>
    <x v="0"/>
    <n v="0"/>
    <n v="0"/>
    <n v="6.1"/>
    <n v="0"/>
    <n v="0"/>
    <n v="1"/>
    <n v="2440"/>
    <s v="KBC not distributed CWF in this camp"/>
    <n v="80"/>
    <n v="160"/>
    <n v="0"/>
    <x v="0"/>
    <n v="1"/>
    <n v="2440"/>
    <n v="1"/>
    <n v="2440"/>
    <n v="0"/>
    <n v="0"/>
    <n v="0"/>
    <n v="1"/>
    <n v="2440"/>
    <n v="122"/>
    <n v="12"/>
    <x v="0"/>
    <n v="0.49180327868852458"/>
    <n v="1200"/>
    <n v="12.399999999999999"/>
    <n v="0.49"/>
    <n v="1195.5999999999999"/>
    <n v="0"/>
    <n v="0"/>
    <n v="24.4"/>
    <n v="0"/>
    <s v=" all hand washing not functioning due to tap broken, bottle moved out. HPA also filled the latrines gap as emergency latrines construction consulted with KBC.  "/>
    <d v="2015-02-18T00:00:00"/>
    <d v="2016-02-18T00:00:00"/>
    <n v="646"/>
    <n v="3"/>
    <n v="0"/>
    <n v="1"/>
    <n v="2440"/>
    <x v="0"/>
    <m/>
    <n v="0.8"/>
    <n v="1952"/>
    <n v="5"/>
    <s v="Excellent coverage"/>
    <n v="0"/>
    <x v="1"/>
    <m/>
  </r>
  <r>
    <x v="0"/>
    <m/>
    <x v="0"/>
    <x v="86"/>
    <n v="98.134313888888897"/>
    <n v="25.8873472222222"/>
    <x v="2"/>
    <x v="0"/>
    <n v="0"/>
    <n v="45"/>
    <n v="45"/>
    <x v="1"/>
    <s v="KMSS"/>
    <x v="2"/>
    <x v="0"/>
    <s v="Gap"/>
    <m/>
    <m/>
    <s v="Focal NGO"/>
    <x v="0"/>
    <n v="0"/>
    <n v="0"/>
    <s v="No"/>
    <n v="0"/>
    <n v="0"/>
    <n v="860"/>
    <n v="0"/>
    <n v="1"/>
    <n v="1"/>
    <n v="45"/>
    <n v="1"/>
    <n v="45"/>
    <n v="1"/>
    <n v="45"/>
    <x v="0"/>
    <n v="0"/>
    <n v="0"/>
    <n v="0.1125"/>
    <n v="0"/>
    <n v="0"/>
    <n v="1"/>
    <n v="45"/>
    <s v="14 chinese water filter distributed 2014"/>
    <n v="4"/>
    <n v="2"/>
    <n v="2"/>
    <x v="1"/>
    <n v="1"/>
    <n v="45"/>
    <n v="0.11111111111111116"/>
    <n v="5.0000000000000018"/>
    <n v="0.88888888888888884"/>
    <n v="40"/>
    <n v="0"/>
    <n v="1"/>
    <n v="45"/>
    <n v="0.25"/>
    <n v="2"/>
    <x v="0"/>
    <n v="1"/>
    <n v="45"/>
    <n v="0"/>
    <n v="1"/>
    <n v="45"/>
    <n v="5"/>
    <n v="1"/>
    <n v="0"/>
    <n v="1"/>
    <m/>
    <d v="2014-05-21T00:00:00"/>
    <d v="2015-05-21T00:00:00"/>
    <n v="43"/>
    <n v="10"/>
    <n v="0"/>
    <n v="1"/>
    <n v="45"/>
    <x v="0"/>
    <m/>
    <n v="0"/>
    <n v="0"/>
    <n v="0"/>
    <s v="No coverage"/>
    <n v="0"/>
    <x v="0"/>
    <m/>
  </r>
  <r>
    <x v="9"/>
    <s v="MMR001CMP208"/>
    <x v="4"/>
    <x v="87"/>
    <n v="97.541793999999996"/>
    <n v="24.752471"/>
    <x v="2"/>
    <x v="1"/>
    <n v="0"/>
    <n v="391"/>
    <n v="391"/>
    <x v="1"/>
    <m/>
    <x v="4"/>
    <x v="0"/>
    <d v="2015-04-30T00:00:00"/>
    <m/>
    <m/>
    <s v="Focal NGO"/>
    <x v="0"/>
    <n v="0"/>
    <n v="0"/>
    <s v="No"/>
    <n v="0"/>
    <n v="0"/>
    <n v="6000"/>
    <n v="0"/>
    <n v="1"/>
    <n v="1"/>
    <n v="391"/>
    <n v="1"/>
    <n v="391"/>
    <n v="1"/>
    <n v="391"/>
    <x v="0"/>
    <n v="0"/>
    <n v="0"/>
    <n v="0.97750000000000004"/>
    <n v="0"/>
    <n v="0"/>
    <n v="1"/>
    <n v="391"/>
    <m/>
    <n v="0"/>
    <n v="8"/>
    <n v="20"/>
    <x v="1"/>
    <n v="1"/>
    <n v="391"/>
    <n v="0"/>
    <n v="0"/>
    <n v="1"/>
    <n v="391"/>
    <n v="0"/>
    <n v="1"/>
    <n v="391"/>
    <n v="0"/>
    <n v="4"/>
    <x v="0"/>
    <n v="1"/>
    <n v="391"/>
    <n v="0"/>
    <n v="1"/>
    <n v="391"/>
    <n v="1"/>
    <n v="0.25575447570332482"/>
    <n v="2.91"/>
    <n v="0.26"/>
    <m/>
    <m/>
    <s v="To be realised"/>
    <n v="0"/>
    <n v="0"/>
    <n v="0"/>
    <n v="1"/>
    <n v="391"/>
    <x v="4"/>
    <s v="Metta only distributed refill HK in 2015"/>
    <n v="0"/>
    <n v="0"/>
    <n v="0"/>
    <s v="No coverage"/>
    <n v="0"/>
    <x v="2"/>
    <m/>
  </r>
  <r>
    <x v="9"/>
    <s v="MMR001CMP208"/>
    <x v="4"/>
    <x v="88"/>
    <n v="97.541793999999996"/>
    <n v="24.752471"/>
    <x v="2"/>
    <x v="1"/>
    <n v="0"/>
    <n v="528"/>
    <n v="528"/>
    <x v="1"/>
    <m/>
    <x v="4"/>
    <x v="0"/>
    <d v="2015-04-30T00:00:00"/>
    <m/>
    <m/>
    <s v="Focal NGO"/>
    <x v="0"/>
    <n v="0"/>
    <n v="0"/>
    <s v="No"/>
    <n v="1"/>
    <n v="0"/>
    <n v="7920"/>
    <n v="0"/>
    <n v="1"/>
    <n v="1"/>
    <n v="528"/>
    <n v="1"/>
    <n v="528"/>
    <n v="1"/>
    <n v="528"/>
    <x v="0"/>
    <n v="0"/>
    <n v="0"/>
    <n v="0.32000000000000006"/>
    <n v="0"/>
    <n v="0"/>
    <n v="1"/>
    <n v="528"/>
    <m/>
    <n v="0"/>
    <n v="7"/>
    <n v="15"/>
    <x v="1"/>
    <n v="0.83333333333333337"/>
    <n v="440"/>
    <n v="0.26515151515151514"/>
    <n v="140"/>
    <n v="0.56818181818181823"/>
    <n v="300"/>
    <n v="0"/>
    <n v="0.83"/>
    <n v="438.23999999999995"/>
    <n v="11.399999999999999"/>
    <n v="4"/>
    <x v="0"/>
    <n v="0.75757575757575757"/>
    <n v="400"/>
    <n v="1.2800000000000002"/>
    <n v="0.76"/>
    <n v="401.28000000000003"/>
    <n v="0"/>
    <n v="0"/>
    <n v="5.28"/>
    <n v="0"/>
    <m/>
    <m/>
    <s v="To be realised"/>
    <n v="0"/>
    <n v="0"/>
    <n v="0"/>
    <n v="1"/>
    <n v="528"/>
    <x v="4"/>
    <s v="Metta only distributed refill HK in 2015"/>
    <n v="0"/>
    <n v="0"/>
    <n v="0"/>
    <s v="No coverage"/>
    <n v="0"/>
    <x v="2"/>
    <m/>
  </r>
  <r>
    <x v="8"/>
    <s v="MMR001CMP227"/>
    <x v="0"/>
    <x v="89"/>
    <n v="97.561105999999995"/>
    <n v="27.248964999999998"/>
    <x v="1"/>
    <x v="0"/>
    <n v="12"/>
    <n v="52"/>
    <n v="52"/>
    <x v="1"/>
    <m/>
    <x v="1"/>
    <x v="0"/>
    <s v="Gap"/>
    <m/>
    <m/>
    <s v="Focal NGO"/>
    <x v="0"/>
    <n v="0"/>
    <n v="0"/>
    <s v="No"/>
    <n v="1"/>
    <n v="0"/>
    <n v="0"/>
    <n v="0"/>
    <n v="0"/>
    <n v="1"/>
    <n v="52"/>
    <n v="1"/>
    <n v="52"/>
    <n v="1"/>
    <n v="52"/>
    <x v="0"/>
    <n v="0"/>
    <n v="0"/>
    <n v="0"/>
    <n v="0"/>
    <n v="0"/>
    <n v="1"/>
    <n v="52"/>
    <s v="this place have a plan to relocate into Lone Sut camp"/>
    <n v="10"/>
    <n v="10"/>
    <n v="0"/>
    <x v="2"/>
    <n v="1"/>
    <n v="52"/>
    <n v="1"/>
    <n v="52"/>
    <n v="0"/>
    <n v="0"/>
    <n v="0"/>
    <n v="1"/>
    <n v="52"/>
    <n v="2.6"/>
    <n v="0"/>
    <x v="1"/>
    <n v="0"/>
    <n v="0"/>
    <n v="0.52"/>
    <n v="0"/>
    <n v="0"/>
    <n v="0"/>
    <n v="0"/>
    <n v="0.52"/>
    <n v="0"/>
    <m/>
    <m/>
    <s v="To be realised"/>
    <n v="0"/>
    <n v="0"/>
    <n v="12"/>
    <n v="0"/>
    <n v="0"/>
    <x v="4"/>
    <m/>
    <n v="0"/>
    <n v="0"/>
    <n v="0"/>
    <s v="No coverage"/>
    <n v="0"/>
    <x v="3"/>
    <m/>
  </r>
  <r>
    <x v="9"/>
    <s v="MMR001CMP033"/>
    <x v="5"/>
    <x v="90"/>
    <n v="97.345039"/>
    <n v="25.351965"/>
    <x v="0"/>
    <x v="0"/>
    <n v="18"/>
    <n v="78"/>
    <n v="78"/>
    <x v="1"/>
    <s v="Shalom"/>
    <x v="0"/>
    <x v="0"/>
    <d v="2015-05-31T00:00:00"/>
    <m/>
    <m/>
    <s v="Focal NGO"/>
    <x v="0"/>
    <n v="0"/>
    <n v="0"/>
    <s v="No"/>
    <n v="1"/>
    <n v="1"/>
    <n v="0"/>
    <n v="0"/>
    <n v="0"/>
    <n v="1"/>
    <n v="78"/>
    <n v="1"/>
    <n v="78"/>
    <n v="1"/>
    <n v="78"/>
    <x v="0"/>
    <n v="0"/>
    <n v="0"/>
    <n v="0"/>
    <n v="0"/>
    <n v="0"/>
    <n v="1"/>
    <n v="78"/>
    <m/>
    <n v="0"/>
    <n v="0"/>
    <n v="5"/>
    <x v="0"/>
    <n v="1"/>
    <n v="78"/>
    <n v="0"/>
    <n v="0"/>
    <n v="1"/>
    <n v="78"/>
    <n v="0"/>
    <n v="1"/>
    <n v="78"/>
    <n v="0"/>
    <n v="1"/>
    <x v="1"/>
    <n v="1"/>
    <n v="78"/>
    <n v="0"/>
    <n v="1"/>
    <n v="78"/>
    <n v="0"/>
    <n v="0"/>
    <n v="0.78"/>
    <n v="0"/>
    <m/>
    <d v="2015-02-13T00:00:00"/>
    <d v="2016-02-13T00:00:00"/>
    <n v="18"/>
    <n v="2"/>
    <n v="0"/>
    <n v="1"/>
    <n v="78"/>
    <x v="0"/>
    <m/>
    <n v="1"/>
    <n v="78"/>
    <n v="1"/>
    <s v="Excellent coverage"/>
    <n v="0"/>
    <x v="0"/>
    <m/>
  </r>
  <r>
    <x v="1"/>
    <s v="MMR001CMP231"/>
    <x v="1"/>
    <x v="91"/>
    <n v="96.341520000000003"/>
    <n v="25.655280000000001"/>
    <x v="0"/>
    <x v="0"/>
    <n v="58"/>
    <n v="224"/>
    <n v="224"/>
    <x v="0"/>
    <m/>
    <x v="3"/>
    <x v="1"/>
    <s v="Gap"/>
    <m/>
    <m/>
    <s v="UNICEF"/>
    <x v="0"/>
    <n v="0"/>
    <n v="0"/>
    <s v="No"/>
    <n v="2"/>
    <n v="0"/>
    <n v="12960"/>
    <n v="0"/>
    <n v="0"/>
    <n v="1"/>
    <n v="224"/>
    <n v="1"/>
    <n v="224"/>
    <n v="1"/>
    <n v="224"/>
    <x v="0"/>
    <n v="0"/>
    <n v="0"/>
    <n v="0"/>
    <n v="0"/>
    <n v="0"/>
    <n v="1"/>
    <n v="224"/>
    <m/>
    <n v="0"/>
    <n v="0"/>
    <n v="6"/>
    <x v="2"/>
    <n v="0.5357142857142857"/>
    <n v="120"/>
    <n v="0"/>
    <n v="0"/>
    <n v="0.5357142857142857"/>
    <n v="120"/>
    <n v="0"/>
    <n v="0.54"/>
    <n v="120.96000000000001"/>
    <n v="5.1999999999999993"/>
    <n v="1"/>
    <x v="1"/>
    <n v="0.44642857142857145"/>
    <n v="100"/>
    <n v="1.2400000000000002"/>
    <n v="0.45"/>
    <n v="100.8"/>
    <n v="0"/>
    <n v="0"/>
    <n v="2.2400000000000002"/>
    <n v="0"/>
    <m/>
    <m/>
    <s v="To be realised"/>
    <n v="0"/>
    <m/>
    <n v="58"/>
    <n v="0"/>
    <n v="0"/>
    <x v="4"/>
    <m/>
    <n v="0"/>
    <n v="0"/>
    <n v="0"/>
    <s v="No coverage"/>
    <n v="0"/>
    <x v="1"/>
    <m/>
  </r>
  <r>
    <x v="10"/>
    <s v="MMR001CMP212"/>
    <x v="3"/>
    <x v="92"/>
    <n v="97.710989999999995"/>
    <n v="24.181640000000002"/>
    <x v="0"/>
    <x v="0"/>
    <n v="278"/>
    <n v="1187"/>
    <n v="1199"/>
    <x v="2"/>
    <s v="KBC"/>
    <x v="5"/>
    <x v="0"/>
    <d v="2015-08-31T00:00:00"/>
    <m/>
    <m/>
    <s v="Focal NGO"/>
    <x v="0"/>
    <n v="0"/>
    <n v="0"/>
    <s v="No"/>
    <n v="2"/>
    <n v="0"/>
    <n v="36000"/>
    <n v="0"/>
    <n v="0"/>
    <n v="1"/>
    <n v="1199"/>
    <n v="1"/>
    <n v="1199"/>
    <n v="1"/>
    <n v="1199"/>
    <x v="0"/>
    <n v="0"/>
    <n v="0"/>
    <n v="0.99750000000000005"/>
    <n v="0"/>
    <n v="0"/>
    <n v="1"/>
    <n v="1199"/>
    <m/>
    <n v="24"/>
    <n v="19"/>
    <n v="38"/>
    <x v="2"/>
    <n v="0.95079232693911597"/>
    <n v="1140"/>
    <n v="0.31693077564637206"/>
    <n v="380.00000000000011"/>
    <n v="0.63386155129274391"/>
    <n v="760"/>
    <n v="6"/>
    <n v="1"/>
    <n v="1199"/>
    <n v="27.950000000000003"/>
    <n v="6"/>
    <x v="4"/>
    <n v="0.50041701417848206"/>
    <n v="600"/>
    <n v="5.8699999999999992"/>
    <n v="0.5"/>
    <n v="599.5"/>
    <n v="30"/>
    <n v="1"/>
    <n v="0"/>
    <n v="1"/>
    <m/>
    <d v="2015-02-20T00:00:00"/>
    <d v="2016-02-20T00:00:00"/>
    <n v="285"/>
    <n v="1"/>
    <n v="0"/>
    <n v="1"/>
    <n v="1199"/>
    <x v="0"/>
    <m/>
    <n v="1"/>
    <n v="1199"/>
    <n v="2"/>
    <s v="Good coverage"/>
    <n v="0"/>
    <x v="4"/>
    <m/>
  </r>
  <r>
    <x v="10"/>
    <s v="MMR001CMP213"/>
    <x v="3"/>
    <x v="93"/>
    <n v="97.710989999999995"/>
    <n v="24.181640000000002"/>
    <x v="0"/>
    <x v="0"/>
    <n v="130"/>
    <n v="545"/>
    <n v="587"/>
    <x v="0"/>
    <s v="KMSS"/>
    <x v="5"/>
    <x v="0"/>
    <d v="2015-08-31T00:00:00"/>
    <m/>
    <m/>
    <s v="Focal NGO"/>
    <x v="0"/>
    <n v="0"/>
    <n v="0"/>
    <s v="No"/>
    <n v="1"/>
    <n v="0"/>
    <n v="13500"/>
    <n v="0"/>
    <n v="0"/>
    <n v="1"/>
    <n v="587"/>
    <n v="1"/>
    <n v="587"/>
    <n v="1"/>
    <n v="587"/>
    <x v="0"/>
    <n v="0"/>
    <n v="0"/>
    <n v="0.46750000000000003"/>
    <n v="0"/>
    <n v="0"/>
    <n v="1"/>
    <n v="587"/>
    <m/>
    <n v="9"/>
    <n v="9"/>
    <n v="16"/>
    <x v="4"/>
    <n v="0.85178875638841567"/>
    <n v="500"/>
    <n v="0.30664395229982966"/>
    <n v="180"/>
    <n v="0.54514480408858601"/>
    <n v="320"/>
    <n v="0"/>
    <n v="1"/>
    <n v="587"/>
    <n v="13.350000000000001"/>
    <n v="3"/>
    <x v="4"/>
    <n v="0.51107325383304936"/>
    <n v="300"/>
    <n v="2.4500000000000002"/>
    <n v="0.51"/>
    <n v="299.37"/>
    <n v="9"/>
    <n v="1"/>
    <n v="0"/>
    <n v="1"/>
    <m/>
    <d v="2015-02-20T00:00:00"/>
    <d v="2016-02-20T00:00:00"/>
    <n v="122"/>
    <n v="1"/>
    <n v="8"/>
    <n v="0.93846153846153846"/>
    <n v="550.87692307692305"/>
    <x v="0"/>
    <m/>
    <n v="1"/>
    <n v="587"/>
    <n v="1"/>
    <s v="Good coverage"/>
    <n v="0"/>
    <x v="4"/>
    <m/>
  </r>
  <r>
    <x v="6"/>
    <s v="MMR001CMP197"/>
    <x v="6"/>
    <x v="94"/>
    <n v="97.344350000000006"/>
    <n v="24.25067"/>
    <x v="1"/>
    <x v="0"/>
    <n v="355"/>
    <n v="1361"/>
    <n v="1361"/>
    <x v="2"/>
    <m/>
    <x v="5"/>
    <x v="0"/>
    <d v="2015-08-31T00:00:00"/>
    <m/>
    <m/>
    <s v="Focal NGO"/>
    <x v="0"/>
    <n v="0"/>
    <n v="0"/>
    <s v="No"/>
    <n v="150"/>
    <n v="63"/>
    <n v="0"/>
    <n v="0"/>
    <n v="0"/>
    <n v="1"/>
    <n v="1361"/>
    <n v="1"/>
    <n v="1361"/>
    <n v="1"/>
    <n v="1361"/>
    <x v="0"/>
    <n v="0"/>
    <n v="0"/>
    <n v="0"/>
    <n v="0"/>
    <n v="0"/>
    <n v="1"/>
    <n v="1361"/>
    <m/>
    <n v="0"/>
    <n v="276"/>
    <n v="9"/>
    <x v="4"/>
    <n v="1"/>
    <n v="1361"/>
    <n v="0.86774430565760474"/>
    <n v="1181"/>
    <n v="0.13225569434239529"/>
    <n v="179.99999999999997"/>
    <n v="0"/>
    <n v="1"/>
    <n v="1361"/>
    <n v="59.05"/>
    <n v="213"/>
    <x v="1"/>
    <n v="1"/>
    <n v="1361"/>
    <n v="0"/>
    <n v="1"/>
    <n v="1361"/>
    <n v="0"/>
    <n v="0"/>
    <n v="13.61"/>
    <n v="0"/>
    <s v="danitation data filling due to CESVI host families assessment "/>
    <d v="2014-12-19T00:00:00"/>
    <d v="2015-12-19T00:00:00"/>
    <n v="334"/>
    <n v="0"/>
    <n v="21"/>
    <n v="0.94084507042253518"/>
    <n v="1280.4901408450703"/>
    <x v="1"/>
    <m/>
    <n v="1"/>
    <n v="1361"/>
    <n v="4"/>
    <s v="Excellent coverage"/>
    <n v="0"/>
    <x v="4"/>
    <m/>
  </r>
  <r>
    <x v="11"/>
    <s v="MMR001CMP163"/>
    <x v="6"/>
    <x v="95"/>
    <n v="97.228769999999997"/>
    <n v="24.26502"/>
    <x v="1"/>
    <x v="0"/>
    <n v="195"/>
    <n v="926"/>
    <n v="926"/>
    <x v="0"/>
    <m/>
    <x v="5"/>
    <x v="0"/>
    <d v="2015-08-31T00:00:00"/>
    <m/>
    <m/>
    <s v="Focal NGO"/>
    <x v="0"/>
    <n v="0"/>
    <n v="0"/>
    <s v="No"/>
    <n v="40"/>
    <n v="105"/>
    <n v="0"/>
    <n v="0"/>
    <n v="0"/>
    <n v="1"/>
    <n v="926"/>
    <n v="1"/>
    <n v="926"/>
    <n v="1"/>
    <n v="926"/>
    <x v="0"/>
    <n v="0"/>
    <n v="0"/>
    <n v="0"/>
    <n v="0"/>
    <n v="0"/>
    <n v="1"/>
    <n v="926"/>
    <m/>
    <n v="0"/>
    <n v="100"/>
    <n v="12"/>
    <x v="4"/>
    <n v="1"/>
    <n v="926"/>
    <n v="0.74082073434125273"/>
    <n v="686"/>
    <n v="0.25917926565874733"/>
    <n v="240.00000000000003"/>
    <n v="0"/>
    <n v="1"/>
    <n v="926"/>
    <n v="34.299999999999997"/>
    <n v="163"/>
    <x v="1"/>
    <n v="1"/>
    <n v="926"/>
    <n v="0"/>
    <n v="1"/>
    <n v="926"/>
    <n v="0"/>
    <n v="0"/>
    <n v="9.26"/>
    <n v="0"/>
    <s v="danitation data filling due to CESVI host families assessment "/>
    <m/>
    <s v="To be realised"/>
    <n v="0"/>
    <n v="0"/>
    <n v="195"/>
    <n v="0"/>
    <n v="0"/>
    <x v="4"/>
    <s v="to follow up HK planning of CESVI"/>
    <n v="1"/>
    <n v="926"/>
    <n v="4"/>
    <s v="Excellent coverage"/>
    <n v="0"/>
    <x v="4"/>
    <m/>
  </r>
  <r>
    <x v="11"/>
    <s v="MMR001CMP194"/>
    <x v="6"/>
    <x v="96"/>
    <n v="97.252650000000003"/>
    <n v="24.260466999999998"/>
    <x v="0"/>
    <x v="0"/>
    <n v="13"/>
    <n v="58"/>
    <n v="58"/>
    <x v="1"/>
    <s v="KBC"/>
    <x v="4"/>
    <x v="0"/>
    <d v="2015-04-30T00:00:00"/>
    <m/>
    <m/>
    <s v="Focal NGO"/>
    <x v="0"/>
    <n v="0"/>
    <n v="0"/>
    <s v="No"/>
    <n v="1"/>
    <n v="0"/>
    <n v="0"/>
    <n v="0"/>
    <n v="0"/>
    <n v="1"/>
    <n v="58"/>
    <n v="1"/>
    <n v="58"/>
    <n v="1"/>
    <n v="58"/>
    <x v="0"/>
    <n v="0"/>
    <n v="0"/>
    <n v="0"/>
    <n v="0"/>
    <n v="0"/>
    <n v="1"/>
    <n v="58"/>
    <m/>
    <n v="2"/>
    <n v="3"/>
    <n v="0"/>
    <x v="2"/>
    <n v="1"/>
    <n v="58"/>
    <n v="1"/>
    <n v="58"/>
    <n v="0"/>
    <n v="0"/>
    <n v="0"/>
    <n v="1"/>
    <n v="58"/>
    <n v="2.9"/>
    <n v="0"/>
    <x v="1"/>
    <n v="0"/>
    <n v="0"/>
    <n v="0.57999999999999996"/>
    <n v="0"/>
    <n v="0"/>
    <n v="1"/>
    <n v="1"/>
    <n v="0"/>
    <n v="1"/>
    <m/>
    <d v="2014-05-12T00:00:00"/>
    <d v="2015-05-12T00:00:00"/>
    <n v="13"/>
    <n v="6"/>
    <n v="0"/>
    <n v="1"/>
    <n v="58"/>
    <x v="6"/>
    <m/>
    <n v="0.9"/>
    <n v="52.2"/>
    <n v="0"/>
    <s v="No coverage"/>
    <n v="0"/>
    <x v="2"/>
    <m/>
  </r>
  <r>
    <x v="11"/>
    <s v="MMR001CMP052"/>
    <x v="6"/>
    <x v="97"/>
    <n v="97.236919999999998"/>
    <n v="24.24766"/>
    <x v="0"/>
    <x v="0"/>
    <n v="45"/>
    <n v="236"/>
    <n v="241"/>
    <x v="1"/>
    <s v="KBC"/>
    <x v="4"/>
    <x v="0"/>
    <d v="2015-04-30T00:00:00"/>
    <m/>
    <m/>
    <s v="Focal NGO"/>
    <x v="0"/>
    <n v="0"/>
    <n v="0"/>
    <s v="No"/>
    <n v="1"/>
    <n v="0"/>
    <n v="14400"/>
    <n v="7.0000000000000007E-2"/>
    <n v="0"/>
    <n v="1"/>
    <n v="241"/>
    <n v="1"/>
    <n v="241"/>
    <n v="1"/>
    <n v="241"/>
    <x v="0"/>
    <n v="0"/>
    <n v="0"/>
    <n v="0"/>
    <n v="0"/>
    <n v="16.87"/>
    <n v="1"/>
    <n v="241"/>
    <m/>
    <n v="24"/>
    <n v="2"/>
    <n v="7"/>
    <x v="0"/>
    <n v="0.74688796680497926"/>
    <n v="180"/>
    <n v="0.1659751037344398"/>
    <n v="39.999999999999993"/>
    <n v="0.58091286307053946"/>
    <n v="140"/>
    <n v="0"/>
    <n v="0.75"/>
    <n v="180.75"/>
    <n v="5.0500000000000007"/>
    <n v="2"/>
    <x v="2"/>
    <n v="0.82987551867219922"/>
    <n v="200"/>
    <n v="0.35999999999999988"/>
    <n v="0.83"/>
    <n v="200.03"/>
    <n v="4"/>
    <n v="1"/>
    <n v="0"/>
    <n v="1"/>
    <m/>
    <d v="2014-07-08T00:00:00"/>
    <d v="2015-07-08T00:00:00"/>
    <n v="46"/>
    <n v="6"/>
    <n v="0"/>
    <n v="1"/>
    <n v="241"/>
    <x v="1"/>
    <m/>
    <n v="0.8"/>
    <n v="192.8"/>
    <n v="1"/>
    <s v="Excellent coverage"/>
    <n v="0"/>
    <x v="0"/>
    <m/>
  </r>
  <r>
    <x v="11"/>
    <s v="MMR001CMP049"/>
    <x v="6"/>
    <x v="98"/>
    <n v="97.241630000000001"/>
    <n v="24.266110000000001"/>
    <x v="0"/>
    <x v="0"/>
    <n v="91"/>
    <n v="511"/>
    <n v="553"/>
    <x v="0"/>
    <s v="Shalom"/>
    <x v="4"/>
    <x v="0"/>
    <d v="2015-04-30T00:00:00"/>
    <m/>
    <m/>
    <s v="Focal NGO"/>
    <x v="0"/>
    <n v="0"/>
    <n v="0"/>
    <s v="No"/>
    <n v="3"/>
    <n v="0"/>
    <n v="13500"/>
    <n v="0.01"/>
    <n v="0"/>
    <n v="1"/>
    <n v="553"/>
    <n v="1"/>
    <n v="553"/>
    <n v="1"/>
    <n v="553"/>
    <x v="0"/>
    <n v="0"/>
    <n v="0"/>
    <n v="0"/>
    <n v="0"/>
    <n v="5.53"/>
    <n v="1"/>
    <n v="553"/>
    <m/>
    <n v="12"/>
    <n v="8"/>
    <n v="14"/>
    <x v="0"/>
    <n v="0.79566003616636527"/>
    <n v="440"/>
    <n v="0.2893309222423146"/>
    <n v="159.99999999999997"/>
    <n v="0.50632911392405067"/>
    <n v="280"/>
    <n v="0"/>
    <n v="0.8"/>
    <n v="442.40000000000003"/>
    <n v="13.649999999999999"/>
    <n v="4"/>
    <x v="0"/>
    <n v="0.72332730560578662"/>
    <n v="400"/>
    <n v="1.1100000000000003"/>
    <n v="0.72"/>
    <n v="398.15999999999997"/>
    <n v="7"/>
    <n v="1"/>
    <n v="0"/>
    <n v="1"/>
    <m/>
    <d v="2014-05-07T00:00:00"/>
    <d v="2015-05-07T00:00:00"/>
    <n v="103"/>
    <n v="6"/>
    <n v="0"/>
    <n v="1"/>
    <n v="553"/>
    <x v="6"/>
    <m/>
    <n v="0.8"/>
    <n v="442.40000000000003"/>
    <n v="2"/>
    <s v="Excellent coverage"/>
    <n v="0"/>
    <x v="1"/>
    <m/>
  </r>
  <r>
    <x v="11"/>
    <s v="MMR001CMP051"/>
    <x v="6"/>
    <x v="99"/>
    <n v="97.234200000000001"/>
    <n v="24.253067000000001"/>
    <x v="0"/>
    <x v="0"/>
    <n v="21"/>
    <n v="96"/>
    <n v="96"/>
    <x v="1"/>
    <s v="Shalom"/>
    <x v="4"/>
    <x v="0"/>
    <d v="2015-04-30T00:00:00"/>
    <m/>
    <m/>
    <s v="Focal NGO"/>
    <x v="0"/>
    <n v="0"/>
    <n v="0"/>
    <s v="No"/>
    <n v="0"/>
    <n v="2"/>
    <n v="0"/>
    <n v="0"/>
    <n v="0"/>
    <n v="1"/>
    <n v="96"/>
    <n v="1"/>
    <n v="96"/>
    <n v="1"/>
    <n v="96"/>
    <x v="0"/>
    <n v="0"/>
    <n v="0"/>
    <n v="0"/>
    <n v="0"/>
    <n v="0"/>
    <n v="1"/>
    <n v="96"/>
    <m/>
    <n v="2"/>
    <n v="0"/>
    <n v="4"/>
    <x v="2"/>
    <n v="0.83333333333333337"/>
    <n v="80"/>
    <n v="0"/>
    <n v="0"/>
    <n v="0.83333333333333337"/>
    <n v="80"/>
    <n v="0"/>
    <n v="0.83"/>
    <n v="79.679999999999993"/>
    <n v="0.79999999999999982"/>
    <n v="3"/>
    <x v="1"/>
    <n v="1"/>
    <n v="96"/>
    <n v="0"/>
    <n v="1"/>
    <n v="96"/>
    <n v="3"/>
    <n v="1"/>
    <n v="0"/>
    <n v="1"/>
    <m/>
    <d v="2014-05-07T00:00:00"/>
    <d v="2015-05-07T00:00:00"/>
    <n v="19"/>
    <n v="6"/>
    <n v="2"/>
    <n v="0.90476190476190477"/>
    <n v="86.857142857142861"/>
    <x v="6"/>
    <m/>
    <n v="0.8"/>
    <n v="76.800000000000011"/>
    <n v="1"/>
    <s v="Excellent coverage"/>
    <n v="0"/>
    <x v="2"/>
    <m/>
  </r>
  <r>
    <x v="11"/>
    <s v="MMR001CMP054"/>
    <x v="6"/>
    <x v="100"/>
    <n v="97.315860000000001"/>
    <n v="24.32638"/>
    <x v="0"/>
    <x v="0"/>
    <n v="22"/>
    <n v="125"/>
    <n v="125"/>
    <x v="1"/>
    <s v="KMSS"/>
    <x v="4"/>
    <x v="0"/>
    <d v="2015-04-30T00:00:00"/>
    <m/>
    <m/>
    <s v="Focal NGO"/>
    <x v="0"/>
    <n v="0"/>
    <n v="0"/>
    <s v="No"/>
    <n v="0"/>
    <n v="0"/>
    <n v="4860"/>
    <n v="0"/>
    <n v="0.5"/>
    <n v="1"/>
    <n v="125"/>
    <n v="1"/>
    <n v="125"/>
    <n v="1"/>
    <n v="125"/>
    <x v="0"/>
    <n v="0"/>
    <n v="0"/>
    <n v="0.3125"/>
    <n v="11"/>
    <n v="0"/>
    <n v="1"/>
    <n v="125"/>
    <m/>
    <n v="8"/>
    <n v="0"/>
    <n v="10"/>
    <x v="1"/>
    <n v="1"/>
    <n v="125"/>
    <n v="0"/>
    <n v="0"/>
    <n v="1"/>
    <n v="125"/>
    <n v="0"/>
    <n v="1"/>
    <n v="125"/>
    <n v="0"/>
    <n v="2"/>
    <x v="0"/>
    <n v="1"/>
    <n v="125"/>
    <n v="0"/>
    <n v="1"/>
    <n v="125"/>
    <n v="1"/>
    <n v="0.8"/>
    <n v="0.25"/>
    <n v="0.8"/>
    <m/>
    <d v="2014-07-14T00:00:00"/>
    <d v="2015-07-14T00:00:00"/>
    <n v="22"/>
    <n v="6"/>
    <n v="0"/>
    <n v="1"/>
    <n v="125"/>
    <x v="1"/>
    <m/>
    <n v="0.8"/>
    <n v="100"/>
    <n v="1"/>
    <s v="Excellent coverage"/>
    <n v="0"/>
    <x v="1"/>
    <m/>
  </r>
  <r>
    <x v="11"/>
    <s v="MMR001CMP053"/>
    <x v="6"/>
    <x v="101"/>
    <n v="97.246889999999993"/>
    <n v="24.244129999999998"/>
    <x v="0"/>
    <x v="0"/>
    <n v="16"/>
    <n v="80"/>
    <n v="84"/>
    <x v="1"/>
    <s v="Shalom"/>
    <x v="4"/>
    <x v="0"/>
    <d v="2015-04-30T00:00:00"/>
    <m/>
    <m/>
    <s v="Focal NGO"/>
    <x v="0"/>
    <n v="0"/>
    <n v="0"/>
    <s v="No"/>
    <n v="0"/>
    <n v="2"/>
    <n v="3915"/>
    <n v="0"/>
    <n v="0"/>
    <n v="1"/>
    <n v="84"/>
    <n v="1"/>
    <n v="84"/>
    <n v="1"/>
    <n v="84"/>
    <x v="0"/>
    <n v="0"/>
    <n v="0"/>
    <n v="0"/>
    <n v="0"/>
    <n v="0"/>
    <n v="1"/>
    <n v="84"/>
    <m/>
    <n v="0"/>
    <n v="0"/>
    <n v="10"/>
    <x v="1"/>
    <n v="1"/>
    <n v="84"/>
    <n v="0"/>
    <n v="0"/>
    <n v="1"/>
    <n v="84"/>
    <n v="0"/>
    <n v="1"/>
    <n v="84"/>
    <n v="0"/>
    <n v="1"/>
    <x v="1"/>
    <n v="1"/>
    <n v="84"/>
    <n v="0"/>
    <n v="1"/>
    <n v="84"/>
    <n v="1"/>
    <n v="1"/>
    <n v="0"/>
    <n v="1"/>
    <m/>
    <d v="2014-05-07T00:00:00"/>
    <d v="2015-05-07T00:00:00"/>
    <n v="17"/>
    <n v="6"/>
    <n v="0"/>
    <n v="1"/>
    <n v="84"/>
    <x v="6"/>
    <m/>
    <n v="0.8"/>
    <n v="67.2"/>
    <n v="1"/>
    <s v="Excellent coverage"/>
    <n v="0"/>
    <x v="0"/>
    <m/>
  </r>
  <r>
    <x v="10"/>
    <s v="MMR001CMP066"/>
    <x v="6"/>
    <x v="102"/>
    <n v="97.291820000000001"/>
    <n v="24.129059999999999"/>
    <x v="0"/>
    <x v="0"/>
    <n v="150"/>
    <n v="691"/>
    <n v="691"/>
    <x v="0"/>
    <s v="KBC"/>
    <x v="4"/>
    <x v="0"/>
    <d v="2015-04-30T00:00:00"/>
    <m/>
    <m/>
    <s v="Focal NGO"/>
    <x v="0"/>
    <n v="0"/>
    <n v="0"/>
    <s v="No"/>
    <n v="3"/>
    <n v="0"/>
    <n v="20335"/>
    <n v="0.5"/>
    <n v="0.3"/>
    <n v="1"/>
    <n v="691"/>
    <n v="1"/>
    <n v="691"/>
    <n v="1"/>
    <n v="691"/>
    <x v="0"/>
    <n v="0"/>
    <n v="0"/>
    <n v="0"/>
    <n v="45"/>
    <n v="345.5"/>
    <n v="1"/>
    <n v="691"/>
    <m/>
    <n v="34"/>
    <n v="16"/>
    <n v="14"/>
    <x v="0"/>
    <n v="0.86830680173661356"/>
    <n v="600"/>
    <n v="0.4630969609261939"/>
    <n v="320"/>
    <n v="0.40520984081041966"/>
    <n v="280"/>
    <n v="0"/>
    <n v="0.87"/>
    <n v="601.16999999999996"/>
    <n v="20.549999999999997"/>
    <n v="6"/>
    <x v="2"/>
    <n v="0.86830680173661356"/>
    <n v="600"/>
    <n v="0.91000000000000014"/>
    <n v="0.87"/>
    <n v="601.16999999999996"/>
    <n v="10"/>
    <n v="1"/>
    <n v="0"/>
    <n v="1"/>
    <m/>
    <d v="2014-07-15T00:00:00"/>
    <d v="2015-07-15T00:00:00"/>
    <n v="153"/>
    <n v="6"/>
    <n v="0"/>
    <n v="1"/>
    <n v="691"/>
    <x v="1"/>
    <m/>
    <n v="0.75"/>
    <n v="518.25"/>
    <n v="3"/>
    <s v="Excellent coverage"/>
    <n v="0"/>
    <x v="1"/>
    <m/>
  </r>
  <r>
    <x v="6"/>
    <s v="MMR001CMP056"/>
    <x v="6"/>
    <x v="103"/>
    <n v="97.347049999999996"/>
    <n v="24.255870000000002"/>
    <x v="0"/>
    <x v="0"/>
    <n v="141"/>
    <n v="608"/>
    <n v="608"/>
    <x v="0"/>
    <s v="KBC"/>
    <x v="4"/>
    <x v="0"/>
    <d v="2015-04-30T00:00:00"/>
    <m/>
    <m/>
    <s v="Focal NGO"/>
    <x v="0"/>
    <n v="0"/>
    <n v="0"/>
    <s v="No"/>
    <n v="1"/>
    <n v="1"/>
    <n v="9555"/>
    <n v="0.1"/>
    <n v="0.68"/>
    <n v="1"/>
    <n v="608"/>
    <n v="1"/>
    <n v="608"/>
    <n v="1"/>
    <n v="608"/>
    <x v="0"/>
    <n v="0"/>
    <n v="0"/>
    <n v="0"/>
    <n v="95.88000000000001"/>
    <n v="60.800000000000004"/>
    <n v="1"/>
    <n v="608"/>
    <m/>
    <n v="30"/>
    <n v="14"/>
    <n v="16"/>
    <x v="2"/>
    <n v="0.98684210526315785"/>
    <n v="600"/>
    <n v="0.46052631578947367"/>
    <n v="280"/>
    <n v="0.52631578947368418"/>
    <n v="320"/>
    <n v="0"/>
    <n v="0.99"/>
    <n v="601.91999999999996"/>
    <n v="14.399999999999999"/>
    <n v="3"/>
    <x v="2"/>
    <n v="0.49342105263157893"/>
    <n v="300"/>
    <n v="3.08"/>
    <n v="0.49"/>
    <n v="297.92"/>
    <n v="15"/>
    <n v="1"/>
    <n v="0"/>
    <n v="1"/>
    <m/>
    <d v="2014-05-12T00:00:00"/>
    <d v="2015-05-12T00:00:00"/>
    <n v="143"/>
    <n v="6"/>
    <n v="0"/>
    <n v="1"/>
    <n v="608"/>
    <x v="6"/>
    <m/>
    <n v="0.8"/>
    <n v="486.40000000000003"/>
    <n v="1"/>
    <s v="Good coverage"/>
    <n v="0"/>
    <x v="0"/>
    <m/>
  </r>
  <r>
    <x v="6"/>
    <s v="MMR001CMP056"/>
    <x v="6"/>
    <x v="104"/>
    <n v="97.346310000000003"/>
    <n v="24.253630000000001"/>
    <x v="0"/>
    <x v="0"/>
    <n v="18"/>
    <n v="109"/>
    <n v="109"/>
    <x v="1"/>
    <s v="KBC"/>
    <x v="4"/>
    <x v="0"/>
    <d v="2015-04-30T00:00:00"/>
    <m/>
    <m/>
    <s v="Focal NGO"/>
    <x v="0"/>
    <n v="0"/>
    <n v="0"/>
    <s v="No"/>
    <n v="1"/>
    <n v="0"/>
    <n v="2000"/>
    <n v="0"/>
    <n v="1"/>
    <n v="1"/>
    <n v="109"/>
    <n v="1"/>
    <n v="109"/>
    <n v="1"/>
    <n v="109"/>
    <x v="0"/>
    <n v="0"/>
    <n v="0"/>
    <n v="0"/>
    <n v="18"/>
    <n v="0"/>
    <n v="1"/>
    <n v="109"/>
    <m/>
    <n v="2"/>
    <n v="2"/>
    <n v="6"/>
    <x v="2"/>
    <n v="1"/>
    <n v="109"/>
    <n v="0"/>
    <n v="0"/>
    <n v="1"/>
    <n v="109"/>
    <n v="0"/>
    <n v="1"/>
    <n v="109"/>
    <n v="0"/>
    <n v="2"/>
    <x v="1"/>
    <n v="1"/>
    <n v="109"/>
    <n v="0"/>
    <n v="1"/>
    <n v="109"/>
    <n v="3"/>
    <n v="1"/>
    <n v="0"/>
    <n v="1"/>
    <m/>
    <d v="2014-05-12T00:00:00"/>
    <d v="2015-05-12T00:00:00"/>
    <n v="23"/>
    <n v="6"/>
    <n v="0"/>
    <n v="1"/>
    <n v="109"/>
    <x v="6"/>
    <m/>
    <n v="0.75"/>
    <n v="81.75"/>
    <n v="1"/>
    <s v="Excellent coverage"/>
    <n v="0"/>
    <x v="0"/>
    <m/>
  </r>
  <r>
    <x v="6"/>
    <s v="MMR001CMP056"/>
    <x v="6"/>
    <x v="105"/>
    <n v="97.359300000000005"/>
    <n v="24.267040000000001"/>
    <x v="0"/>
    <x v="0"/>
    <n v="7"/>
    <n v="37"/>
    <n v="37"/>
    <x v="1"/>
    <s v="KBC"/>
    <x v="4"/>
    <x v="0"/>
    <d v="2015-04-30T00:00:00"/>
    <m/>
    <m/>
    <s v="Focal NGO"/>
    <x v="0"/>
    <n v="0"/>
    <n v="0"/>
    <s v="No"/>
    <n v="0"/>
    <n v="0"/>
    <n v="1080"/>
    <n v="0"/>
    <n v="0.8"/>
    <n v="1"/>
    <n v="37"/>
    <n v="1"/>
    <n v="37"/>
    <n v="1"/>
    <n v="37"/>
    <x v="0"/>
    <n v="0"/>
    <n v="0"/>
    <n v="9.2499999999999999E-2"/>
    <n v="5.6000000000000005"/>
    <n v="0"/>
    <n v="1"/>
    <n v="37"/>
    <m/>
    <n v="1"/>
    <n v="2"/>
    <n v="1"/>
    <x v="2"/>
    <n v="1"/>
    <n v="37"/>
    <n v="0.45945945945945943"/>
    <n v="17"/>
    <n v="0.54054054054054057"/>
    <n v="20"/>
    <n v="0"/>
    <n v="1"/>
    <n v="37"/>
    <n v="0.85000000000000009"/>
    <n v="1"/>
    <x v="1"/>
    <n v="1"/>
    <n v="37"/>
    <n v="0"/>
    <n v="1"/>
    <n v="37"/>
    <n v="1"/>
    <n v="1"/>
    <n v="0"/>
    <n v="1"/>
    <m/>
    <d v="2014-05-09T00:00:00"/>
    <d v="2015-05-09T00:00:00"/>
    <n v="7"/>
    <n v="6"/>
    <n v="0"/>
    <n v="1"/>
    <n v="37"/>
    <x v="6"/>
    <m/>
    <n v="0.85"/>
    <n v="31.45"/>
    <n v="1"/>
    <s v="Excellent coverage"/>
    <n v="0"/>
    <x v="0"/>
    <m/>
  </r>
  <r>
    <x v="6"/>
    <s v="MMR001CMP062"/>
    <x v="6"/>
    <x v="106"/>
    <n v="97.325019999999995"/>
    <n v="24.245100000000001"/>
    <x v="0"/>
    <x v="0"/>
    <n v="259"/>
    <n v="1182"/>
    <n v="1179"/>
    <x v="2"/>
    <s v="KMSS"/>
    <x v="4"/>
    <x v="0"/>
    <d v="2015-04-30T00:00:00"/>
    <m/>
    <m/>
    <s v="Focal NGO"/>
    <x v="0"/>
    <n v="0"/>
    <n v="0"/>
    <s v="No"/>
    <n v="1"/>
    <n v="0"/>
    <n v="52740"/>
    <n v="0.2"/>
    <n v="0.01"/>
    <n v="1"/>
    <n v="1179"/>
    <n v="1"/>
    <n v="1179"/>
    <n v="1"/>
    <n v="1179"/>
    <x v="0"/>
    <n v="0"/>
    <n v="0"/>
    <n v="1.9474999999999998"/>
    <n v="2.59"/>
    <n v="235.8"/>
    <n v="1"/>
    <n v="1179"/>
    <m/>
    <n v="33"/>
    <n v="10"/>
    <n v="41"/>
    <x v="3"/>
    <n v="0.86513994910941472"/>
    <n v="1020"/>
    <n v="0.16963528413910089"/>
    <n v="199.99999999999994"/>
    <n v="0.69550466497031382"/>
    <n v="820"/>
    <n v="2"/>
    <n v="0.87"/>
    <n v="1025.73"/>
    <n v="19.950000000000003"/>
    <n v="7"/>
    <x v="2"/>
    <n v="0.59372349448685324"/>
    <n v="700"/>
    <n v="4.82"/>
    <n v="0.59"/>
    <n v="695.61"/>
    <n v="15"/>
    <n v="1"/>
    <n v="0"/>
    <n v="1"/>
    <m/>
    <d v="2014-05-09T00:00:00"/>
    <d v="2015-05-09T00:00:00"/>
    <n v="153"/>
    <n v="6"/>
    <n v="106"/>
    <n v="0.59073359073359077"/>
    <n v="696.4749034749035"/>
    <x v="6"/>
    <m/>
    <n v="0.85"/>
    <n v="1002.15"/>
    <n v="3"/>
    <s v="Excellent coverage"/>
    <n v="0"/>
    <x v="0"/>
    <m/>
  </r>
  <r>
    <x v="6"/>
    <s v="MMR001CMP058"/>
    <x v="6"/>
    <x v="107"/>
    <n v="97.346940000000004"/>
    <n v="24.251860000000001"/>
    <x v="0"/>
    <x v="0"/>
    <n v="4"/>
    <n v="18"/>
    <n v="18"/>
    <x v="1"/>
    <s v="Shalom"/>
    <x v="4"/>
    <x v="0"/>
    <d v="2015-04-30T00:00:00"/>
    <m/>
    <m/>
    <s v="Focal NGO"/>
    <x v="0"/>
    <n v="0"/>
    <n v="0"/>
    <s v="No"/>
    <n v="2"/>
    <n v="0"/>
    <n v="720"/>
    <n v="0"/>
    <n v="0.5"/>
    <n v="1"/>
    <n v="18"/>
    <n v="1"/>
    <n v="18"/>
    <n v="1"/>
    <n v="18"/>
    <x v="0"/>
    <n v="0"/>
    <n v="0"/>
    <n v="0"/>
    <n v="2"/>
    <n v="0"/>
    <n v="1"/>
    <n v="18"/>
    <m/>
    <n v="0"/>
    <n v="0"/>
    <n v="5"/>
    <x v="1"/>
    <n v="1"/>
    <n v="18"/>
    <n v="0"/>
    <n v="0"/>
    <n v="1"/>
    <n v="18"/>
    <n v="0"/>
    <n v="1"/>
    <n v="18"/>
    <n v="0"/>
    <n v="2"/>
    <x v="0"/>
    <n v="1"/>
    <n v="18"/>
    <n v="0"/>
    <n v="1"/>
    <n v="18"/>
    <n v="1"/>
    <n v="1"/>
    <n v="0"/>
    <n v="1"/>
    <m/>
    <d v="2014-05-12T00:00:00"/>
    <d v="2015-05-12T00:00:00"/>
    <n v="4"/>
    <n v="6"/>
    <n v="0"/>
    <n v="1"/>
    <n v="18"/>
    <x v="6"/>
    <m/>
    <n v="0.8"/>
    <n v="14.4"/>
    <n v="1"/>
    <s v="Excellent coverage"/>
    <n v="0"/>
    <x v="0"/>
    <m/>
  </r>
  <r>
    <x v="6"/>
    <s v="MMR001CMP056"/>
    <x v="6"/>
    <x v="108"/>
    <n v="97.344359999999995"/>
    <n v="24.250689999999999"/>
    <x v="0"/>
    <x v="0"/>
    <n v="182"/>
    <n v="730"/>
    <n v="730"/>
    <x v="0"/>
    <s v="KBC"/>
    <x v="4"/>
    <x v="0"/>
    <d v="2015-04-30T00:00:00"/>
    <m/>
    <m/>
    <s v="Focal NGO"/>
    <x v="0"/>
    <n v="0"/>
    <n v="0"/>
    <s v="No"/>
    <n v="1"/>
    <n v="0"/>
    <n v="15020"/>
    <n v="0.1"/>
    <n v="0.01"/>
    <n v="1"/>
    <n v="730"/>
    <n v="1"/>
    <n v="730"/>
    <n v="1"/>
    <n v="730"/>
    <x v="0"/>
    <n v="0"/>
    <n v="0"/>
    <n v="0.82499999999999996"/>
    <n v="1.82"/>
    <n v="73"/>
    <n v="1"/>
    <n v="730"/>
    <m/>
    <n v="64"/>
    <n v="15"/>
    <n v="10"/>
    <x v="0"/>
    <n v="0.68493150684931503"/>
    <n v="500"/>
    <n v="0.41095890410958902"/>
    <n v="300"/>
    <n v="0.27397260273972601"/>
    <n v="200"/>
    <n v="0"/>
    <n v="0.68"/>
    <n v="496.40000000000003"/>
    <n v="26.5"/>
    <n v="4"/>
    <x v="0"/>
    <n v="0.54794520547945202"/>
    <n v="400"/>
    <n v="3.3"/>
    <n v="0.55000000000000004"/>
    <n v="401.50000000000006"/>
    <n v="6"/>
    <n v="0.82191780821917804"/>
    <n v="1.2999999999999998"/>
    <n v="0.82"/>
    <m/>
    <d v="2014-05-09T00:00:00"/>
    <d v="2015-05-09T00:00:00"/>
    <n v="209"/>
    <n v="6"/>
    <n v="0"/>
    <n v="1"/>
    <n v="730"/>
    <x v="6"/>
    <m/>
    <n v="0.75"/>
    <n v="547.5"/>
    <n v="1"/>
    <s v="Good coverage"/>
    <n v="0"/>
    <x v="0"/>
    <m/>
  </r>
  <r>
    <x v="12"/>
    <s v="MMR001CMP067"/>
    <x v="6"/>
    <x v="109"/>
    <n v="96.807353000000006"/>
    <n v="24.200361000000001"/>
    <x v="0"/>
    <x v="0"/>
    <n v="88"/>
    <n v="278"/>
    <n v="278"/>
    <x v="0"/>
    <s v="KBC"/>
    <x v="4"/>
    <x v="0"/>
    <d v="2015-04-30T00:00:00"/>
    <m/>
    <m/>
    <s v="Focal NGO"/>
    <x v="0"/>
    <n v="0"/>
    <n v="0"/>
    <s v="No"/>
    <n v="0"/>
    <n v="1"/>
    <n v="11745"/>
    <n v="0.01"/>
    <n v="0"/>
    <n v="1"/>
    <n v="278"/>
    <n v="1"/>
    <n v="278"/>
    <n v="1"/>
    <n v="278"/>
    <x v="0"/>
    <n v="0"/>
    <n v="0"/>
    <n v="0"/>
    <n v="0"/>
    <n v="2.7800000000000002"/>
    <n v="1"/>
    <n v="278"/>
    <m/>
    <n v="12"/>
    <n v="8"/>
    <n v="11"/>
    <x v="0"/>
    <n v="1"/>
    <n v="278"/>
    <n v="0.20863309352517989"/>
    <n v="58.000000000000007"/>
    <n v="0.79136690647482011"/>
    <n v="220"/>
    <n v="0"/>
    <n v="1"/>
    <n v="278"/>
    <n v="2.9000000000000004"/>
    <n v="5"/>
    <x v="1"/>
    <n v="1"/>
    <n v="278"/>
    <n v="0"/>
    <n v="1"/>
    <n v="278"/>
    <n v="5"/>
    <n v="1"/>
    <n v="0"/>
    <n v="1"/>
    <m/>
    <d v="2014-05-20T00:00:00"/>
    <d v="2015-05-20T00:00:00"/>
    <n v="70"/>
    <n v="6"/>
    <n v="18"/>
    <n v="0.79545454545454541"/>
    <n v="221.13636363636363"/>
    <x v="6"/>
    <m/>
    <n v="0.6"/>
    <n v="166.79999999999998"/>
    <n v="1"/>
    <s v="Excellent coverage"/>
    <n v="0"/>
    <x v="1"/>
    <m/>
  </r>
  <r>
    <x v="12"/>
    <s v="MMR001CMP068"/>
    <x v="6"/>
    <x v="110"/>
    <n v="96.807353000000006"/>
    <n v="24.200367"/>
    <x v="0"/>
    <x v="0"/>
    <n v="49"/>
    <n v="175"/>
    <n v="175"/>
    <x v="1"/>
    <s v="KMSS"/>
    <x v="4"/>
    <x v="0"/>
    <d v="2015-04-30T00:00:00"/>
    <m/>
    <m/>
    <s v="Focal NGO"/>
    <x v="0"/>
    <n v="0"/>
    <n v="0"/>
    <s v="No"/>
    <n v="0"/>
    <n v="3"/>
    <n v="4000"/>
    <n v="0.02"/>
    <n v="0.21"/>
    <n v="1"/>
    <n v="175"/>
    <n v="1"/>
    <n v="175"/>
    <n v="1"/>
    <n v="175"/>
    <x v="0"/>
    <n v="0"/>
    <n v="0"/>
    <n v="0"/>
    <n v="10.29"/>
    <n v="3.5"/>
    <n v="1"/>
    <n v="175"/>
    <m/>
    <n v="14"/>
    <n v="12"/>
    <n v="18"/>
    <x v="3"/>
    <n v="1"/>
    <n v="175"/>
    <n v="0"/>
    <n v="0"/>
    <n v="1"/>
    <n v="175"/>
    <n v="0"/>
    <n v="1"/>
    <n v="175"/>
    <n v="0"/>
    <n v="4"/>
    <x v="1"/>
    <n v="1"/>
    <n v="175"/>
    <n v="0"/>
    <n v="1"/>
    <n v="175"/>
    <n v="2"/>
    <n v="1"/>
    <n v="0"/>
    <n v="1"/>
    <m/>
    <d v="2014-05-20T00:00:00"/>
    <d v="2015-05-20T00:00:00"/>
    <n v="54"/>
    <n v="6"/>
    <n v="0"/>
    <n v="1"/>
    <n v="175"/>
    <x v="6"/>
    <m/>
    <n v="0.65"/>
    <n v="113.75"/>
    <n v="1"/>
    <s v="Excellent coverage"/>
    <n v="0"/>
    <x v="0"/>
    <m/>
  </r>
  <r>
    <x v="10"/>
    <s v="MMR001CMP129"/>
    <x v="3"/>
    <x v="111"/>
    <n v="97.609832999999995"/>
    <n v="24.002433"/>
    <x v="0"/>
    <x v="1"/>
    <n v="169"/>
    <n v="742"/>
    <n v="742"/>
    <x v="0"/>
    <s v="KMSS"/>
    <x v="6"/>
    <x v="0"/>
    <d v="2015-06-30T00:00:00"/>
    <s v="SCI"/>
    <d v="2015-06-30T00:00:00"/>
    <s v="Focal NGO"/>
    <x v="0"/>
    <n v="0"/>
    <n v="0"/>
    <s v="No"/>
    <n v="2"/>
    <n v="0"/>
    <n v="81090"/>
    <n v="0"/>
    <n v="0.95"/>
    <n v="1"/>
    <n v="742"/>
    <n v="1"/>
    <n v="742"/>
    <n v="1"/>
    <n v="742"/>
    <x v="0"/>
    <n v="0"/>
    <n v="0"/>
    <n v="0"/>
    <n v="160.54999999999998"/>
    <n v="0"/>
    <n v="1"/>
    <n v="742"/>
    <m/>
    <n v="63"/>
    <n v="42"/>
    <n v="14"/>
    <x v="1"/>
    <n v="1"/>
    <n v="742"/>
    <n v="0.62264150943396224"/>
    <n v="462"/>
    <n v="0.37735849056603776"/>
    <n v="280"/>
    <n v="0"/>
    <n v="1"/>
    <n v="742"/>
    <n v="23.1"/>
    <n v="4"/>
    <x v="1"/>
    <n v="0.53908355795148244"/>
    <n v="399.99999999999994"/>
    <n v="3.42"/>
    <n v="0.54"/>
    <n v="400.68"/>
    <n v="1"/>
    <n v="0.13477088948787061"/>
    <n v="6.42"/>
    <n v="0.13"/>
    <m/>
    <d v="2014-03-28T00:00:00"/>
    <s v="To be realised"/>
    <n v="166"/>
    <n v="3"/>
    <n v="169"/>
    <n v="0"/>
    <n v="0"/>
    <x v="7"/>
    <m/>
    <n v="0.2"/>
    <n v="148.4"/>
    <n v="4"/>
    <s v="Excellent coverage"/>
    <n v="0"/>
    <x v="1"/>
    <m/>
  </r>
  <r>
    <x v="10"/>
    <s v="MMR001CMP202"/>
    <x v="3"/>
    <x v="112"/>
    <n v="97.609832999999995"/>
    <n v="24.002433"/>
    <x v="0"/>
    <x v="1"/>
    <n v="207"/>
    <n v="878"/>
    <n v="878"/>
    <x v="0"/>
    <s v="KMSS- Lashio"/>
    <x v="6"/>
    <x v="0"/>
    <d v="2015-06-30T00:00:00"/>
    <s v="SCI"/>
    <d v="2015-06-30T00:00:00"/>
    <s v="Focal NGO"/>
    <x v="0"/>
    <n v="0"/>
    <n v="0"/>
    <s v="No"/>
    <n v="2"/>
    <n v="0"/>
    <n v="38340"/>
    <n v="0"/>
    <n v="0.45"/>
    <n v="1"/>
    <n v="878"/>
    <n v="1"/>
    <n v="878"/>
    <n v="1"/>
    <n v="878"/>
    <x v="0"/>
    <n v="0"/>
    <n v="0"/>
    <n v="0.19499999999999984"/>
    <n v="93.15"/>
    <n v="0"/>
    <n v="1"/>
    <n v="878"/>
    <m/>
    <n v="88"/>
    <n v="21"/>
    <n v="30"/>
    <x v="1"/>
    <n v="1"/>
    <n v="878"/>
    <n v="0.31662870159453305"/>
    <n v="278"/>
    <n v="0.68337129840546695"/>
    <n v="600"/>
    <n v="0"/>
    <n v="1"/>
    <n v="878"/>
    <n v="13.899999999999999"/>
    <n v="3"/>
    <x v="0"/>
    <n v="0.34168564920273348"/>
    <n v="300"/>
    <n v="5.7799999999999994"/>
    <n v="0.34"/>
    <n v="298.52000000000004"/>
    <n v="3"/>
    <n v="0.34168564920273348"/>
    <n v="5.7799999999999994"/>
    <n v="0.34"/>
    <m/>
    <d v="2014-12-23T00:00:00"/>
    <d v="2015-12-23T00:00:00"/>
    <n v="206"/>
    <n v="0"/>
    <n v="1"/>
    <n v="0.99516908212560384"/>
    <n v="873.75845410628017"/>
    <x v="1"/>
    <m/>
    <n v="0.25"/>
    <n v="219.5"/>
    <n v="4"/>
    <s v="Excellent coverage"/>
    <n v="0"/>
    <x v="2"/>
    <m/>
  </r>
  <r>
    <x v="10"/>
    <m/>
    <x v="3"/>
    <x v="113"/>
    <n v="97.602490000000003"/>
    <n v="24.000039999999998"/>
    <x v="0"/>
    <x v="1"/>
    <n v="53"/>
    <n v="201"/>
    <n v="201"/>
    <x v="0"/>
    <m/>
    <x v="6"/>
    <x v="0"/>
    <d v="2015-06-30T00:00:00"/>
    <s v="SCI"/>
    <d v="2015-06-30T00:00:00"/>
    <s v="Focal NGO"/>
    <x v="0"/>
    <n v="0"/>
    <n v="0"/>
    <s v="No"/>
    <n v="0"/>
    <n v="0"/>
    <n v="0"/>
    <n v="0"/>
    <n v="0"/>
    <n v="0"/>
    <n v="0"/>
    <n v="0"/>
    <n v="0"/>
    <n v="0"/>
    <n v="0"/>
    <x v="1"/>
    <n v="0"/>
    <n v="0"/>
    <n v="0.50249999999999995"/>
    <n v="0"/>
    <n v="0"/>
    <n v="1"/>
    <n v="201"/>
    <s v="Currently, IDPs fetching a water from near wells inside from village. KBC will be install GFS and it will finish in May 15"/>
    <n v="0"/>
    <n v="0"/>
    <n v="20"/>
    <x v="1"/>
    <n v="1"/>
    <n v="201"/>
    <n v="0"/>
    <n v="0"/>
    <n v="1"/>
    <n v="201"/>
    <n v="0"/>
    <n v="1"/>
    <n v="201"/>
    <n v="0"/>
    <n v="2"/>
    <x v="0"/>
    <n v="0.99502487562189057"/>
    <n v="200"/>
    <n v="9.9999999999997868E-3"/>
    <n v="1"/>
    <n v="201"/>
    <n v="5"/>
    <n v="1"/>
    <n v="0"/>
    <n v="1"/>
    <s v="the 20 semi-permanent latrine are constructed by KBC"/>
    <m/>
    <s v="To be realised"/>
    <n v="0"/>
    <n v="0"/>
    <n v="53"/>
    <n v="0"/>
    <n v="0"/>
    <x v="4"/>
    <m/>
    <n v="0"/>
    <n v="0"/>
    <n v="0"/>
    <s v="No coverage"/>
    <n v="0"/>
    <x v="2"/>
    <m/>
  </r>
  <r>
    <x v="10"/>
    <s v="MMR001CMP128"/>
    <x v="3"/>
    <x v="114"/>
    <n v="97.625617000000005"/>
    <n v="24.056132999999999"/>
    <x v="0"/>
    <x v="1"/>
    <n v="545"/>
    <n v="2561"/>
    <n v="2561"/>
    <x v="3"/>
    <s v="KMSS"/>
    <x v="6"/>
    <x v="0"/>
    <d v="2015-06-30T00:00:00"/>
    <s v="SCI"/>
    <d v="2015-06-30T00:00:00"/>
    <s v="Focal NGO"/>
    <x v="0"/>
    <n v="0"/>
    <n v="0"/>
    <s v="No"/>
    <n v="2"/>
    <n v="0"/>
    <n v="128565"/>
    <n v="0"/>
    <n v="0.5"/>
    <n v="1"/>
    <n v="2561"/>
    <n v="1"/>
    <n v="2561"/>
    <n v="1"/>
    <n v="2561"/>
    <x v="0"/>
    <n v="0"/>
    <n v="0"/>
    <n v="4.4024999999999999"/>
    <n v="272.5"/>
    <n v="0"/>
    <n v="1"/>
    <n v="2561"/>
    <m/>
    <n v="84"/>
    <n v="20"/>
    <n v="72"/>
    <x v="3"/>
    <n v="0.71846934791097228"/>
    <n v="1840"/>
    <n v="0.15618898867629827"/>
    <n v="399.99999999999989"/>
    <n v="0.56228035923467401"/>
    <n v="1440.0000000000002"/>
    <n v="1"/>
    <n v="0.72"/>
    <n v="1843.9199999999998"/>
    <n v="57.050000000000011"/>
    <n v="1"/>
    <x v="1"/>
    <n v="3.9047247169074581E-2"/>
    <n v="100"/>
    <n v="24.61"/>
    <n v="0.04"/>
    <n v="102.44"/>
    <n v="0"/>
    <n v="0"/>
    <n v="25.61"/>
    <n v="0"/>
    <m/>
    <d v="2014-12-23T00:00:00"/>
    <d v="2015-12-23T00:00:00"/>
    <n v="563"/>
    <n v="0"/>
    <n v="0"/>
    <n v="1"/>
    <n v="2561"/>
    <x v="1"/>
    <m/>
    <n v="0.25"/>
    <n v="640.25"/>
    <n v="11"/>
    <s v="Excellent coverage"/>
    <n v="0"/>
    <x v="1"/>
    <m/>
  </r>
  <r>
    <x v="6"/>
    <s v="MMR001CMP131"/>
    <x v="3"/>
    <x v="115"/>
    <n v="97.669366999999994"/>
    <n v="24.378167000000001"/>
    <x v="0"/>
    <x v="1"/>
    <n v="369"/>
    <n v="1633"/>
    <n v="1633"/>
    <x v="2"/>
    <s v="KMSS"/>
    <x v="6"/>
    <x v="0"/>
    <d v="2015-06-30T00:00:00"/>
    <s v="SCI"/>
    <d v="2015-06-30T00:00:00"/>
    <s v="Focal NGO"/>
    <x v="0"/>
    <n v="0"/>
    <n v="0"/>
    <s v="No"/>
    <n v="0"/>
    <n v="0"/>
    <n v="216000"/>
    <n v="0"/>
    <n v="1"/>
    <n v="1"/>
    <n v="1633"/>
    <n v="1"/>
    <n v="1633"/>
    <n v="1"/>
    <n v="1633"/>
    <x v="0"/>
    <n v="0"/>
    <n v="0"/>
    <n v="4.0824999999999996"/>
    <n v="369"/>
    <n v="0"/>
    <n v="1"/>
    <n v="1633"/>
    <m/>
    <n v="50"/>
    <n v="50"/>
    <n v="40"/>
    <x v="2"/>
    <n v="1"/>
    <n v="1633"/>
    <n v="0.51010410287813834"/>
    <n v="832.99999999999989"/>
    <n v="0.4898958971218616"/>
    <n v="800"/>
    <n v="18"/>
    <n v="1"/>
    <n v="1633"/>
    <n v="59.650000000000006"/>
    <n v="6"/>
    <x v="1"/>
    <n v="0.36742192284139619"/>
    <n v="600"/>
    <n v="10.329999999999998"/>
    <n v="0.37"/>
    <n v="604.21"/>
    <n v="10"/>
    <n v="0.61236987140232702"/>
    <n v="6.3299999999999983"/>
    <n v="0.85"/>
    <m/>
    <d v="2014-12-23T00:00:00"/>
    <d v="2015-12-23T00:00:00"/>
    <n v="378"/>
    <n v="0"/>
    <n v="0"/>
    <n v="1"/>
    <n v="1633"/>
    <x v="1"/>
    <m/>
    <n v="0.65"/>
    <n v="1061.45"/>
    <n v="6"/>
    <s v="Excellent coverage"/>
    <n v="0"/>
    <x v="1"/>
    <m/>
  </r>
  <r>
    <x v="6"/>
    <s v="MMR001CMP126"/>
    <x v="3"/>
    <x v="116"/>
    <n v="97.751050000000006"/>
    <n v="24.279910000000001"/>
    <x v="0"/>
    <x v="1"/>
    <n v="128"/>
    <n v="538"/>
    <n v="538"/>
    <x v="0"/>
    <s v="KMSS"/>
    <x v="6"/>
    <x v="0"/>
    <d v="2015-06-30T00:00:00"/>
    <s v="SCI"/>
    <d v="2015-06-30T00:00:00"/>
    <s v="Focal NGO"/>
    <x v="0"/>
    <n v="0"/>
    <n v="0"/>
    <s v="No"/>
    <n v="0"/>
    <n v="0"/>
    <n v="94000"/>
    <n v="0"/>
    <n v="0.5"/>
    <n v="1"/>
    <n v="538"/>
    <n v="1"/>
    <n v="538"/>
    <n v="1"/>
    <n v="538"/>
    <x v="0"/>
    <n v="0"/>
    <n v="0"/>
    <n v="1.345"/>
    <n v="64"/>
    <n v="0"/>
    <n v="1"/>
    <n v="538"/>
    <m/>
    <n v="10"/>
    <n v="10"/>
    <n v="30"/>
    <x v="2"/>
    <n v="1"/>
    <n v="538"/>
    <n v="0"/>
    <n v="0"/>
    <n v="1"/>
    <n v="538"/>
    <n v="0"/>
    <n v="1"/>
    <n v="538"/>
    <n v="0"/>
    <n v="4"/>
    <x v="2"/>
    <n v="0.74349442379182151"/>
    <n v="400"/>
    <n v="1.38"/>
    <n v="0.74"/>
    <n v="398.12"/>
    <n v="16"/>
    <n v="1"/>
    <n v="0"/>
    <n v="1"/>
    <m/>
    <d v="2014-12-23T00:00:00"/>
    <d v="2015-12-23T00:00:00"/>
    <n v="228"/>
    <n v="0"/>
    <n v="0"/>
    <n v="1"/>
    <n v="538"/>
    <x v="1"/>
    <m/>
    <n v="0.4"/>
    <n v="215.20000000000002"/>
    <n v="4"/>
    <s v="Excellent coverage"/>
    <n v="0"/>
    <x v="1"/>
    <m/>
  </r>
  <r>
    <x v="6"/>
    <s v="MMR001CMP126"/>
    <x v="3"/>
    <x v="117"/>
    <n v="97.754009999999994"/>
    <n v="24.275549999999999"/>
    <x v="0"/>
    <x v="1"/>
    <n v="58"/>
    <n v="251"/>
    <n v="251"/>
    <x v="0"/>
    <s v="KMSS"/>
    <x v="6"/>
    <x v="0"/>
    <d v="2015-06-30T00:00:00"/>
    <s v="SCI"/>
    <d v="2015-06-30T00:00:00"/>
    <s v="Focal NGO"/>
    <x v="0"/>
    <n v="0"/>
    <n v="0"/>
    <s v="No"/>
    <n v="0"/>
    <n v="0"/>
    <n v="8640"/>
    <n v="0"/>
    <n v="0"/>
    <n v="1"/>
    <n v="251"/>
    <n v="1"/>
    <n v="251"/>
    <n v="1"/>
    <n v="251"/>
    <x v="0"/>
    <n v="0"/>
    <n v="0"/>
    <n v="0.62749999999999995"/>
    <n v="0"/>
    <n v="0"/>
    <n v="1"/>
    <n v="251"/>
    <m/>
    <n v="0"/>
    <n v="0"/>
    <n v="27"/>
    <x v="2"/>
    <n v="1"/>
    <n v="251"/>
    <n v="0"/>
    <n v="0"/>
    <n v="1"/>
    <n v="251"/>
    <n v="0"/>
    <n v="1"/>
    <n v="251"/>
    <n v="0"/>
    <n v="1"/>
    <x v="1"/>
    <n v="0.39840637450199201"/>
    <n v="100"/>
    <n v="1.5099999999999998"/>
    <n v="0.4"/>
    <n v="100.4"/>
    <n v="18"/>
    <n v="1"/>
    <n v="0"/>
    <n v="1"/>
    <m/>
    <d v="2014-12-23T00:00:00"/>
    <d v="2015-12-23T00:00:00"/>
    <n v="58"/>
    <n v="0"/>
    <n v="0"/>
    <n v="1"/>
    <n v="251"/>
    <x v="1"/>
    <m/>
    <n v="0.2"/>
    <n v="50.2"/>
    <n v="5"/>
    <s v="Excellent coverage"/>
    <n v="0"/>
    <x v="1"/>
    <m/>
  </r>
  <r>
    <x v="6"/>
    <s v="MMR001CMP126"/>
    <x v="3"/>
    <x v="118"/>
    <n v="97.755750000000006"/>
    <n v="24.273479999999999"/>
    <x v="0"/>
    <x v="1"/>
    <n v="297"/>
    <n v="1342"/>
    <n v="1342"/>
    <x v="2"/>
    <s v="KMSS"/>
    <x v="6"/>
    <x v="0"/>
    <d v="2015-06-30T00:00:00"/>
    <s v="SCI"/>
    <d v="2015-06-30T00:00:00"/>
    <s v="Focal NGO"/>
    <x v="0"/>
    <n v="0"/>
    <n v="0"/>
    <s v="No"/>
    <n v="0"/>
    <n v="0"/>
    <n v="99540"/>
    <n v="0"/>
    <n v="0.5"/>
    <n v="1"/>
    <n v="1342"/>
    <n v="1"/>
    <n v="1342"/>
    <n v="1"/>
    <n v="1342"/>
    <x v="0"/>
    <n v="0"/>
    <n v="0"/>
    <n v="3.355"/>
    <n v="148.5"/>
    <n v="0"/>
    <n v="1"/>
    <n v="1342"/>
    <s v="HH need more filter to coverage"/>
    <n v="60"/>
    <n v="0"/>
    <n v="70"/>
    <x v="2"/>
    <n v="1"/>
    <n v="1342"/>
    <n v="0"/>
    <n v="0"/>
    <n v="1"/>
    <n v="1342"/>
    <n v="0"/>
    <n v="1"/>
    <n v="1342"/>
    <n v="0"/>
    <n v="2"/>
    <x v="2"/>
    <n v="0.14903129657228018"/>
    <n v="200"/>
    <n v="11.42"/>
    <n v="0.15"/>
    <n v="201.29999999999998"/>
    <n v="33"/>
    <n v="1"/>
    <n v="0"/>
    <n v="1"/>
    <m/>
    <d v="2014-12-23T00:00:00"/>
    <d v="2015-12-23T00:00:00"/>
    <n v="322"/>
    <n v="3"/>
    <n v="0"/>
    <n v="1"/>
    <n v="1342"/>
    <x v="0"/>
    <m/>
    <n v="0.3"/>
    <n v="402.59999999999997"/>
    <n v="4"/>
    <s v="Excellent coverage"/>
    <n v="0"/>
    <x v="1"/>
    <m/>
  </r>
  <r>
    <x v="6"/>
    <s v="MMR001CMP126"/>
    <x v="3"/>
    <x v="119"/>
    <n v="97.755750000000006"/>
    <n v="24.273479999999999"/>
    <x v="2"/>
    <x v="1"/>
    <m/>
    <n v="211"/>
    <n v="211"/>
    <x v="1"/>
    <s v="KMSS"/>
    <x v="6"/>
    <x v="0"/>
    <d v="2015-06-30T00:00:00"/>
    <s v="SCI"/>
    <d v="2015-06-30T00:00:00"/>
    <s v="Focal NGO"/>
    <x v="0"/>
    <n v="0"/>
    <n v="0"/>
    <s v="No"/>
    <n v="0"/>
    <n v="0"/>
    <n v="9000"/>
    <n v="0"/>
    <n v="0"/>
    <n v="1"/>
    <n v="211"/>
    <n v="1"/>
    <n v="211"/>
    <n v="1"/>
    <n v="211"/>
    <x v="0"/>
    <n v="0"/>
    <n v="0"/>
    <n v="0.52749999999999997"/>
    <n v="0"/>
    <n v="0"/>
    <n v="1"/>
    <n v="211"/>
    <m/>
    <n v="6"/>
    <n v="6"/>
    <n v="0"/>
    <x v="2"/>
    <n v="0.56872037914691942"/>
    <n v="120"/>
    <n v="0.56872037914691942"/>
    <n v="120"/>
    <n v="0"/>
    <n v="0"/>
    <n v="0"/>
    <n v="0.57299999999999995"/>
    <n v="120.90299999999999"/>
    <n v="10.55"/>
    <n v="2"/>
    <x v="0"/>
    <n v="0.94786729857819907"/>
    <n v="200"/>
    <n v="0.10999999999999988"/>
    <n v="0.95"/>
    <n v="200.45"/>
    <n v="0"/>
    <n v="0"/>
    <n v="2.11"/>
    <n v="0"/>
    <m/>
    <d v="2014-12-23T00:00:00"/>
    <d v="2015-12-23T00:00:00"/>
    <n v="0"/>
    <n v="0"/>
    <n v="0"/>
    <n v="1"/>
    <n v="211"/>
    <x v="1"/>
    <m/>
    <n v="0.2"/>
    <n v="42.2"/>
    <n v="0"/>
    <s v="No coverage"/>
    <n v="0"/>
    <x v="1"/>
    <m/>
  </r>
  <r>
    <x v="6"/>
    <s v="MMR001CMP126"/>
    <x v="3"/>
    <x v="120"/>
    <n v="97.758769999999998"/>
    <n v="24.255469999999999"/>
    <x v="2"/>
    <x v="1"/>
    <m/>
    <n v="506"/>
    <n v="506"/>
    <x v="1"/>
    <s v="KMSS"/>
    <x v="6"/>
    <x v="0"/>
    <d v="2015-06-30T00:00:00"/>
    <s v="SCI"/>
    <d v="2015-06-30T00:00:00"/>
    <s v="Focal NGO"/>
    <x v="0"/>
    <n v="0"/>
    <n v="0"/>
    <s v="No"/>
    <n v="0"/>
    <n v="0"/>
    <n v="24300"/>
    <n v="0"/>
    <n v="0"/>
    <n v="1"/>
    <n v="506"/>
    <n v="1"/>
    <n v="506"/>
    <n v="1"/>
    <n v="506"/>
    <x v="0"/>
    <n v="0"/>
    <n v="0"/>
    <n v="1.2649999999999999"/>
    <n v="0"/>
    <n v="0"/>
    <n v="1"/>
    <n v="506"/>
    <m/>
    <n v="14"/>
    <n v="6"/>
    <n v="16"/>
    <x v="2"/>
    <n v="0.86956521739130432"/>
    <n v="440"/>
    <n v="0.23715415019762842"/>
    <n v="119.99999999999999"/>
    <n v="0.6324110671936759"/>
    <n v="320"/>
    <n v="0"/>
    <n v="0.873"/>
    <n v="441.738"/>
    <n v="9.3000000000000007"/>
    <n v="1"/>
    <x v="0"/>
    <n v="0.19762845849802371"/>
    <n v="100"/>
    <n v="4.0599999999999996"/>
    <n v="0.28999999999999998"/>
    <n v="146.73999999999998"/>
    <n v="2"/>
    <n v="0.39525691699604742"/>
    <n v="3.0599999999999996"/>
    <n v="0.4"/>
    <m/>
    <d v="2014-12-23T00:00:00"/>
    <d v="2015-12-23T00:00:00"/>
    <n v="0"/>
    <n v="0"/>
    <n v="0"/>
    <n v="1"/>
    <n v="506"/>
    <x v="1"/>
    <m/>
    <n v="0.2"/>
    <n v="101.2"/>
    <n v="1"/>
    <s v="Good coverage"/>
    <n v="0"/>
    <x v="1"/>
    <m/>
  </r>
  <r>
    <x v="6"/>
    <s v="MMR001CMP126"/>
    <x v="3"/>
    <x v="121"/>
    <n v="97.740570000000005"/>
    <n v="24.266819999999999"/>
    <x v="2"/>
    <x v="1"/>
    <m/>
    <n v="333"/>
    <n v="333"/>
    <x v="1"/>
    <s v="KMSS"/>
    <x v="6"/>
    <x v="0"/>
    <d v="2015-06-30T00:00:00"/>
    <s v="SCI"/>
    <d v="2015-06-30T00:00:00"/>
    <s v="Focal NGO"/>
    <x v="0"/>
    <n v="0"/>
    <n v="0"/>
    <s v="No"/>
    <n v="0"/>
    <n v="0"/>
    <n v="8640"/>
    <n v="0"/>
    <n v="0"/>
    <n v="1"/>
    <n v="333"/>
    <n v="1"/>
    <n v="333"/>
    <n v="1"/>
    <n v="333"/>
    <x v="0"/>
    <n v="0"/>
    <n v="0"/>
    <n v="0.83250000000000002"/>
    <n v="0"/>
    <n v="0"/>
    <n v="1"/>
    <n v="333"/>
    <m/>
    <n v="23"/>
    <n v="0"/>
    <n v="27"/>
    <x v="1"/>
    <n v="1"/>
    <n v="333"/>
    <n v="0"/>
    <n v="0"/>
    <n v="1"/>
    <n v="333"/>
    <n v="0"/>
    <n v="1"/>
    <n v="333"/>
    <n v="0"/>
    <n v="4"/>
    <x v="2"/>
    <n v="1"/>
    <n v="333"/>
    <n v="0"/>
    <n v="1"/>
    <n v="333"/>
    <n v="4"/>
    <n v="1"/>
    <n v="0"/>
    <n v="1"/>
    <m/>
    <d v="2014-12-23T00:00:00"/>
    <d v="2015-12-23T00:00:00"/>
    <n v="0"/>
    <n v="0"/>
    <n v="0"/>
    <n v="1"/>
    <n v="333"/>
    <x v="1"/>
    <m/>
    <n v="0.2"/>
    <n v="66.600000000000009"/>
    <n v="0"/>
    <s v="No coverage"/>
    <n v="0"/>
    <x v="1"/>
    <m/>
  </r>
  <r>
    <x v="6"/>
    <s v="MMR001CMP126"/>
    <x v="3"/>
    <x v="122"/>
    <n v="97.758769999999998"/>
    <n v="24.255469999999999"/>
    <x v="1"/>
    <x v="1"/>
    <n v="78"/>
    <n v="326"/>
    <n v="326"/>
    <x v="0"/>
    <s v="KMSS"/>
    <x v="6"/>
    <x v="0"/>
    <d v="2015-06-30T00:00:00"/>
    <s v="SCI"/>
    <d v="2015-06-30T00:00:00"/>
    <s v="Focal NGO"/>
    <x v="0"/>
    <n v="0"/>
    <n v="0"/>
    <s v="No"/>
    <n v="0"/>
    <n v="0"/>
    <n v="10631"/>
    <n v="0"/>
    <n v="0"/>
    <n v="1"/>
    <n v="326"/>
    <n v="1"/>
    <n v="326"/>
    <n v="1"/>
    <n v="326"/>
    <x v="0"/>
    <n v="0"/>
    <n v="0"/>
    <n v="0.81499999999999995"/>
    <n v="0"/>
    <n v="0"/>
    <n v="1"/>
    <n v="326"/>
    <m/>
    <n v="78"/>
    <n v="78"/>
    <n v="0"/>
    <x v="2"/>
    <n v="1"/>
    <n v="326"/>
    <n v="1"/>
    <n v="326"/>
    <n v="0"/>
    <n v="0"/>
    <n v="0"/>
    <n v="1"/>
    <n v="326"/>
    <n v="16.3"/>
    <n v="0"/>
    <x v="1"/>
    <n v="0"/>
    <n v="0"/>
    <n v="3.26"/>
    <n v="0"/>
    <n v="0"/>
    <n v="0"/>
    <n v="0"/>
    <n v="3.26"/>
    <n v="0"/>
    <m/>
    <d v="2014-12-23T00:00:00"/>
    <d v="2015-12-23T00:00:00"/>
    <n v="78"/>
    <n v="0"/>
    <n v="0"/>
    <n v="1"/>
    <n v="326"/>
    <x v="1"/>
    <m/>
    <n v="0"/>
    <n v="0"/>
    <n v="0"/>
    <s v="No coverage"/>
    <n v="0"/>
    <x v="2"/>
    <m/>
  </r>
  <r>
    <x v="11"/>
    <s v="MMR001CMP050"/>
    <x v="6"/>
    <x v="123"/>
    <n v="97.238829999999993"/>
    <n v="24.260719999999999"/>
    <x v="0"/>
    <x v="0"/>
    <n v="206"/>
    <n v="940"/>
    <n v="940"/>
    <x v="0"/>
    <s v="KMSS"/>
    <x v="7"/>
    <x v="0"/>
    <d v="2015-08-31T00:00:00"/>
    <m/>
    <m/>
    <s v="Focal NGO"/>
    <x v="0"/>
    <n v="0"/>
    <n v="0"/>
    <s v="No"/>
    <n v="0"/>
    <n v="6"/>
    <n v="34200"/>
    <n v="0.93"/>
    <n v="0.21"/>
    <n v="1"/>
    <n v="940"/>
    <n v="1"/>
    <n v="940"/>
    <n v="1"/>
    <n v="940"/>
    <x v="0"/>
    <n v="0"/>
    <n v="0"/>
    <n v="0"/>
    <n v="43.26"/>
    <n v="874.2"/>
    <n v="1"/>
    <n v="940"/>
    <m/>
    <n v="25"/>
    <n v="0"/>
    <n v="25"/>
    <x v="0"/>
    <n v="0.53191489361702127"/>
    <n v="500"/>
    <n v="0"/>
    <n v="0"/>
    <n v="0.53191489361702127"/>
    <n v="500"/>
    <n v="0"/>
    <n v="0.7"/>
    <n v="658"/>
    <n v="22"/>
    <n v="2"/>
    <x v="2"/>
    <n v="0.21276595744680851"/>
    <n v="200"/>
    <n v="7.4"/>
    <n v="0.21"/>
    <n v="197.4"/>
    <n v="6"/>
    <n v="0.63829787234042556"/>
    <n v="3.4000000000000004"/>
    <n v="0.64"/>
    <s v="lack of space in the camp for additional  latrine construction"/>
    <d v="2014-05-29T00:00:00"/>
    <d v="2015-05-29T00:00:00"/>
    <n v="212"/>
    <n v="6"/>
    <n v="0"/>
    <n v="1"/>
    <n v="940"/>
    <x v="8"/>
    <m/>
    <n v="1"/>
    <n v="940"/>
    <n v="5"/>
    <s v="Excellent coverage"/>
    <n v="0"/>
    <x v="0"/>
    <m/>
  </r>
  <r>
    <x v="11"/>
    <s v="MMR001CMP050"/>
    <x v="6"/>
    <x v="124"/>
    <n v="97.243579999999994"/>
    <n v="24.260120000000001"/>
    <x v="0"/>
    <x v="0"/>
    <n v="83"/>
    <n v="435"/>
    <n v="435"/>
    <x v="0"/>
    <s v="KMSS"/>
    <x v="7"/>
    <x v="0"/>
    <d v="2015-08-31T00:00:00"/>
    <m/>
    <m/>
    <s v="Focal NGO"/>
    <x v="0"/>
    <n v="0"/>
    <n v="0"/>
    <s v="No"/>
    <n v="0"/>
    <n v="1"/>
    <n v="3600"/>
    <n v="0.16"/>
    <n v="0"/>
    <n v="1"/>
    <n v="435"/>
    <n v="1"/>
    <n v="435"/>
    <n v="1"/>
    <n v="435"/>
    <x v="0"/>
    <n v="0"/>
    <n v="0"/>
    <n v="8.7499999999999911E-2"/>
    <n v="0"/>
    <n v="69.600000000000009"/>
    <n v="1"/>
    <n v="435"/>
    <m/>
    <n v="0"/>
    <n v="6"/>
    <n v="4"/>
    <x v="0"/>
    <n v="0.45977011494252873"/>
    <n v="200"/>
    <n v="0.27586206896551724"/>
    <n v="120"/>
    <n v="0.18390804597701149"/>
    <n v="80"/>
    <n v="0"/>
    <n v="0.64"/>
    <n v="278.40000000000003"/>
    <n v="17.75"/>
    <n v="1"/>
    <x v="2"/>
    <n v="0.22988505747126436"/>
    <n v="100"/>
    <n v="3.3499999999999996"/>
    <n v="0.23"/>
    <n v="100.05000000000001"/>
    <n v="4"/>
    <n v="0.91954022988505746"/>
    <n v="0.34999999999999964"/>
    <n v="0.92"/>
    <s v="lack of space in the camp for additional  latrine construction"/>
    <d v="2014-05-29T00:00:00"/>
    <d v="2015-05-29T00:00:00"/>
    <n v="78"/>
    <n v="6"/>
    <n v="5"/>
    <n v="0.93975903614457834"/>
    <n v="408.79518072289159"/>
    <x v="8"/>
    <m/>
    <n v="1"/>
    <n v="435"/>
    <n v="2"/>
    <s v="Excellent coverage"/>
    <n v="0"/>
    <x v="0"/>
    <m/>
  </r>
  <r>
    <x v="11"/>
    <s v="MMR001CMP193"/>
    <x v="6"/>
    <x v="125"/>
    <n v="97.252650000000003"/>
    <n v="24.222349999999999"/>
    <x v="0"/>
    <x v="0"/>
    <n v="170"/>
    <n v="817"/>
    <n v="817"/>
    <x v="0"/>
    <s v="KBC"/>
    <x v="7"/>
    <x v="0"/>
    <d v="2015-08-31T00:00:00"/>
    <m/>
    <m/>
    <s v="Focal NGO"/>
    <x v="0"/>
    <n v="0"/>
    <n v="0"/>
    <s v="No"/>
    <n v="0"/>
    <n v="3"/>
    <n v="54000"/>
    <n v="0"/>
    <n v="0"/>
    <n v="1"/>
    <n v="817"/>
    <n v="1"/>
    <n v="817"/>
    <n v="1"/>
    <n v="817"/>
    <x v="0"/>
    <n v="0"/>
    <n v="0"/>
    <n v="0"/>
    <n v="0"/>
    <n v="0"/>
    <n v="1"/>
    <n v="817"/>
    <m/>
    <n v="34"/>
    <n v="32"/>
    <n v="10"/>
    <x v="2"/>
    <n v="1"/>
    <n v="817"/>
    <n v="0.75520195838433291"/>
    <n v="617"/>
    <n v="0.24479804161566707"/>
    <n v="200"/>
    <n v="0"/>
    <n v="1"/>
    <n v="817"/>
    <n v="30.85"/>
    <n v="5"/>
    <x v="0"/>
    <n v="0.61199510403916768"/>
    <n v="500"/>
    <n v="3.17"/>
    <n v="0.61"/>
    <n v="498.37"/>
    <n v="12"/>
    <n v="1"/>
    <n v="0"/>
    <n v="1"/>
    <m/>
    <d v="2014-05-28T00:00:00"/>
    <d v="2015-05-28T00:00:00"/>
    <n v="178"/>
    <n v="6"/>
    <n v="0"/>
    <n v="1"/>
    <n v="817"/>
    <x v="8"/>
    <m/>
    <n v="1"/>
    <n v="817"/>
    <n v="7"/>
    <s v="Excellent coverage"/>
    <n v="0"/>
    <x v="0"/>
    <m/>
  </r>
  <r>
    <x v="11"/>
    <s v="MMR001CMP047"/>
    <x v="6"/>
    <x v="126"/>
    <n v="97.228769999999997"/>
    <n v="24.26502"/>
    <x v="0"/>
    <x v="0"/>
    <n v="622"/>
    <n v="3780"/>
    <n v="3780"/>
    <x v="3"/>
    <s v="KBC"/>
    <x v="7"/>
    <x v="0"/>
    <d v="2015-08-31T00:00:00"/>
    <m/>
    <m/>
    <s v="Focal NGO"/>
    <x v="0"/>
    <n v="0"/>
    <n v="0"/>
    <s v="No"/>
    <n v="0"/>
    <n v="24"/>
    <n v="86400"/>
    <n v="0.89"/>
    <n v="0.42"/>
    <n v="1"/>
    <n v="3780"/>
    <n v="1"/>
    <n v="3780"/>
    <n v="1"/>
    <n v="3780"/>
    <x v="0"/>
    <n v="0"/>
    <n v="0"/>
    <n v="0"/>
    <n v="261.24"/>
    <n v="3364.2000000000003"/>
    <n v="1"/>
    <n v="3780"/>
    <m/>
    <n v="113"/>
    <n v="47"/>
    <n v="98"/>
    <x v="2"/>
    <n v="0.76719576719576721"/>
    <n v="2900"/>
    <n v="0.24867724867724872"/>
    <n v="940.00000000000011"/>
    <n v="0.51851851851851849"/>
    <n v="1960"/>
    <n v="4"/>
    <n v="0.88"/>
    <n v="3326.4"/>
    <n v="95"/>
    <n v="7"/>
    <x v="2"/>
    <n v="0.18518518518518517"/>
    <n v="700"/>
    <n v="30.799999999999997"/>
    <n v="0.19"/>
    <n v="718.2"/>
    <n v="26"/>
    <n v="0.68783068783068779"/>
    <n v="11.799999999999997"/>
    <n v="0.69"/>
    <s v="it has been planned 10 Semi permanent"/>
    <d v="2014-05-09T00:00:00"/>
    <d v="2015-05-09T00:00:00"/>
    <n v="649"/>
    <n v="6"/>
    <n v="0"/>
    <n v="1"/>
    <n v="3780"/>
    <x v="6"/>
    <m/>
    <n v="1"/>
    <n v="3780"/>
    <n v="11"/>
    <s v="Excellent coverage"/>
    <n v="0"/>
    <x v="0"/>
    <m/>
  </r>
  <r>
    <x v="11"/>
    <s v="MMR001CMP055"/>
    <x v="6"/>
    <x v="127"/>
    <n v="97.227789999999999"/>
    <n v="24.29138"/>
    <x v="0"/>
    <x v="0"/>
    <n v="37"/>
    <n v="166"/>
    <n v="166"/>
    <x v="1"/>
    <s v="Shalom"/>
    <x v="7"/>
    <x v="0"/>
    <d v="2015-08-31T00:00:00"/>
    <m/>
    <m/>
    <s v="Focal NGO"/>
    <x v="0"/>
    <n v="0"/>
    <n v="0"/>
    <s v="No"/>
    <n v="0"/>
    <n v="4"/>
    <n v="43200"/>
    <n v="0"/>
    <n v="0"/>
    <n v="1"/>
    <n v="166"/>
    <n v="1"/>
    <n v="166"/>
    <n v="1"/>
    <n v="166"/>
    <x v="0"/>
    <n v="0"/>
    <n v="0"/>
    <n v="0"/>
    <n v="0"/>
    <n v="0"/>
    <n v="1"/>
    <n v="166"/>
    <m/>
    <n v="4"/>
    <n v="8"/>
    <n v="10"/>
    <x v="0"/>
    <n v="1"/>
    <n v="166"/>
    <n v="0"/>
    <n v="0"/>
    <n v="1"/>
    <n v="166"/>
    <n v="0"/>
    <n v="1"/>
    <n v="166"/>
    <n v="0"/>
    <n v="3"/>
    <x v="0"/>
    <n v="1"/>
    <n v="166"/>
    <n v="0"/>
    <n v="1"/>
    <n v="166"/>
    <n v="3"/>
    <n v="1"/>
    <n v="0"/>
    <n v="1"/>
    <m/>
    <d v="2014-06-10T00:00:00"/>
    <d v="2015-06-10T00:00:00"/>
    <n v="42"/>
    <n v="6"/>
    <n v="0"/>
    <n v="1"/>
    <n v="166"/>
    <x v="8"/>
    <m/>
    <n v="1"/>
    <n v="166"/>
    <n v="2"/>
    <s v="Excellent coverage"/>
    <n v="0"/>
    <x v="0"/>
    <m/>
  </r>
  <r>
    <x v="6"/>
    <s v="MMR001CMP121"/>
    <x v="4"/>
    <x v="128"/>
    <n v="97.568282999999994"/>
    <n v="24.688167"/>
    <x v="0"/>
    <x v="1"/>
    <n v="1701"/>
    <n v="6516"/>
    <n v="7108"/>
    <x v="4"/>
    <s v="KMSS"/>
    <x v="1"/>
    <x v="0"/>
    <d v="2015-08-31T00:00:00"/>
    <s v="SI"/>
    <d v="2015-08-31T00:00:00"/>
    <s v="Focal NGO"/>
    <x v="0"/>
    <n v="0"/>
    <n v="0"/>
    <s v="No"/>
    <n v="5"/>
    <n v="0"/>
    <n v="23721"/>
    <n v="0"/>
    <n v="0.5"/>
    <n v="0.50385481148002254"/>
    <n v="3581.4"/>
    <n v="0.50385481148002254"/>
    <n v="3581.4"/>
    <n v="0.50385481148002254"/>
    <n v="3581.4"/>
    <x v="3"/>
    <n v="0"/>
    <n v="0"/>
    <n v="12.77"/>
    <n v="850.5"/>
    <n v="0"/>
    <n v="1"/>
    <n v="7108"/>
    <s v="CWF coverage changed due to SI ' KAP survey"/>
    <n v="573"/>
    <n v="23"/>
    <n v="500"/>
    <x v="2"/>
    <n v="1"/>
    <n v="7108"/>
    <n v="0"/>
    <n v="0"/>
    <n v="1"/>
    <n v="7108"/>
    <n v="0"/>
    <n v="1"/>
    <n v="7108"/>
    <n v="0"/>
    <n v="49"/>
    <x v="1"/>
    <n v="0.68936409679234667"/>
    <n v="4900"/>
    <n v="16.159999999999997"/>
    <n v="0.69"/>
    <n v="4904.5199999999995"/>
    <n v="82"/>
    <n v="1"/>
    <n v="0"/>
    <n v="1"/>
    <m/>
    <d v="2013-10-10T00:00:00"/>
    <s v="To be realised"/>
    <n v="1646"/>
    <n v="6"/>
    <n v="1701"/>
    <n v="0"/>
    <n v="0"/>
    <x v="9"/>
    <s v="Latest distribution of HK refill in April 15 "/>
    <n v="1"/>
    <n v="7108"/>
    <n v="17"/>
    <s v="Excellent coverage"/>
    <n v="0"/>
    <x v="0"/>
    <m/>
  </r>
  <r>
    <x v="6"/>
    <s v="MMR001CMP071"/>
    <x v="3"/>
    <x v="129"/>
    <n v="97.718582999999995"/>
    <n v="24.200972"/>
    <x v="0"/>
    <x v="0"/>
    <n v="30"/>
    <n v="174"/>
    <n v="174"/>
    <x v="1"/>
    <s v="KBC"/>
    <x v="7"/>
    <x v="0"/>
    <d v="2015-08-31T00:00:00"/>
    <m/>
    <m/>
    <s v="Focal NGO"/>
    <x v="0"/>
    <n v="0"/>
    <n v="0"/>
    <s v="No"/>
    <n v="0"/>
    <n v="1"/>
    <n v="5670"/>
    <n v="0"/>
    <n v="0"/>
    <n v="1"/>
    <n v="174"/>
    <n v="1"/>
    <n v="174"/>
    <n v="1"/>
    <n v="174"/>
    <x v="0"/>
    <n v="0"/>
    <n v="0"/>
    <n v="0"/>
    <n v="0"/>
    <n v="0"/>
    <n v="1"/>
    <n v="174"/>
    <m/>
    <n v="0"/>
    <n v="0"/>
    <n v="13"/>
    <x v="5"/>
    <n v="1"/>
    <n v="174"/>
    <n v="0"/>
    <n v="0"/>
    <n v="1"/>
    <n v="174"/>
    <n v="0"/>
    <n v="1"/>
    <n v="174"/>
    <n v="0"/>
    <n v="1"/>
    <x v="0"/>
    <n v="0.57471264367816088"/>
    <n v="100"/>
    <n v="0.74"/>
    <n v="0.56999999999999995"/>
    <n v="99.179999999999993"/>
    <n v="6"/>
    <n v="1"/>
    <n v="0"/>
    <n v="1"/>
    <m/>
    <d v="2014-06-04T00:00:00"/>
    <d v="2015-06-04T00:00:00"/>
    <n v="29"/>
    <n v="6"/>
    <n v="1"/>
    <n v="0.96666666666666667"/>
    <n v="168.2"/>
    <x v="8"/>
    <m/>
    <n v="1"/>
    <n v="174"/>
    <n v="1"/>
    <s v="Excellent coverage"/>
    <n v="0"/>
    <x v="0"/>
    <m/>
  </r>
  <r>
    <x v="6"/>
    <s v="MMR001CMP069"/>
    <x v="3"/>
    <x v="130"/>
    <n v="97.724566999999993"/>
    <n v="24.205417000000001"/>
    <x v="0"/>
    <x v="0"/>
    <n v="69"/>
    <n v="368"/>
    <n v="368"/>
    <x v="0"/>
    <s v="KMSS"/>
    <x v="7"/>
    <x v="0"/>
    <d v="2015-08-31T00:00:00"/>
    <m/>
    <m/>
    <s v="Focal NGO"/>
    <x v="0"/>
    <n v="0"/>
    <n v="0"/>
    <s v="No"/>
    <n v="0"/>
    <n v="1"/>
    <n v="21600"/>
    <n v="0.2"/>
    <n v="0"/>
    <n v="1"/>
    <n v="368"/>
    <n v="1"/>
    <n v="368"/>
    <n v="1"/>
    <n v="368"/>
    <x v="0"/>
    <n v="0"/>
    <n v="0"/>
    <n v="0"/>
    <n v="0"/>
    <n v="73.600000000000009"/>
    <n v="1"/>
    <n v="368"/>
    <m/>
    <n v="16"/>
    <n v="6"/>
    <n v="5"/>
    <x v="0"/>
    <n v="0.59782608695652173"/>
    <n v="220"/>
    <n v="0.32608695652173914"/>
    <n v="120"/>
    <n v="0.27173913043478259"/>
    <n v="100"/>
    <n v="0"/>
    <n v="0.65"/>
    <n v="239.20000000000002"/>
    <n v="13.399999999999999"/>
    <n v="2"/>
    <x v="1"/>
    <n v="0.54347826086956519"/>
    <n v="200"/>
    <n v="1.6800000000000002"/>
    <n v="0.54"/>
    <n v="198.72000000000003"/>
    <n v="5"/>
    <n v="1"/>
    <n v="0"/>
    <n v="1"/>
    <s v="7 SPL to be constructed by March/April 2015"/>
    <d v="2014-06-04T00:00:00"/>
    <d v="2015-06-04T00:00:00"/>
    <n v="55"/>
    <n v="6"/>
    <n v="14"/>
    <n v="0.79710144927536231"/>
    <n v="293.33333333333331"/>
    <x v="8"/>
    <m/>
    <n v="1"/>
    <n v="368"/>
    <n v="3"/>
    <s v="Excellent coverage"/>
    <n v="0"/>
    <x v="0"/>
    <m/>
  </r>
  <r>
    <x v="6"/>
    <s v="MMR001CMP070"/>
    <x v="3"/>
    <x v="131"/>
    <n v="97.717133000000004"/>
    <n v="24.200433"/>
    <x v="0"/>
    <x v="0"/>
    <n v="75"/>
    <n v="437"/>
    <n v="437"/>
    <x v="0"/>
    <s v="KBC"/>
    <x v="7"/>
    <x v="0"/>
    <d v="2015-08-31T00:00:00"/>
    <m/>
    <m/>
    <s v="Focal NGO"/>
    <x v="0"/>
    <n v="0"/>
    <n v="0"/>
    <s v="No"/>
    <n v="0"/>
    <n v="1"/>
    <n v="25340"/>
    <n v="0"/>
    <n v="0"/>
    <n v="1"/>
    <n v="437"/>
    <n v="1"/>
    <n v="437"/>
    <n v="1"/>
    <n v="437"/>
    <x v="0"/>
    <n v="0"/>
    <n v="0"/>
    <n v="9.2500000000000027E-2"/>
    <n v="0"/>
    <n v="0"/>
    <n v="1"/>
    <n v="437"/>
    <m/>
    <n v="15"/>
    <n v="0"/>
    <n v="12"/>
    <x v="0"/>
    <n v="0.54919908466819223"/>
    <n v="240"/>
    <n v="0"/>
    <n v="0"/>
    <n v="0.54919908466819223"/>
    <n v="240"/>
    <n v="0"/>
    <n v="0.55000000000000004"/>
    <n v="240.35000000000002"/>
    <n v="9.8500000000000014"/>
    <n v="1"/>
    <x v="1"/>
    <n v="0.2288329519450801"/>
    <n v="100"/>
    <n v="3.37"/>
    <n v="0.23"/>
    <n v="100.51"/>
    <n v="4"/>
    <n v="0.91533180778032042"/>
    <n v="0.37000000000000011"/>
    <n v="0.92"/>
    <m/>
    <d v="2014-06-06T00:00:00"/>
    <d v="2015-06-06T00:00:00"/>
    <n v="113"/>
    <n v="6"/>
    <n v="0"/>
    <n v="1"/>
    <n v="437"/>
    <x v="8"/>
    <m/>
    <n v="1"/>
    <n v="437"/>
    <n v="4"/>
    <s v="Excellent coverage"/>
    <n v="0"/>
    <x v="0"/>
    <m/>
  </r>
  <r>
    <x v="6"/>
    <s v="MMR001CMP070"/>
    <x v="3"/>
    <x v="132"/>
    <n v="97.715400000000002"/>
    <n v="24.20083"/>
    <x v="0"/>
    <x v="0"/>
    <n v="35"/>
    <n v="202"/>
    <n v="202"/>
    <x v="1"/>
    <s v="KBC"/>
    <x v="7"/>
    <x v="0"/>
    <d v="2015-08-31T00:00:00"/>
    <m/>
    <m/>
    <s v="Focal NGO"/>
    <x v="0"/>
    <n v="0"/>
    <n v="0"/>
    <s v="No"/>
    <n v="0"/>
    <n v="1"/>
    <n v="1000"/>
    <n v="0"/>
    <n v="0"/>
    <n v="1"/>
    <n v="202"/>
    <n v="1"/>
    <n v="202"/>
    <n v="1"/>
    <n v="202"/>
    <x v="0"/>
    <n v="0"/>
    <n v="0"/>
    <n v="0"/>
    <n v="0"/>
    <n v="0"/>
    <n v="1"/>
    <n v="202"/>
    <m/>
    <n v="0"/>
    <n v="2"/>
    <n v="10"/>
    <x v="0"/>
    <n v="1"/>
    <n v="202"/>
    <n v="9.9009900990099098E-3"/>
    <n v="2.0000000000000018"/>
    <n v="0.99009900990099009"/>
    <n v="200"/>
    <n v="0"/>
    <n v="1"/>
    <n v="202"/>
    <n v="9.9999999999999645E-2"/>
    <n v="1"/>
    <x v="1"/>
    <n v="0.49504950495049505"/>
    <n v="100"/>
    <n v="1.02"/>
    <n v="0.5"/>
    <n v="101"/>
    <n v="4"/>
    <n v="1"/>
    <n v="0"/>
    <n v="1"/>
    <m/>
    <d v="2014-06-06T00:00:00"/>
    <d v="2015-06-06T00:00:00"/>
    <n v="35"/>
    <n v="6"/>
    <n v="0"/>
    <n v="1"/>
    <n v="202"/>
    <x v="8"/>
    <m/>
    <n v="1"/>
    <n v="202"/>
    <n v="1"/>
    <s v="Excellent coverage"/>
    <n v="0"/>
    <x v="0"/>
    <m/>
  </r>
  <r>
    <x v="6"/>
    <s v="MMR001CMP070"/>
    <x v="3"/>
    <x v="133"/>
    <n v="97.716260000000005"/>
    <n v="24.20411"/>
    <x v="0"/>
    <x v="0"/>
    <n v="22"/>
    <n v="82"/>
    <n v="82"/>
    <x v="1"/>
    <s v="KBC"/>
    <x v="7"/>
    <x v="0"/>
    <d v="2015-08-31T00:00:00"/>
    <m/>
    <m/>
    <s v="Focal NGO"/>
    <x v="0"/>
    <n v="0"/>
    <n v="0"/>
    <s v="No"/>
    <n v="0"/>
    <n v="1"/>
    <n v="2000"/>
    <n v="0"/>
    <n v="0"/>
    <n v="1"/>
    <n v="82"/>
    <n v="1"/>
    <n v="82"/>
    <n v="1"/>
    <n v="82"/>
    <x v="0"/>
    <n v="0"/>
    <n v="0"/>
    <n v="0"/>
    <n v="0"/>
    <n v="0"/>
    <n v="1"/>
    <n v="82"/>
    <m/>
    <n v="0"/>
    <n v="2"/>
    <n v="3"/>
    <x v="0"/>
    <n v="1"/>
    <n v="82"/>
    <n v="0.26829268292682928"/>
    <n v="22"/>
    <n v="0.73170731707317072"/>
    <n v="60"/>
    <n v="0"/>
    <n v="1"/>
    <n v="82"/>
    <n v="1.0999999999999996"/>
    <n v="1"/>
    <x v="1"/>
    <n v="1"/>
    <n v="82"/>
    <n v="0"/>
    <n v="1"/>
    <n v="82"/>
    <n v="1"/>
    <n v="1"/>
    <n v="0"/>
    <n v="1"/>
    <s v="3 SPL to be constructed by March/April 2015"/>
    <d v="2014-06-06T00:00:00"/>
    <d v="2015-06-06T00:00:00"/>
    <n v="22"/>
    <n v="6"/>
    <n v="0"/>
    <n v="1"/>
    <n v="82"/>
    <x v="8"/>
    <m/>
    <n v="1"/>
    <n v="82"/>
    <n v="1"/>
    <s v="Excellent coverage"/>
    <n v="0"/>
    <x v="0"/>
    <m/>
  </r>
  <r>
    <x v="6"/>
    <s v="MMR001CMP070"/>
    <x v="3"/>
    <x v="134"/>
    <s v="NA"/>
    <s v="NA"/>
    <x v="0"/>
    <x v="0"/>
    <n v="47"/>
    <n v="237"/>
    <n v="237"/>
    <x v="1"/>
    <s v="KBC"/>
    <x v="7"/>
    <x v="0"/>
    <d v="2015-08-31T00:00:00"/>
    <m/>
    <m/>
    <s v="Focal NGO"/>
    <x v="0"/>
    <n v="0"/>
    <n v="0"/>
    <s v="No"/>
    <n v="0"/>
    <n v="1"/>
    <n v="2000"/>
    <n v="0"/>
    <n v="0"/>
    <n v="1"/>
    <n v="237"/>
    <n v="1"/>
    <n v="237"/>
    <n v="1"/>
    <n v="237"/>
    <x v="0"/>
    <n v="0"/>
    <n v="0"/>
    <n v="0"/>
    <n v="0"/>
    <n v="0"/>
    <n v="1"/>
    <n v="237"/>
    <m/>
    <n v="0"/>
    <n v="0"/>
    <n v="10"/>
    <x v="2"/>
    <n v="0.84388185654008441"/>
    <n v="200"/>
    <n v="0"/>
    <n v="0"/>
    <n v="0.84388185654008441"/>
    <n v="200"/>
    <m/>
    <n v="0.84"/>
    <n v="199.07999999999998"/>
    <n v="1.8499999999999996"/>
    <n v="2"/>
    <x v="5"/>
    <n v="0.84388185654008441"/>
    <n v="200"/>
    <n v="0.37000000000000011"/>
    <n v="0.84"/>
    <n v="199.07999999999998"/>
    <n v="2"/>
    <n v="0.84388185654008441"/>
    <n v="0.37000000000000011"/>
    <n v="0.84"/>
    <m/>
    <d v="2014-06-06T00:00:00"/>
    <d v="2015-06-06T00:00:00"/>
    <n v="47"/>
    <n v="6"/>
    <n v="0"/>
    <n v="1"/>
    <n v="237"/>
    <x v="8"/>
    <m/>
    <n v="1"/>
    <n v="237"/>
    <n v="1"/>
    <s v="Excellent coverage"/>
    <n v="0"/>
    <x v="0"/>
    <m/>
  </r>
  <r>
    <x v="6"/>
    <s v="MMR001CMP072"/>
    <x v="3"/>
    <x v="135"/>
    <n v="97.724483000000006"/>
    <n v="24.205417000000001"/>
    <x v="0"/>
    <x v="0"/>
    <n v="50"/>
    <n v="295"/>
    <n v="295"/>
    <x v="1"/>
    <s v="KBC"/>
    <x v="7"/>
    <x v="0"/>
    <d v="2015-08-31T00:00:00"/>
    <m/>
    <m/>
    <s v="Focal NGO"/>
    <x v="0"/>
    <n v="0"/>
    <n v="0"/>
    <s v="No"/>
    <n v="1"/>
    <n v="1"/>
    <n v="11790"/>
    <n v="0"/>
    <n v="0"/>
    <n v="1"/>
    <n v="295"/>
    <n v="1"/>
    <n v="295"/>
    <n v="1"/>
    <n v="295"/>
    <x v="0"/>
    <n v="0"/>
    <n v="0"/>
    <n v="0"/>
    <n v="0"/>
    <n v="0"/>
    <n v="1"/>
    <n v="295"/>
    <m/>
    <n v="21"/>
    <n v="12"/>
    <n v="4"/>
    <x v="0"/>
    <n v="1"/>
    <n v="295"/>
    <n v="0.72881355932203395"/>
    <n v="215.00000000000003"/>
    <n v="0.2711864406779661"/>
    <n v="80"/>
    <n v="0"/>
    <n v="1"/>
    <n v="295"/>
    <n v="10.75"/>
    <n v="3"/>
    <x v="0"/>
    <n v="1"/>
    <n v="295"/>
    <n v="0"/>
    <n v="1"/>
    <n v="295"/>
    <n v="4"/>
    <n v="1"/>
    <n v="0"/>
    <n v="1"/>
    <s v="8SPL to be constructed by March/April 2015"/>
    <d v="2014-06-05T00:00:00"/>
    <d v="2015-06-05T00:00:00"/>
    <n v="48"/>
    <n v="6"/>
    <n v="2"/>
    <n v="0.96"/>
    <n v="283.2"/>
    <x v="8"/>
    <m/>
    <n v="1"/>
    <n v="295"/>
    <n v="2"/>
    <s v="Excellent coverage"/>
    <n v="0"/>
    <x v="0"/>
    <m/>
  </r>
  <r>
    <x v="6"/>
    <s v="MMR001CMP069"/>
    <x v="3"/>
    <x v="136"/>
    <n v="97.724000000000004"/>
    <n v="24.204999999999998"/>
    <x v="2"/>
    <x v="0"/>
    <n v="40"/>
    <n v="136"/>
    <n v="136"/>
    <x v="1"/>
    <s v="KMSS"/>
    <x v="7"/>
    <x v="0"/>
    <d v="2015-08-31T00:00:00"/>
    <m/>
    <m/>
    <s v="Focal NGO"/>
    <x v="0"/>
    <n v="0"/>
    <n v="0"/>
    <s v="No"/>
    <n v="2"/>
    <n v="1"/>
    <n v="2720"/>
    <n v="0"/>
    <n v="0"/>
    <n v="1"/>
    <n v="136"/>
    <n v="1"/>
    <n v="136"/>
    <n v="1"/>
    <n v="136"/>
    <x v="0"/>
    <n v="0"/>
    <n v="0"/>
    <n v="0"/>
    <n v="0"/>
    <n v="0"/>
    <n v="1"/>
    <n v="136"/>
    <m/>
    <n v="9"/>
    <n v="9"/>
    <n v="0"/>
    <x v="2"/>
    <n v="1"/>
    <n v="136"/>
    <n v="1"/>
    <n v="136"/>
    <n v="0"/>
    <n v="0"/>
    <n v="0"/>
    <n v="1"/>
    <n v="136"/>
    <n v="6.8"/>
    <n v="1"/>
    <x v="1"/>
    <n v="0.73529411764705888"/>
    <n v="100"/>
    <n v="0.3600000000000001"/>
    <n v="0.74"/>
    <n v="100.64"/>
    <n v="0"/>
    <n v="0"/>
    <n v="1.36"/>
    <n v="0"/>
    <m/>
    <d v="2013-11-06T00:00:00"/>
    <s v="To be realised"/>
    <n v="5"/>
    <n v="3"/>
    <n v="40"/>
    <n v="0"/>
    <n v="0"/>
    <x v="10"/>
    <m/>
    <n v="0"/>
    <n v="0"/>
    <n v="0"/>
    <s v="No coverage"/>
    <n v="0"/>
    <x v="2"/>
    <m/>
  </r>
  <r>
    <x v="6"/>
    <s v="MMR001CMP073"/>
    <x v="3"/>
    <x v="137"/>
    <n v="97.710864000000001"/>
    <n v="24.207332999999998"/>
    <x v="0"/>
    <x v="0"/>
    <n v="39"/>
    <n v="236"/>
    <n v="236"/>
    <x v="1"/>
    <s v="KBC"/>
    <x v="7"/>
    <x v="0"/>
    <d v="2015-08-31T00:00:00"/>
    <m/>
    <m/>
    <s v="Focal NGO"/>
    <x v="0"/>
    <n v="0"/>
    <n v="0"/>
    <s v="No"/>
    <n v="1"/>
    <n v="1"/>
    <n v="6120"/>
    <n v="0"/>
    <n v="0"/>
    <n v="1"/>
    <n v="236"/>
    <n v="1"/>
    <n v="236"/>
    <n v="1"/>
    <n v="236"/>
    <x v="0"/>
    <n v="0"/>
    <n v="0"/>
    <n v="0"/>
    <n v="0"/>
    <n v="0"/>
    <n v="1"/>
    <n v="236"/>
    <m/>
    <n v="0"/>
    <n v="0"/>
    <n v="22"/>
    <x v="0"/>
    <n v="1"/>
    <n v="236"/>
    <n v="0"/>
    <n v="0"/>
    <n v="1"/>
    <n v="236"/>
    <n v="0"/>
    <n v="1"/>
    <n v="236"/>
    <n v="0"/>
    <n v="2"/>
    <x v="0"/>
    <n v="0.84745762711864403"/>
    <n v="200"/>
    <n v="0.35999999999999988"/>
    <n v="0.85"/>
    <n v="200.6"/>
    <n v="11"/>
    <n v="1"/>
    <n v="0"/>
    <n v="1"/>
    <m/>
    <d v="2014-06-05T00:00:00"/>
    <d v="2015-06-05T00:00:00"/>
    <n v="33"/>
    <n v="6"/>
    <n v="6"/>
    <n v="0.84615384615384615"/>
    <n v="199.69230769230768"/>
    <x v="8"/>
    <m/>
    <n v="1"/>
    <n v="236"/>
    <n v="1"/>
    <s v="Excellent coverage"/>
    <n v="0"/>
    <x v="0"/>
    <m/>
  </r>
  <r>
    <x v="6"/>
    <s v="MMR001CMP056"/>
    <x v="6"/>
    <x v="138"/>
    <n v="97.337649999999996"/>
    <n v="24.242049999999999"/>
    <x v="0"/>
    <x v="0"/>
    <n v="72"/>
    <n v="373"/>
    <n v="373"/>
    <x v="0"/>
    <s v="KBC"/>
    <x v="7"/>
    <x v="0"/>
    <d v="2015-08-31T00:00:00"/>
    <m/>
    <m/>
    <s v="Focal NGO"/>
    <x v="0"/>
    <n v="0"/>
    <n v="0"/>
    <s v="No"/>
    <n v="0"/>
    <n v="1"/>
    <n v="1000"/>
    <n v="1"/>
    <n v="7.0000000000000007E-2"/>
    <n v="1"/>
    <n v="373"/>
    <n v="1"/>
    <n v="373"/>
    <n v="1"/>
    <n v="373"/>
    <x v="0"/>
    <n v="0"/>
    <n v="0"/>
    <n v="0"/>
    <n v="5.0400000000000009"/>
    <n v="373"/>
    <n v="1"/>
    <n v="373"/>
    <m/>
    <n v="0"/>
    <n v="0"/>
    <n v="15"/>
    <x v="2"/>
    <n v="0.80428954423592491"/>
    <n v="300"/>
    <n v="0"/>
    <n v="0"/>
    <n v="0.80428954423592491"/>
    <n v="300"/>
    <n v="0"/>
    <n v="0.8"/>
    <n v="298.40000000000003"/>
    <n v="3.6499999999999986"/>
    <n v="3"/>
    <x v="0"/>
    <n v="0.80428954423592491"/>
    <n v="300"/>
    <n v="0.73"/>
    <n v="0.8"/>
    <n v="298.40000000000003"/>
    <n v="5"/>
    <n v="1"/>
    <n v="0"/>
    <n v="1"/>
    <m/>
    <d v="2014-04-16T00:00:00"/>
    <s v="To be realised"/>
    <n v="9"/>
    <n v="6"/>
    <n v="72"/>
    <n v="0"/>
    <n v="0"/>
    <x v="11"/>
    <m/>
    <n v="1"/>
    <n v="373"/>
    <n v="3"/>
    <s v="Excellent coverage"/>
    <n v="0"/>
    <x v="0"/>
    <m/>
  </r>
  <r>
    <x v="6"/>
    <s v="MMR001CMP059"/>
    <x v="6"/>
    <x v="139"/>
    <n v="97.347740000000002"/>
    <n v="24.253769999999999"/>
    <x v="0"/>
    <x v="0"/>
    <n v="25"/>
    <n v="92"/>
    <n v="92"/>
    <x v="1"/>
    <s v="Shalom"/>
    <x v="7"/>
    <x v="0"/>
    <d v="2015-08-31T00:00:00"/>
    <m/>
    <m/>
    <s v="Focal NGO"/>
    <x v="0"/>
    <n v="0"/>
    <n v="0"/>
    <s v="No"/>
    <n v="0"/>
    <n v="0"/>
    <n v="920"/>
    <n v="0"/>
    <n v="0.8"/>
    <n v="0.66666666666666674"/>
    <n v="61.333333333333343"/>
    <n v="0.66666666666666674"/>
    <n v="61.333333333333343"/>
    <n v="0.8"/>
    <n v="73.600000000000009"/>
    <x v="4"/>
    <n v="0"/>
    <n v="0"/>
    <n v="0.23"/>
    <n v="20"/>
    <n v="0"/>
    <n v="0.67"/>
    <n v="61.64"/>
    <m/>
    <n v="4"/>
    <n v="4"/>
    <n v="1"/>
    <x v="1"/>
    <n v="1"/>
    <n v="92"/>
    <n v="0.78260869565217395"/>
    <n v="72"/>
    <n v="0.21739130434782608"/>
    <n v="20"/>
    <n v="0"/>
    <n v="1"/>
    <n v="92"/>
    <n v="3.5999999999999996"/>
    <n v="1"/>
    <x v="1"/>
    <n v="1"/>
    <n v="92"/>
    <n v="0"/>
    <n v="1"/>
    <n v="92"/>
    <n v="2"/>
    <n v="1"/>
    <n v="0"/>
    <n v="1"/>
    <m/>
    <d v="2014-05-26T00:00:00"/>
    <d v="2015-05-26T00:00:00"/>
    <n v="23"/>
    <n v="6"/>
    <n v="2"/>
    <n v="0.92"/>
    <n v="84.64"/>
    <x v="8"/>
    <m/>
    <n v="1"/>
    <n v="92"/>
    <n v="1"/>
    <s v="Excellent coverage"/>
    <n v="0"/>
    <x v="0"/>
    <m/>
  </r>
  <r>
    <x v="9"/>
    <s v="MMR001CMP117"/>
    <x v="4"/>
    <x v="140"/>
    <n v="97.551716999999996"/>
    <n v="24.746817"/>
    <x v="0"/>
    <x v="1"/>
    <n v="555"/>
    <n v="421"/>
    <n v="2326"/>
    <x v="3"/>
    <s v="IRRC"/>
    <x v="1"/>
    <x v="0"/>
    <d v="2015-08-31T00:00:00"/>
    <s v="SI"/>
    <d v="2015-08-31T00:00:00"/>
    <s v="Focal NGO"/>
    <x v="0"/>
    <n v="0"/>
    <n v="0"/>
    <s v="No"/>
    <n v="1"/>
    <n v="0"/>
    <n v="30000"/>
    <n v="0"/>
    <n v="0.31"/>
    <n v="1"/>
    <n v="2326"/>
    <n v="1"/>
    <n v="2326"/>
    <n v="1"/>
    <n v="2326"/>
    <x v="0"/>
    <n v="0"/>
    <n v="0"/>
    <n v="4.8150000000000004"/>
    <n v="172.05"/>
    <n v="0"/>
    <n v="1"/>
    <n v="2326"/>
    <s v="CWF coverage changed due to SI ' KAP survey"/>
    <n v="3"/>
    <n v="2"/>
    <n v="4"/>
    <x v="2"/>
    <n v="5.1590713671539126E-2"/>
    <n v="120.00000000000001"/>
    <n v="1.7196904557179711E-2"/>
    <n v="40.000000000000007"/>
    <n v="3.4393809114359415E-2"/>
    <n v="80"/>
    <n v="0"/>
    <n v="0.05"/>
    <n v="116.30000000000001"/>
    <n v="112.3"/>
    <n v="2"/>
    <x v="1"/>
    <n v="8.5984522785898534E-2"/>
    <n v="200"/>
    <n v="2.21"/>
    <n v="0.09"/>
    <n v="209.34"/>
    <n v="1"/>
    <n v="4.2992261392949267E-2"/>
    <n v="3.21"/>
    <n v="0.04"/>
    <s v="Please note that due to a lack of space in the camps, KBC cannot construct additional latrines. all hand washing not functioning due to tap broken, bottle moved out, under replacement. IDPs from Masat 3 are due to be relocated in May 2015."/>
    <d v="2014-01-01T00:00:00"/>
    <s v="To be realised"/>
    <n v="422"/>
    <n v="6"/>
    <n v="555"/>
    <n v="0"/>
    <n v="0"/>
    <x v="7"/>
    <s v="Latest distribution of HK refill in April 15 "/>
    <n v="1"/>
    <n v="2326"/>
    <n v="2"/>
    <s v="Low coverage"/>
    <n v="0"/>
    <x v="5"/>
    <m/>
  </r>
  <r>
    <x v="10"/>
    <s v="MMR001CMP196"/>
    <x v="6"/>
    <x v="141"/>
    <n v="97.291820000000001"/>
    <n v="24.129059999999999"/>
    <x v="1"/>
    <x v="0"/>
    <n v="135"/>
    <n v="499"/>
    <n v="499"/>
    <x v="0"/>
    <s v="KBC"/>
    <x v="3"/>
    <x v="1"/>
    <m/>
    <m/>
    <m/>
    <s v="Not documented"/>
    <x v="1"/>
    <n v="0"/>
    <n v="0"/>
    <s v="No"/>
    <n v="0"/>
    <n v="0"/>
    <n v="0"/>
    <n v="0"/>
    <n v="0"/>
    <n v="0"/>
    <n v="0"/>
    <n v="0"/>
    <n v="0"/>
    <n v="0"/>
    <n v="0"/>
    <x v="1"/>
    <n v="0"/>
    <n v="0"/>
    <n v="1.2475000000000001"/>
    <n v="0"/>
    <n v="0"/>
    <n v="1"/>
    <n v="499"/>
    <s v="these IDPs are using nearest water sources "/>
    <n v="0"/>
    <n v="0"/>
    <n v="0"/>
    <x v="2"/>
    <n v="0"/>
    <n v="0"/>
    <n v="0"/>
    <n v="0"/>
    <n v="0"/>
    <n v="0"/>
    <n v="0"/>
    <n v="0"/>
    <n v="0"/>
    <n v="24.95"/>
    <n v="0"/>
    <x v="1"/>
    <n v="0"/>
    <n v="0"/>
    <n v="4.99"/>
    <n v="0"/>
    <n v="0"/>
    <n v="0"/>
    <n v="0"/>
    <n v="4.99"/>
    <n v="0"/>
    <m/>
    <d v="2014-04-15T00:00:00"/>
    <s v="To be realised"/>
    <n v="20"/>
    <n v="0"/>
    <n v="135"/>
    <n v="0"/>
    <n v="0"/>
    <x v="9"/>
    <m/>
    <n v="0"/>
    <n v="0"/>
    <n v="0"/>
    <s v="No coverage"/>
    <n v="0"/>
    <x v="2"/>
    <s v="SC and Metta will organize for WASH committee forming"/>
  </r>
  <r>
    <x v="6"/>
    <s v="MMR001CMP200"/>
    <x v="6"/>
    <x v="142"/>
    <n v="97.193340000000006"/>
    <n v="24.230450000000001"/>
    <x v="1"/>
    <x v="0"/>
    <n v="4"/>
    <n v="26"/>
    <n v="26"/>
    <x v="1"/>
    <m/>
    <x v="3"/>
    <x v="1"/>
    <m/>
    <m/>
    <m/>
    <s v="Not documented"/>
    <x v="1"/>
    <n v="0"/>
    <n v="0"/>
    <s v="No"/>
    <n v="0"/>
    <n v="0"/>
    <n v="0"/>
    <n v="0"/>
    <n v="0"/>
    <n v="0"/>
    <n v="0"/>
    <n v="0"/>
    <n v="0"/>
    <n v="0"/>
    <n v="0"/>
    <x v="1"/>
    <n v="0"/>
    <n v="0"/>
    <n v="6.5000000000000002E-2"/>
    <n v="0"/>
    <n v="0"/>
    <n v="1"/>
    <n v="26"/>
    <m/>
    <n v="0"/>
    <n v="0"/>
    <n v="0"/>
    <x v="2"/>
    <n v="0"/>
    <n v="0"/>
    <n v="0"/>
    <n v="0"/>
    <n v="0"/>
    <n v="0"/>
    <n v="0"/>
    <n v="0"/>
    <n v="0"/>
    <n v="1.3"/>
    <n v="0"/>
    <x v="1"/>
    <n v="0"/>
    <n v="0"/>
    <n v="0.26"/>
    <n v="0"/>
    <n v="0"/>
    <n v="0"/>
    <n v="0"/>
    <n v="0.26"/>
    <n v="0"/>
    <m/>
    <m/>
    <s v="To be realised"/>
    <n v="0"/>
    <n v="0"/>
    <n v="4"/>
    <n v="0"/>
    <n v="0"/>
    <x v="4"/>
    <m/>
    <n v="0"/>
    <n v="0"/>
    <n v="0"/>
    <s v="No coverage"/>
    <n v="0"/>
    <x v="2"/>
    <m/>
  </r>
  <r>
    <x v="6"/>
    <s v="MMR001CMP064"/>
    <x v="6"/>
    <x v="143"/>
    <n v="97.242360000000005"/>
    <n v="24.264130000000002"/>
    <x v="1"/>
    <x v="0"/>
    <n v="2"/>
    <n v="9"/>
    <n v="9"/>
    <x v="1"/>
    <m/>
    <x v="3"/>
    <x v="1"/>
    <m/>
    <m/>
    <m/>
    <s v="Not documented"/>
    <x v="1"/>
    <n v="0"/>
    <n v="0"/>
    <s v="No"/>
    <n v="0"/>
    <n v="0"/>
    <n v="0"/>
    <n v="0"/>
    <n v="0"/>
    <n v="0"/>
    <n v="0"/>
    <n v="0"/>
    <n v="0"/>
    <n v="0"/>
    <n v="0"/>
    <x v="1"/>
    <n v="0"/>
    <n v="0"/>
    <n v="2.2499999999999999E-2"/>
    <n v="0"/>
    <n v="0"/>
    <n v="1"/>
    <n v="9"/>
    <m/>
    <n v="0"/>
    <n v="0"/>
    <n v="0"/>
    <x v="2"/>
    <n v="0"/>
    <n v="0"/>
    <n v="0"/>
    <n v="0"/>
    <n v="0"/>
    <n v="0"/>
    <n v="0"/>
    <n v="0"/>
    <n v="0"/>
    <n v="0.45"/>
    <n v="0"/>
    <x v="1"/>
    <n v="0"/>
    <n v="0"/>
    <n v="0.09"/>
    <n v="0"/>
    <n v="0"/>
    <n v="0"/>
    <n v="0"/>
    <n v="0.09"/>
    <n v="0"/>
    <m/>
    <m/>
    <s v="To be realised"/>
    <n v="0"/>
    <n v="0"/>
    <n v="2"/>
    <n v="0"/>
    <n v="0"/>
    <x v="4"/>
    <m/>
    <n v="0"/>
    <n v="0"/>
    <n v="0"/>
    <s v="No coverage"/>
    <n v="0"/>
    <x v="2"/>
    <m/>
  </r>
  <r>
    <x v="6"/>
    <s v="MMR001CMP063"/>
    <x v="6"/>
    <x v="144"/>
    <n v="97.321659999999994"/>
    <n v="24.41"/>
    <x v="1"/>
    <x v="0"/>
    <n v="28"/>
    <n v="136"/>
    <n v="136"/>
    <x v="1"/>
    <m/>
    <x v="3"/>
    <x v="1"/>
    <m/>
    <m/>
    <m/>
    <s v="Not documented"/>
    <x v="1"/>
    <n v="0"/>
    <n v="0"/>
    <s v="No"/>
    <n v="0"/>
    <n v="0"/>
    <n v="0"/>
    <n v="0"/>
    <n v="0"/>
    <n v="0"/>
    <n v="0"/>
    <n v="0"/>
    <n v="0"/>
    <n v="0"/>
    <n v="0"/>
    <x v="1"/>
    <n v="0"/>
    <n v="0"/>
    <n v="0.34"/>
    <n v="0"/>
    <n v="0"/>
    <n v="1"/>
    <n v="136"/>
    <m/>
    <n v="0"/>
    <n v="0"/>
    <n v="0"/>
    <x v="2"/>
    <n v="0"/>
    <n v="0"/>
    <n v="0"/>
    <n v="0"/>
    <n v="0"/>
    <n v="0"/>
    <n v="0"/>
    <n v="0"/>
    <n v="0"/>
    <n v="6.8"/>
    <n v="0"/>
    <x v="1"/>
    <n v="0"/>
    <n v="0"/>
    <n v="1.36"/>
    <n v="0"/>
    <n v="0"/>
    <n v="0"/>
    <n v="0"/>
    <n v="1.36"/>
    <n v="0"/>
    <m/>
    <m/>
    <s v="To be realised"/>
    <n v="0"/>
    <n v="0"/>
    <n v="28"/>
    <n v="0"/>
    <n v="0"/>
    <x v="4"/>
    <m/>
    <n v="0"/>
    <n v="0"/>
    <n v="0"/>
    <s v="No coverage"/>
    <n v="0"/>
    <x v="2"/>
    <m/>
  </r>
  <r>
    <x v="6"/>
    <s v="MMR001CMP061"/>
    <x v="6"/>
    <x v="145"/>
    <n v="97.406239999999997"/>
    <n v="24.40457"/>
    <x v="1"/>
    <x v="0"/>
    <n v="13"/>
    <n v="53"/>
    <n v="53"/>
    <x v="1"/>
    <m/>
    <x v="3"/>
    <x v="1"/>
    <m/>
    <m/>
    <m/>
    <s v="Not documented"/>
    <x v="1"/>
    <n v="0"/>
    <n v="0"/>
    <s v="No"/>
    <n v="0"/>
    <n v="0"/>
    <n v="0"/>
    <n v="0"/>
    <n v="0"/>
    <n v="0"/>
    <n v="0"/>
    <n v="0"/>
    <n v="0"/>
    <n v="0"/>
    <n v="0"/>
    <x v="1"/>
    <n v="0"/>
    <n v="0"/>
    <n v="0.13250000000000001"/>
    <n v="0"/>
    <n v="0"/>
    <n v="1"/>
    <n v="53"/>
    <m/>
    <n v="0"/>
    <n v="0"/>
    <n v="0"/>
    <x v="2"/>
    <n v="0"/>
    <n v="0"/>
    <n v="0"/>
    <n v="0"/>
    <n v="0"/>
    <n v="0"/>
    <n v="0"/>
    <n v="0"/>
    <n v="0"/>
    <n v="2.65"/>
    <n v="0"/>
    <x v="1"/>
    <n v="0"/>
    <n v="0"/>
    <n v="0.53"/>
    <n v="0"/>
    <n v="0"/>
    <n v="0"/>
    <n v="0"/>
    <n v="0.53"/>
    <n v="0"/>
    <m/>
    <m/>
    <s v="To be realised"/>
    <n v="0"/>
    <n v="0"/>
    <n v="13"/>
    <n v="0"/>
    <n v="0"/>
    <x v="4"/>
    <m/>
    <n v="0"/>
    <n v="0"/>
    <n v="0"/>
    <s v="No coverage"/>
    <n v="0"/>
    <x v="2"/>
    <m/>
  </r>
  <r>
    <x v="6"/>
    <s v="MMR001CMP060"/>
    <x v="6"/>
    <x v="146"/>
    <n v="97.417240000000007"/>
    <n v="24.49184"/>
    <x v="1"/>
    <x v="0"/>
    <n v="10"/>
    <n v="38"/>
    <n v="38"/>
    <x v="1"/>
    <m/>
    <x v="3"/>
    <x v="1"/>
    <m/>
    <m/>
    <m/>
    <s v="Not documented"/>
    <x v="1"/>
    <n v="0"/>
    <n v="0"/>
    <s v="No"/>
    <n v="0"/>
    <n v="0"/>
    <n v="0"/>
    <n v="0"/>
    <n v="0"/>
    <n v="0"/>
    <n v="0"/>
    <n v="0"/>
    <n v="0"/>
    <n v="0"/>
    <n v="0"/>
    <x v="1"/>
    <n v="0"/>
    <n v="0"/>
    <n v="9.5000000000000001E-2"/>
    <n v="0"/>
    <n v="0"/>
    <n v="1"/>
    <n v="38"/>
    <m/>
    <n v="0"/>
    <n v="0"/>
    <n v="0"/>
    <x v="2"/>
    <n v="0"/>
    <n v="0"/>
    <n v="0"/>
    <n v="0"/>
    <n v="0"/>
    <n v="0"/>
    <n v="0"/>
    <n v="0"/>
    <n v="0"/>
    <n v="1.9"/>
    <n v="0"/>
    <x v="1"/>
    <n v="0"/>
    <n v="0"/>
    <n v="0.38"/>
    <n v="0"/>
    <n v="0"/>
    <n v="0"/>
    <n v="0"/>
    <n v="0.38"/>
    <n v="0"/>
    <m/>
    <m/>
    <s v="To be realised"/>
    <n v="0"/>
    <n v="0"/>
    <n v="10"/>
    <n v="0"/>
    <n v="0"/>
    <x v="4"/>
    <m/>
    <n v="0"/>
    <n v="0"/>
    <n v="0"/>
    <s v="No coverage"/>
    <n v="0"/>
    <x v="2"/>
    <m/>
  </r>
  <r>
    <x v="12"/>
    <s v="MMR001CMP199"/>
    <x v="6"/>
    <x v="147"/>
    <n v="96.807350999999997"/>
    <n v="24.200362999999999"/>
    <x v="1"/>
    <x v="0"/>
    <n v="15"/>
    <n v="40"/>
    <n v="40"/>
    <x v="1"/>
    <m/>
    <x v="3"/>
    <x v="1"/>
    <m/>
    <m/>
    <m/>
    <s v="Not documented"/>
    <x v="1"/>
    <n v="0"/>
    <n v="0"/>
    <s v="No"/>
    <n v="0"/>
    <n v="0"/>
    <n v="0"/>
    <n v="0"/>
    <n v="0"/>
    <n v="0"/>
    <n v="0"/>
    <n v="0"/>
    <n v="0"/>
    <n v="0"/>
    <n v="0"/>
    <x v="1"/>
    <n v="0"/>
    <n v="0"/>
    <n v="0.1"/>
    <n v="0"/>
    <n v="0"/>
    <n v="1"/>
    <n v="40"/>
    <m/>
    <n v="0"/>
    <n v="0"/>
    <n v="0"/>
    <x v="2"/>
    <n v="0"/>
    <n v="0"/>
    <n v="0"/>
    <n v="0"/>
    <n v="0"/>
    <n v="0"/>
    <n v="0"/>
    <n v="0"/>
    <n v="0"/>
    <n v="2"/>
    <n v="0"/>
    <x v="1"/>
    <n v="0"/>
    <n v="0"/>
    <n v="0.4"/>
    <n v="0"/>
    <n v="0"/>
    <n v="0"/>
    <n v="0"/>
    <n v="0.4"/>
    <n v="0"/>
    <m/>
    <m/>
    <s v="To be realised"/>
    <n v="0"/>
    <n v="0"/>
    <n v="15"/>
    <n v="0"/>
    <n v="0"/>
    <x v="4"/>
    <m/>
    <n v="0"/>
    <n v="0"/>
    <n v="0"/>
    <s v="No coverage"/>
    <n v="0"/>
    <x v="2"/>
    <m/>
  </r>
  <r>
    <x v="10"/>
    <s v="MMR001CMP230"/>
    <x v="7"/>
    <x v="148"/>
    <n v="97.590767"/>
    <n v="23.829599000000002"/>
    <x v="0"/>
    <x v="0"/>
    <n v="113"/>
    <n v="516"/>
    <n v="516"/>
    <x v="0"/>
    <s v="KBC"/>
    <x v="4"/>
    <x v="0"/>
    <s v="31.Mar.2016"/>
    <m/>
    <m/>
    <s v="Focal NGO"/>
    <x v="0"/>
    <n v="0"/>
    <n v="0"/>
    <s v="No"/>
    <n v="0"/>
    <n v="0"/>
    <n v="28000"/>
    <n v="0"/>
    <n v="0"/>
    <n v="1"/>
    <n v="516"/>
    <n v="1"/>
    <n v="516"/>
    <n v="1"/>
    <n v="516"/>
    <x v="0"/>
    <n v="0"/>
    <n v="0"/>
    <n v="1.29"/>
    <n v="0"/>
    <n v="0"/>
    <n v="1"/>
    <n v="516"/>
    <m/>
    <n v="0"/>
    <n v="18"/>
    <n v="13"/>
    <x v="3"/>
    <n v="1"/>
    <n v="516"/>
    <n v="0.49612403100775193"/>
    <n v="256"/>
    <n v="0.50387596899224807"/>
    <n v="260"/>
    <n v="7"/>
    <n v="1"/>
    <n v="516"/>
    <n v="19.8"/>
    <n v="5"/>
    <x v="0"/>
    <n v="0.96899224806201545"/>
    <n v="500"/>
    <n v="0.16000000000000014"/>
    <n v="1"/>
    <n v="516"/>
    <n v="3"/>
    <n v="0.58139534883720934"/>
    <n v="2.16"/>
    <n v="0.7"/>
    <m/>
    <d v="2014-04-12T00:00:00"/>
    <s v="To be realised"/>
    <n v="117"/>
    <n v="3"/>
    <n v="113"/>
    <n v="0"/>
    <n v="0"/>
    <x v="7"/>
    <m/>
    <n v="1"/>
    <n v="516"/>
    <n v="9"/>
    <s v="Excellent coverage"/>
    <n v="0"/>
    <x v="0"/>
    <m/>
  </r>
  <r>
    <x v="10"/>
    <s v="MMR001CMP228"/>
    <x v="7"/>
    <x v="149"/>
    <n v="97.577347000000003"/>
    <n v="23.836462999999998"/>
    <x v="0"/>
    <x v="0"/>
    <n v="120"/>
    <n v="490"/>
    <n v="490"/>
    <x v="0"/>
    <s v="KMSS"/>
    <x v="8"/>
    <x v="0"/>
    <d v="2015-06-30T00:00:00"/>
    <s v="SCI"/>
    <d v="2015-06-30T00:00:00"/>
    <s v="Focal NGO"/>
    <x v="0"/>
    <n v="0"/>
    <n v="0"/>
    <s v="No"/>
    <n v="0"/>
    <n v="0"/>
    <n v="7000"/>
    <n v="0"/>
    <n v="0"/>
    <n v="0.95238095238095244"/>
    <n v="466.66666666666669"/>
    <n v="0.95238095238095244"/>
    <n v="466.66666666666669"/>
    <n v="0.95238095238095244"/>
    <n v="466.66666666666669"/>
    <x v="0"/>
    <n v="0"/>
    <n v="0"/>
    <n v="1.2250000000000001"/>
    <n v="0"/>
    <n v="0"/>
    <n v="1"/>
    <n v="490"/>
    <m/>
    <n v="17"/>
    <n v="17"/>
    <n v="0"/>
    <x v="1"/>
    <n v="0.69387755102040816"/>
    <n v="340"/>
    <n v="0.69387755102040816"/>
    <n v="340"/>
    <n v="0"/>
    <n v="0"/>
    <n v="2"/>
    <n v="0.69"/>
    <n v="338.09999999999997"/>
    <n v="26.5"/>
    <n v="4"/>
    <x v="0"/>
    <n v="0.81632653061224492"/>
    <n v="400"/>
    <n v="0.90000000000000036"/>
    <n v="0.82"/>
    <n v="401.79999999999995"/>
    <n v="10"/>
    <n v="1"/>
    <n v="0"/>
    <n v="1"/>
    <s v="Need to Check update with SCI, Semi permanent lateins could not construction cause of land Issue"/>
    <d v="2014-04-25T00:00:00"/>
    <s v="To be realised"/>
    <n v="108"/>
    <n v="9"/>
    <n v="120"/>
    <n v="0"/>
    <n v="0"/>
    <x v="12"/>
    <m/>
    <n v="0.5"/>
    <n v="245"/>
    <n v="7"/>
    <s v="Excellent coverage"/>
    <n v="0"/>
    <x v="0"/>
    <m/>
  </r>
  <r>
    <x v="13"/>
    <s v="MMR015CMP213"/>
    <x v="7"/>
    <x v="150"/>
    <n v="97.909217999999996"/>
    <n v="24.005448999999999"/>
    <x v="0"/>
    <x v="0"/>
    <n v="82"/>
    <n v="331"/>
    <n v="331"/>
    <x v="0"/>
    <s v="KBC"/>
    <x v="4"/>
    <x v="0"/>
    <s v="31.Mar.2016"/>
    <m/>
    <m/>
    <s v="Focal NGO"/>
    <x v="0"/>
    <n v="0"/>
    <n v="0"/>
    <s v="No"/>
    <n v="0"/>
    <n v="0"/>
    <n v="20000"/>
    <n v="1"/>
    <n v="0"/>
    <n v="1"/>
    <n v="331"/>
    <n v="1"/>
    <n v="331"/>
    <n v="1"/>
    <n v="331"/>
    <x v="0"/>
    <n v="0"/>
    <n v="0"/>
    <n v="0.82750000000000001"/>
    <n v="0"/>
    <n v="331"/>
    <n v="1"/>
    <n v="331"/>
    <m/>
    <n v="20"/>
    <n v="20"/>
    <n v="0"/>
    <x v="3"/>
    <n v="1"/>
    <n v="331"/>
    <n v="1"/>
    <n v="331"/>
    <n v="0"/>
    <n v="0"/>
    <n v="3"/>
    <n v="1"/>
    <n v="331"/>
    <n v="19.55"/>
    <n v="4"/>
    <x v="0"/>
    <n v="1"/>
    <n v="331"/>
    <n v="0"/>
    <n v="1"/>
    <n v="331"/>
    <n v="2"/>
    <n v="0.60422960725075525"/>
    <n v="1.31"/>
    <n v="0.7"/>
    <m/>
    <d v="2014-05-17T00:00:00"/>
    <d v="2015-05-17T00:00:00"/>
    <n v="81"/>
    <n v="1"/>
    <n v="1"/>
    <n v="0.98780487804878048"/>
    <n v="326.96341463414632"/>
    <x v="13"/>
    <m/>
    <n v="0"/>
    <n v="0"/>
    <n v="2"/>
    <s v="Excellent coverage"/>
    <n v="0"/>
    <x v="0"/>
    <m/>
  </r>
  <r>
    <x v="13"/>
    <s v="MMR015CMP216"/>
    <x v="7"/>
    <x v="151"/>
    <n v="97.911671100000007"/>
    <n v="24.006896999999999"/>
    <x v="0"/>
    <x v="0"/>
    <n v="31"/>
    <n v="127"/>
    <n v="127"/>
    <x v="1"/>
    <s v="KMSS"/>
    <x v="8"/>
    <x v="0"/>
    <d v="2015-06-30T00:00:00"/>
    <s v="SCI"/>
    <d v="2015-06-30T00:00:00"/>
    <s v="Focal NGO"/>
    <x v="0"/>
    <n v="0"/>
    <n v="0"/>
    <s v="No"/>
    <n v="0"/>
    <n v="0"/>
    <n v="5000"/>
    <n v="0.6"/>
    <n v="0"/>
    <n v="1"/>
    <n v="127"/>
    <n v="1"/>
    <n v="127"/>
    <n v="1"/>
    <n v="127"/>
    <x v="0"/>
    <n v="0"/>
    <n v="0"/>
    <n v="0.3175"/>
    <n v="0"/>
    <n v="76.2"/>
    <n v="1"/>
    <n v="127"/>
    <m/>
    <n v="10"/>
    <n v="10"/>
    <n v="3"/>
    <x v="1"/>
    <n v="1"/>
    <n v="127"/>
    <n v="0.52755905511811019"/>
    <n v="67"/>
    <n v="0.47244094488188976"/>
    <n v="60"/>
    <n v="2"/>
    <n v="1"/>
    <n v="127"/>
    <n v="5.35"/>
    <n v="2"/>
    <x v="0"/>
    <n v="1"/>
    <n v="127"/>
    <n v="0"/>
    <n v="1"/>
    <n v="127"/>
    <n v="0"/>
    <n v="0"/>
    <n v="1.27"/>
    <n v="0"/>
    <s v="No Plan for Semi permanent latrines construction"/>
    <d v="2014-05-17T00:00:00"/>
    <d v="2015-05-17T00:00:00"/>
    <n v="80"/>
    <n v="6"/>
    <n v="0"/>
    <n v="1"/>
    <n v="127"/>
    <x v="6"/>
    <m/>
    <n v="0.5"/>
    <n v="63.5"/>
    <n v="1"/>
    <s v="Excellent coverage"/>
    <n v="0"/>
    <x v="0"/>
    <m/>
  </r>
  <r>
    <x v="10"/>
    <s v="MMR001CMP133"/>
    <x v="7"/>
    <x v="152"/>
    <n v="97.587900000000005"/>
    <n v="23.83"/>
    <x v="0"/>
    <x v="0"/>
    <n v="115"/>
    <n v="680"/>
    <n v="680"/>
    <x v="0"/>
    <s v="KBC"/>
    <x v="8"/>
    <x v="0"/>
    <d v="2015-06-30T00:00:00"/>
    <s v="SCI"/>
    <d v="2015-06-30T00:00:00"/>
    <s v="Focal NGO"/>
    <x v="0"/>
    <n v="0"/>
    <n v="0"/>
    <s v="No"/>
    <n v="0"/>
    <n v="1"/>
    <n v="14063"/>
    <n v="0.71"/>
    <n v="0"/>
    <n v="1"/>
    <n v="680"/>
    <n v="1"/>
    <n v="680"/>
    <n v="1"/>
    <n v="680"/>
    <x v="0"/>
    <n v="0"/>
    <n v="0"/>
    <n v="0.7"/>
    <n v="0"/>
    <n v="482.79999999999995"/>
    <n v="1"/>
    <n v="680"/>
    <m/>
    <n v="8"/>
    <n v="8"/>
    <n v="8"/>
    <x v="0"/>
    <n v="0.47058823529411764"/>
    <n v="320"/>
    <n v="0.23529411764705882"/>
    <n v="160"/>
    <n v="0.23529411764705882"/>
    <n v="160"/>
    <n v="0"/>
    <n v="0.47"/>
    <n v="319.59999999999997"/>
    <n v="26"/>
    <n v="1"/>
    <x v="2"/>
    <n v="0.14705882352941177"/>
    <n v="100"/>
    <n v="5.8"/>
    <n v="0.18"/>
    <n v="122.39999999999999"/>
    <n v="4"/>
    <n v="0.58823529411764708"/>
    <n v="2.8"/>
    <n v="0.72"/>
    <s v="Land issuse for latrines coverage"/>
    <d v="2014-12-10T00:00:00"/>
    <d v="2015-12-10T00:00:00"/>
    <n v="115"/>
    <n v="9"/>
    <n v="0"/>
    <n v="1"/>
    <n v="680"/>
    <x v="0"/>
    <m/>
    <n v="1"/>
    <n v="680"/>
    <n v="6"/>
    <s v="Excellent coverage"/>
    <n v="0"/>
    <x v="0"/>
    <m/>
  </r>
  <r>
    <x v="10"/>
    <s v="MMR001CMP132"/>
    <x v="7"/>
    <x v="153"/>
    <n v="97.596000000000004"/>
    <n v="23.831"/>
    <x v="0"/>
    <x v="0"/>
    <n v="477"/>
    <n v="2101"/>
    <n v="2101"/>
    <x v="2"/>
    <s v="KMSS"/>
    <x v="8"/>
    <x v="0"/>
    <d v="2015-06-30T00:00:00"/>
    <s v="SCI"/>
    <d v="2015-06-30T00:00:00"/>
    <s v="Focal NGO"/>
    <x v="0"/>
    <n v="0"/>
    <n v="0"/>
    <s v="No"/>
    <n v="2"/>
    <n v="1"/>
    <n v="43140"/>
    <n v="0.28000000000000003"/>
    <n v="0"/>
    <n v="1"/>
    <n v="2101"/>
    <n v="1"/>
    <n v="2101"/>
    <n v="1"/>
    <n v="2101"/>
    <x v="0"/>
    <n v="0"/>
    <n v="0"/>
    <n v="2.2525000000000004"/>
    <n v="0"/>
    <n v="588.28000000000009"/>
    <n v="1"/>
    <n v="2101"/>
    <m/>
    <n v="65"/>
    <n v="65"/>
    <n v="20"/>
    <x v="0"/>
    <n v="0.80913850547358401"/>
    <n v="1700"/>
    <n v="0.61875297477391722"/>
    <n v="1300"/>
    <n v="0.19038553069966682"/>
    <n v="400"/>
    <n v="18"/>
    <n v="0.81"/>
    <n v="1701.8100000000002"/>
    <n v="103.05"/>
    <n v="4"/>
    <x v="1"/>
    <n v="0.19038553069966682"/>
    <n v="400"/>
    <n v="17.010000000000002"/>
    <n v="0.19"/>
    <n v="399.19"/>
    <n v="16"/>
    <n v="0.76154212279866729"/>
    <n v="5.0100000000000016"/>
    <n v="0.76"/>
    <s v="some semi-latrines have closed by CMC to manage latrines usage"/>
    <d v="2014-12-10T00:00:00"/>
    <d v="2015-12-10T00:00:00"/>
    <n v="477"/>
    <n v="9"/>
    <n v="0"/>
    <n v="1"/>
    <n v="2101"/>
    <x v="0"/>
    <m/>
    <n v="1"/>
    <n v="2101"/>
    <n v="19"/>
    <s v="Excellent coverage"/>
    <n v="0"/>
    <x v="0"/>
    <m/>
  </r>
  <r>
    <x v="14"/>
    <s v="MMR015CMP004"/>
    <x v="7"/>
    <x v="154"/>
    <n v="97.681920000000005"/>
    <n v="23.821317000000001"/>
    <x v="0"/>
    <x v="0"/>
    <n v="77"/>
    <n v="324"/>
    <n v="324"/>
    <x v="0"/>
    <s v="KBC"/>
    <x v="8"/>
    <x v="0"/>
    <d v="2015-06-30T00:00:00"/>
    <s v="SCI"/>
    <d v="2015-06-30T00:00:00"/>
    <s v="Focal NGO"/>
    <x v="0"/>
    <n v="0"/>
    <n v="0"/>
    <s v="No"/>
    <n v="0"/>
    <n v="0"/>
    <n v="72000"/>
    <n v="1"/>
    <n v="0"/>
    <n v="1"/>
    <n v="324"/>
    <n v="1"/>
    <n v="324"/>
    <n v="1"/>
    <n v="324"/>
    <x v="0"/>
    <n v="0"/>
    <n v="0"/>
    <n v="0.81"/>
    <n v="0"/>
    <n v="324"/>
    <n v="1"/>
    <n v="324"/>
    <m/>
    <n v="17"/>
    <n v="16"/>
    <n v="0"/>
    <x v="1"/>
    <n v="0.98765432098765427"/>
    <n v="320"/>
    <n v="0.98765432098765427"/>
    <n v="320"/>
    <n v="0"/>
    <n v="0"/>
    <n v="1"/>
    <n v="0.99"/>
    <n v="320.76"/>
    <n v="17.2"/>
    <n v="1"/>
    <x v="1"/>
    <n v="0.30864197530864196"/>
    <n v="100"/>
    <n v="2.2400000000000002"/>
    <n v="0.33"/>
    <n v="106.92"/>
    <n v="4"/>
    <n v="1"/>
    <n v="0"/>
    <n v="1"/>
    <s v="SCI not yet plan (semi-permanent)"/>
    <d v="2014-12-10T00:00:00"/>
    <d v="2015-12-10T00:00:00"/>
    <n v="77"/>
    <n v="14"/>
    <n v="0"/>
    <n v="1"/>
    <n v="324"/>
    <x v="0"/>
    <m/>
    <n v="0.4"/>
    <n v="129.6"/>
    <n v="3"/>
    <s v="Excellent coverage"/>
    <n v="0"/>
    <x v="1"/>
    <m/>
  </r>
  <r>
    <x v="14"/>
    <s v="MMR015CMP001"/>
    <x v="7"/>
    <x v="155"/>
    <n v="97.683499999999995"/>
    <n v="23.831700000000001"/>
    <x v="0"/>
    <x v="0"/>
    <n v="73"/>
    <n v="379"/>
    <n v="379"/>
    <x v="0"/>
    <s v="KBC"/>
    <x v="8"/>
    <x v="0"/>
    <d v="2015-06-30T00:00:00"/>
    <s v="SCI"/>
    <d v="2015-06-30T00:00:00"/>
    <s v="Focal NGO"/>
    <x v="0"/>
    <n v="0"/>
    <n v="0"/>
    <s v="No"/>
    <n v="0"/>
    <n v="0"/>
    <n v="15200"/>
    <n v="0"/>
    <n v="0"/>
    <n v="1"/>
    <n v="379"/>
    <n v="1"/>
    <n v="379"/>
    <n v="1"/>
    <n v="379"/>
    <x v="0"/>
    <n v="0"/>
    <n v="0"/>
    <n v="0.94750000000000001"/>
    <n v="0"/>
    <n v="0"/>
    <n v="1"/>
    <n v="379"/>
    <m/>
    <n v="4"/>
    <n v="0"/>
    <n v="10"/>
    <x v="1"/>
    <n v="0.52770448548812665"/>
    <n v="200"/>
    <n v="0"/>
    <n v="0"/>
    <n v="0.52770448548812665"/>
    <n v="200"/>
    <n v="3"/>
    <n v="0.53"/>
    <n v="200.87"/>
    <n v="11.95"/>
    <n v="2"/>
    <x v="0"/>
    <n v="0.52770448548812665"/>
    <n v="200"/>
    <n v="1.79"/>
    <n v="0.53"/>
    <n v="200.87"/>
    <n v="5"/>
    <n v="1"/>
    <n v="0"/>
    <n v="1"/>
    <s v="Water Container 22 Gallon for 73HH  distributed, Rubbish Bin for 73 HH distributed,  Provided new Water tank for Water treatment."/>
    <d v="2014-12-10T00:00:00"/>
    <d v="2015-12-10T00:00:00"/>
    <n v="73"/>
    <n v="14"/>
    <n v="0"/>
    <n v="1"/>
    <n v="379"/>
    <x v="0"/>
    <m/>
    <n v="1"/>
    <n v="379"/>
    <n v="5"/>
    <s v="Excellent coverage"/>
    <n v="0"/>
    <x v="2"/>
    <s v="need to follow up WASH committee situation within coming cluster meeting"/>
  </r>
  <r>
    <x v="14"/>
    <s v="MMR015CMP003"/>
    <x v="7"/>
    <x v="156"/>
    <n v="97.685199999999995"/>
    <n v="23.833100000000002"/>
    <x v="0"/>
    <x v="0"/>
    <n v="50"/>
    <n v="234"/>
    <n v="234"/>
    <x v="1"/>
    <s v="KMSS"/>
    <x v="8"/>
    <x v="0"/>
    <d v="2015-06-30T00:00:00"/>
    <s v="SCI"/>
    <d v="2015-06-30T00:00:00"/>
    <s v="Focal NGO"/>
    <x v="0"/>
    <n v="0"/>
    <n v="0"/>
    <s v="No"/>
    <n v="1"/>
    <n v="0"/>
    <n v="35500"/>
    <n v="0.8"/>
    <n v="0"/>
    <n v="1"/>
    <n v="234"/>
    <n v="1"/>
    <n v="234"/>
    <n v="1"/>
    <n v="234"/>
    <x v="0"/>
    <n v="0"/>
    <n v="0"/>
    <n v="0"/>
    <n v="0"/>
    <n v="187.20000000000002"/>
    <n v="1"/>
    <n v="234"/>
    <m/>
    <n v="0"/>
    <n v="0"/>
    <n v="15"/>
    <x v="1"/>
    <n v="1"/>
    <n v="234"/>
    <n v="0"/>
    <n v="0"/>
    <n v="1"/>
    <n v="234"/>
    <n v="3"/>
    <n v="1"/>
    <n v="234"/>
    <n v="0"/>
    <n v="2"/>
    <x v="0"/>
    <n v="0.85470085470085466"/>
    <n v="200"/>
    <n v="0.33999999999999986"/>
    <n v="0.85"/>
    <n v="198.9"/>
    <n v="0"/>
    <n v="0"/>
    <n v="2.34"/>
    <n v="0"/>
    <s v="SCI have plan for hand washing"/>
    <d v="2014-12-10T00:00:00"/>
    <d v="2015-12-10T00:00:00"/>
    <n v="53"/>
    <n v="14"/>
    <n v="0"/>
    <n v="1"/>
    <n v="234"/>
    <x v="0"/>
    <m/>
    <n v="0"/>
    <n v="0"/>
    <n v="3"/>
    <s v="Excellent coverage"/>
    <n v="0"/>
    <x v="2"/>
    <s v="need to follow up WASH committee situation within coming cluster meeting"/>
  </r>
  <r>
    <x v="13"/>
    <s v="MMR015CMP139"/>
    <x v="7"/>
    <x v="157"/>
    <n v="98.132779999999997"/>
    <n v="23.951699999999999"/>
    <x v="0"/>
    <x v="0"/>
    <n v="10"/>
    <n v="48"/>
    <n v="48"/>
    <x v="1"/>
    <s v="KBC"/>
    <x v="4"/>
    <x v="0"/>
    <s v="31.Mar.2016"/>
    <m/>
    <m/>
    <s v="Focal NGO"/>
    <x v="0"/>
    <n v="0"/>
    <n v="0"/>
    <s v="No"/>
    <n v="0"/>
    <n v="0"/>
    <n v="0"/>
    <n v="1"/>
    <n v="0"/>
    <n v="0"/>
    <n v="0"/>
    <n v="0"/>
    <n v="0"/>
    <n v="0"/>
    <n v="0"/>
    <x v="1"/>
    <n v="0"/>
    <n v="0"/>
    <n v="0.12"/>
    <n v="0"/>
    <n v="48"/>
    <n v="1"/>
    <n v="48"/>
    <m/>
    <n v="5"/>
    <n v="3"/>
    <n v="0"/>
    <x v="2"/>
    <n v="1"/>
    <n v="48"/>
    <n v="1"/>
    <n v="48"/>
    <n v="0"/>
    <n v="0"/>
    <n v="0"/>
    <n v="1"/>
    <n v="48"/>
    <n v="2.4"/>
    <n v="1"/>
    <x v="1"/>
    <n v="1"/>
    <n v="48"/>
    <n v="0"/>
    <n v="1"/>
    <n v="48"/>
    <n v="0"/>
    <n v="0"/>
    <n v="0.48"/>
    <n v="0.8"/>
    <m/>
    <d v="2012-10-01T00:00:00"/>
    <s v="To be realised"/>
    <n v="11"/>
    <n v="7"/>
    <n v="10"/>
    <n v="0"/>
    <n v="0"/>
    <x v="14"/>
    <m/>
    <n v="0"/>
    <n v="0"/>
    <n v="0"/>
    <s v="No coverage"/>
    <n v="0"/>
    <x v="0"/>
    <m/>
  </r>
  <r>
    <x v="14"/>
    <s v="MMR015CMP215"/>
    <x v="7"/>
    <x v="158"/>
    <n v="97.709548999999996"/>
    <n v="23.838459"/>
    <x v="0"/>
    <x v="0"/>
    <n v="133"/>
    <n v="580"/>
    <n v="580"/>
    <x v="0"/>
    <s v="KBC"/>
    <x v="4"/>
    <x v="0"/>
    <s v="31.Mar.2016"/>
    <m/>
    <m/>
    <s v="Focal NGO"/>
    <x v="0"/>
    <n v="0"/>
    <n v="0"/>
    <s v="No"/>
    <n v="0"/>
    <n v="0"/>
    <n v="35000"/>
    <n v="1"/>
    <n v="0"/>
    <n v="1"/>
    <n v="580"/>
    <n v="1"/>
    <n v="580"/>
    <n v="1"/>
    <n v="580"/>
    <x v="0"/>
    <n v="0"/>
    <n v="0"/>
    <n v="1.45"/>
    <n v="0"/>
    <n v="580"/>
    <n v="1"/>
    <n v="580"/>
    <m/>
    <n v="21"/>
    <n v="13"/>
    <n v="18"/>
    <x v="1"/>
    <n v="1"/>
    <n v="580"/>
    <n v="0.37931034482758619"/>
    <n v="220"/>
    <n v="0.62068965517241381"/>
    <n v="360"/>
    <n v="2"/>
    <n v="1"/>
    <n v="580"/>
    <n v="13"/>
    <n v="6"/>
    <x v="0"/>
    <n v="1"/>
    <n v="580"/>
    <n v="0"/>
    <n v="1"/>
    <n v="580"/>
    <n v="8"/>
    <n v="1"/>
    <n v="0"/>
    <n v="1"/>
    <m/>
    <d v="2014-04-12T00:00:00"/>
    <s v="To be realised"/>
    <n v="141"/>
    <n v="2"/>
    <n v="133"/>
    <n v="0"/>
    <n v="0"/>
    <x v="13"/>
    <m/>
    <n v="0.2"/>
    <n v="116"/>
    <n v="7"/>
    <s v="Excellent coverage"/>
    <n v="0"/>
    <x v="0"/>
    <m/>
  </r>
  <r>
    <x v="14"/>
    <s v="MMR015CMP214"/>
    <x v="7"/>
    <x v="159"/>
    <n v="97.701576000000003"/>
    <n v="23.842051000000001"/>
    <x v="0"/>
    <x v="0"/>
    <n v="42"/>
    <n v="218"/>
    <n v="218"/>
    <x v="1"/>
    <s v="KBC"/>
    <x v="4"/>
    <x v="0"/>
    <s v="31.Mar.2016"/>
    <m/>
    <m/>
    <s v="Focal NGO"/>
    <x v="0"/>
    <n v="0"/>
    <n v="0"/>
    <s v="No"/>
    <n v="0"/>
    <n v="0"/>
    <n v="7000"/>
    <n v="1"/>
    <n v="0"/>
    <n v="1"/>
    <n v="218"/>
    <n v="1"/>
    <n v="218"/>
    <n v="1"/>
    <n v="218"/>
    <x v="0"/>
    <n v="0"/>
    <n v="0"/>
    <n v="0.54500000000000004"/>
    <n v="0"/>
    <n v="218"/>
    <n v="1"/>
    <n v="218"/>
    <m/>
    <n v="10"/>
    <n v="10"/>
    <n v="0"/>
    <x v="1"/>
    <n v="0.91743119266055051"/>
    <n v="200"/>
    <n v="0.91743119266055051"/>
    <n v="200"/>
    <n v="0"/>
    <n v="0"/>
    <n v="2"/>
    <n v="1"/>
    <n v="218"/>
    <n v="12.9"/>
    <n v="3"/>
    <x v="0"/>
    <n v="1"/>
    <n v="218"/>
    <n v="0"/>
    <n v="1"/>
    <n v="218"/>
    <n v="4"/>
    <n v="1"/>
    <n v="0"/>
    <n v="1"/>
    <m/>
    <d v="2014-04-12T00:00:00"/>
    <s v="To be realised"/>
    <n v="59"/>
    <n v="2"/>
    <n v="42"/>
    <n v="0"/>
    <n v="0"/>
    <x v="13"/>
    <m/>
    <n v="1"/>
    <n v="218"/>
    <n v="3"/>
    <s v="Excellent coverage"/>
    <n v="0"/>
    <x v="0"/>
    <m/>
  </r>
  <r>
    <x v="15"/>
    <s v="MMR015CMP015"/>
    <x v="8"/>
    <x v="160"/>
    <n v="97.848529999999997"/>
    <n v="23.4008"/>
    <x v="0"/>
    <x v="0"/>
    <n v="85"/>
    <n v="325"/>
    <n v="325"/>
    <x v="0"/>
    <s v="KBC"/>
    <x v="4"/>
    <x v="0"/>
    <s v="31.Mar.2016"/>
    <m/>
    <m/>
    <s v="Focal NGO"/>
    <x v="0"/>
    <n v="0"/>
    <n v="0"/>
    <s v="No"/>
    <n v="1"/>
    <n v="0"/>
    <n v="86400"/>
    <n v="1"/>
    <n v="0"/>
    <n v="1"/>
    <n v="325"/>
    <n v="1"/>
    <n v="325"/>
    <n v="1"/>
    <n v="325"/>
    <x v="0"/>
    <n v="0"/>
    <n v="0"/>
    <n v="0"/>
    <n v="0"/>
    <n v="325"/>
    <n v="1"/>
    <n v="325"/>
    <m/>
    <n v="138"/>
    <n v="86"/>
    <n v="0"/>
    <x v="1"/>
    <n v="1"/>
    <n v="325"/>
    <n v="1"/>
    <n v="325"/>
    <n v="0"/>
    <n v="0"/>
    <n v="2"/>
    <n v="1"/>
    <n v="325"/>
    <n v="18.25"/>
    <n v="1"/>
    <x v="1"/>
    <n v="0.30769230769230771"/>
    <n v="100"/>
    <n v="2.25"/>
    <n v="0.31"/>
    <n v="100.75"/>
    <n v="0"/>
    <n v="0"/>
    <n v="3.25"/>
    <n v="0.7"/>
    <s v="MDCG supported WASH-Shelter as HH level (no need to construct semi-parmanent)"/>
    <d v="2013-02-01T00:00:00"/>
    <s v="To be realised"/>
    <n v="50"/>
    <n v="2"/>
    <n v="85"/>
    <n v="0"/>
    <n v="0"/>
    <x v="15"/>
    <m/>
    <n v="0.25"/>
    <n v="81.25"/>
    <n v="3"/>
    <s v="Excellent coverage"/>
    <n v="0"/>
    <x v="2"/>
    <m/>
  </r>
  <r>
    <x v="15"/>
    <s v="MMR015CMP016"/>
    <x v="8"/>
    <x v="161"/>
    <n v="97.926813999999993"/>
    <n v="23.450914000000001"/>
    <x v="0"/>
    <x v="0"/>
    <n v="84"/>
    <n v="355"/>
    <n v="355"/>
    <x v="0"/>
    <s v="KBC"/>
    <x v="4"/>
    <x v="0"/>
    <s v="31.Mar.2016"/>
    <m/>
    <m/>
    <s v="Focal NGO"/>
    <x v="0"/>
    <n v="0"/>
    <n v="0"/>
    <s v="No"/>
    <n v="1"/>
    <n v="0"/>
    <n v="2000"/>
    <n v="1"/>
    <n v="0"/>
    <n v="1"/>
    <n v="355"/>
    <n v="1"/>
    <n v="355"/>
    <n v="1"/>
    <n v="355"/>
    <x v="0"/>
    <n v="0"/>
    <n v="0"/>
    <n v="0"/>
    <n v="0"/>
    <n v="355"/>
    <n v="1"/>
    <n v="355"/>
    <m/>
    <n v="15"/>
    <n v="11"/>
    <n v="0"/>
    <x v="2"/>
    <n v="0.61971830985915488"/>
    <n v="219.99999999999997"/>
    <n v="0.61971830985915488"/>
    <n v="219.99999999999997"/>
    <n v="0"/>
    <n v="0"/>
    <n v="3"/>
    <n v="0.65"/>
    <n v="230.75"/>
    <n v="20.75"/>
    <n v="2"/>
    <x v="1"/>
    <n v="0.56338028169014087"/>
    <n v="200"/>
    <n v="1.5499999999999998"/>
    <n v="0.56000000000000005"/>
    <n v="198.8"/>
    <n v="2"/>
    <n v="0.56338028169014087"/>
    <n v="1.5499999999999998"/>
    <n v="0.86"/>
    <m/>
    <d v="2012-10-01T00:00:00"/>
    <s v="To be realised"/>
    <n v="84"/>
    <n v="2"/>
    <n v="84"/>
    <n v="0"/>
    <n v="0"/>
    <x v="16"/>
    <m/>
    <n v="0.3"/>
    <n v="106.5"/>
    <n v="2"/>
    <s v="Excellent coverage"/>
    <n v="0"/>
    <x v="0"/>
    <m/>
  </r>
  <r>
    <x v="15"/>
    <s v="MMR015CMP017"/>
    <x v="8"/>
    <x v="162"/>
    <n v="97.947360000000003"/>
    <n v="23.460349999999998"/>
    <x v="0"/>
    <x v="0"/>
    <n v="34"/>
    <n v="150"/>
    <n v="150"/>
    <x v="1"/>
    <s v="KMSS"/>
    <x v="2"/>
    <x v="0"/>
    <s v="Gap"/>
    <m/>
    <m/>
    <s v="Focal NGO"/>
    <x v="0"/>
    <n v="0"/>
    <n v="0"/>
    <s v="No"/>
    <n v="1"/>
    <n v="0"/>
    <n v="10960"/>
    <n v="1"/>
    <n v="0"/>
    <n v="1"/>
    <n v="150"/>
    <n v="1"/>
    <n v="150"/>
    <n v="1"/>
    <n v="150"/>
    <x v="0"/>
    <n v="0"/>
    <n v="0"/>
    <n v="0"/>
    <n v="0"/>
    <n v="150"/>
    <n v="1"/>
    <n v="150"/>
    <m/>
    <n v="10"/>
    <n v="0"/>
    <n v="8"/>
    <x v="1"/>
    <n v="1"/>
    <n v="150"/>
    <n v="0"/>
    <n v="0"/>
    <n v="1"/>
    <n v="150"/>
    <n v="2"/>
    <n v="1"/>
    <n v="150"/>
    <n v="1.5"/>
    <n v="2"/>
    <x v="0"/>
    <n v="1"/>
    <n v="150"/>
    <n v="0"/>
    <n v="1"/>
    <n v="150"/>
    <n v="0"/>
    <n v="0"/>
    <n v="1.5"/>
    <n v="0"/>
    <s v="Emergency Latrines need to renovate"/>
    <m/>
    <s v="To be realised"/>
    <n v="0"/>
    <n v="3"/>
    <n v="34"/>
    <n v="0"/>
    <n v="0"/>
    <x v="4"/>
    <s v=" KMSS will distribute Hugiene kit"/>
    <n v="0"/>
    <n v="0"/>
    <n v="2"/>
    <s v="Excellent coverage"/>
    <n v="0"/>
    <x v="0"/>
    <m/>
  </r>
  <r>
    <x v="15"/>
    <s v="MMR015CMP018"/>
    <x v="8"/>
    <x v="163"/>
    <n v="97.793306999999999"/>
    <n v="23.589089000000001"/>
    <x v="0"/>
    <x v="0"/>
    <n v="76"/>
    <n v="403"/>
    <n v="403"/>
    <x v="0"/>
    <s v="KBC"/>
    <x v="4"/>
    <x v="0"/>
    <s v="31.Mar.2016"/>
    <m/>
    <m/>
    <s v="Focal NGO"/>
    <x v="0"/>
    <n v="0"/>
    <n v="0"/>
    <s v="No"/>
    <n v="0"/>
    <n v="0"/>
    <n v="100000"/>
    <n v="1"/>
    <n v="0"/>
    <n v="1"/>
    <n v="403"/>
    <n v="1"/>
    <n v="403"/>
    <n v="1"/>
    <n v="403"/>
    <x v="0"/>
    <n v="0"/>
    <n v="0"/>
    <n v="1.0075000000000001"/>
    <n v="0"/>
    <n v="403"/>
    <n v="1"/>
    <n v="403"/>
    <m/>
    <n v="74"/>
    <n v="74"/>
    <n v="0"/>
    <x v="0"/>
    <n v="1"/>
    <n v="403"/>
    <n v="1"/>
    <n v="403"/>
    <n v="0"/>
    <n v="0"/>
    <n v="2"/>
    <n v="1"/>
    <n v="403"/>
    <n v="22.15"/>
    <n v="0"/>
    <x v="4"/>
    <n v="0"/>
    <n v="0"/>
    <n v="4.03"/>
    <n v="0"/>
    <n v="0"/>
    <n v="0"/>
    <n v="0"/>
    <n v="4.03"/>
    <n v="0.7"/>
    <s v="MDCG + Metta supported WASH-Shelter as HH level (no need to construct semi-parmanent)"/>
    <m/>
    <s v="To be realised"/>
    <n v="0"/>
    <n v="2"/>
    <n v="76"/>
    <n v="0"/>
    <n v="0"/>
    <x v="4"/>
    <m/>
    <n v="0"/>
    <n v="0"/>
    <n v="2"/>
    <s v="Excellent coverage"/>
    <n v="0"/>
    <x v="0"/>
    <m/>
  </r>
  <r>
    <x v="15"/>
    <s v="MMR015CMP006"/>
    <x v="8"/>
    <x v="164"/>
    <n v="98.220614999999995"/>
    <n v="23.400155999999999"/>
    <x v="0"/>
    <x v="0"/>
    <n v="45"/>
    <n v="211"/>
    <n v="211"/>
    <x v="1"/>
    <s v="KBC"/>
    <x v="4"/>
    <x v="0"/>
    <s v="31.Mar.2016"/>
    <m/>
    <m/>
    <s v="Focal NGO"/>
    <x v="0"/>
    <n v="0"/>
    <n v="0"/>
    <s v="No"/>
    <n v="1"/>
    <n v="0"/>
    <n v="0"/>
    <n v="1"/>
    <n v="0"/>
    <n v="1"/>
    <n v="211"/>
    <n v="1"/>
    <n v="211"/>
    <n v="1"/>
    <n v="211"/>
    <x v="0"/>
    <n v="0"/>
    <n v="0"/>
    <n v="0"/>
    <n v="0"/>
    <n v="211"/>
    <n v="1"/>
    <n v="211"/>
    <m/>
    <n v="49"/>
    <n v="41"/>
    <n v="0"/>
    <x v="0"/>
    <n v="1"/>
    <n v="211"/>
    <n v="1"/>
    <n v="211"/>
    <n v="0"/>
    <n v="0"/>
    <n v="2"/>
    <n v="1"/>
    <n v="211"/>
    <n v="12.55"/>
    <n v="0"/>
    <x v="4"/>
    <n v="0"/>
    <n v="0"/>
    <n v="2.11"/>
    <n v="0"/>
    <n v="0"/>
    <n v="0"/>
    <n v="0"/>
    <n v="2.11"/>
    <n v="0.7"/>
    <s v="MDCG supported WASH-Shelter as HH level (no need to construct semi-parmanent)"/>
    <m/>
    <s v="To be realised"/>
    <n v="0"/>
    <n v="2"/>
    <n v="45"/>
    <n v="0"/>
    <n v="0"/>
    <x v="4"/>
    <m/>
    <n v="1"/>
    <n v="211"/>
    <n v="0"/>
    <s v="No coverage"/>
    <n v="0"/>
    <x v="0"/>
    <m/>
  </r>
  <r>
    <x v="15"/>
    <s v="MMR015CMP019"/>
    <x v="8"/>
    <x v="165"/>
    <n v="98.213958000000005"/>
    <n v="23.391741"/>
    <x v="0"/>
    <x v="0"/>
    <n v="67"/>
    <n v="350"/>
    <n v="350"/>
    <x v="0"/>
    <s v="KMSS"/>
    <x v="2"/>
    <x v="0"/>
    <s v="Gap"/>
    <m/>
    <m/>
    <s v="Focal NGO"/>
    <x v="0"/>
    <n v="0"/>
    <n v="0"/>
    <s v="No"/>
    <n v="0"/>
    <n v="0"/>
    <n v="14400"/>
    <n v="1"/>
    <n v="0"/>
    <n v="1"/>
    <n v="350"/>
    <n v="1"/>
    <n v="350"/>
    <n v="1"/>
    <n v="350"/>
    <x v="0"/>
    <n v="0"/>
    <n v="0"/>
    <n v="0.875"/>
    <n v="0"/>
    <n v="350"/>
    <n v="1"/>
    <n v="350"/>
    <m/>
    <n v="12"/>
    <n v="12"/>
    <n v="8"/>
    <x v="1"/>
    <n v="1"/>
    <n v="350"/>
    <n v="0.54285714285714293"/>
    <n v="190.00000000000003"/>
    <n v="0.45714285714285713"/>
    <n v="160"/>
    <n v="2"/>
    <n v="1"/>
    <n v="350"/>
    <n v="11.5"/>
    <n v="2"/>
    <x v="0"/>
    <n v="0.5714285714285714"/>
    <n v="200"/>
    <n v="1.5"/>
    <n v="0.56999999999999995"/>
    <n v="199.49999999999997"/>
    <n v="0"/>
    <n v="0"/>
    <n v="3.5"/>
    <n v="0"/>
    <m/>
    <m/>
    <s v="To be realised"/>
    <n v="0"/>
    <n v="3"/>
    <n v="67"/>
    <n v="0"/>
    <n v="0"/>
    <x v="4"/>
    <s v=" KMSS will distribute Hugiene kit"/>
    <n v="0"/>
    <n v="0"/>
    <n v="2"/>
    <s v="Excellent coverage"/>
    <n v="0"/>
    <x v="0"/>
    <m/>
  </r>
  <r>
    <x v="15"/>
    <s v="MMR015CMP007"/>
    <x v="8"/>
    <x v="166"/>
    <n v="97.819062000000002"/>
    <n v="23.694047000000001"/>
    <x v="0"/>
    <x v="0"/>
    <n v="75"/>
    <n v="269"/>
    <n v="269"/>
    <x v="0"/>
    <s v="KBC"/>
    <x v="4"/>
    <x v="0"/>
    <s v="31.Mar.2016"/>
    <m/>
    <m/>
    <s v="Focal NGO"/>
    <x v="0"/>
    <n v="0"/>
    <n v="0"/>
    <s v="No"/>
    <n v="0"/>
    <n v="0"/>
    <n v="57600"/>
    <n v="1"/>
    <n v="0"/>
    <n v="1"/>
    <n v="269"/>
    <n v="1"/>
    <n v="269"/>
    <n v="1"/>
    <n v="269"/>
    <x v="0"/>
    <n v="0"/>
    <n v="0"/>
    <n v="0.67249999999999999"/>
    <n v="0"/>
    <n v="269"/>
    <n v="1"/>
    <n v="269"/>
    <m/>
    <n v="9"/>
    <n v="9"/>
    <n v="9"/>
    <x v="0"/>
    <n v="1"/>
    <n v="269"/>
    <n v="0.33085501858736055"/>
    <n v="88.999999999999986"/>
    <n v="0.66914498141263945"/>
    <n v="180"/>
    <n v="4"/>
    <n v="1"/>
    <n v="269"/>
    <n v="8.4499999999999993"/>
    <n v="2"/>
    <x v="1"/>
    <n v="0.74349442379182151"/>
    <n v="200"/>
    <n v="0.69"/>
    <n v="0.75"/>
    <n v="201.75"/>
    <n v="0"/>
    <n v="0"/>
    <n v="2.69"/>
    <n v="0.8"/>
    <s v="community have practice as wash their hand at bathing space near the latrines "/>
    <d v="2012-10-01T00:00:00"/>
    <s v="To be realised"/>
    <n v="79"/>
    <n v="2"/>
    <n v="75"/>
    <n v="0"/>
    <n v="0"/>
    <x v="16"/>
    <m/>
    <n v="0.35"/>
    <n v="94.149999999999991"/>
    <n v="2"/>
    <s v="Excellent coverage"/>
    <n v="0"/>
    <x v="0"/>
    <m/>
  </r>
  <r>
    <x v="16"/>
    <s v="MMR015CMP207"/>
    <x v="8"/>
    <x v="167"/>
    <n v="98.128"/>
    <n v="23.24"/>
    <x v="0"/>
    <x v="0"/>
    <n v="67"/>
    <n v="392"/>
    <n v="392"/>
    <x v="5"/>
    <s v="Church"/>
    <x v="4"/>
    <x v="0"/>
    <s v="31.Mar.2016"/>
    <m/>
    <m/>
    <s v="Focal NGO"/>
    <x v="0"/>
    <n v="0"/>
    <n v="0"/>
    <s v="No"/>
    <n v="0"/>
    <n v="0"/>
    <n v="17000"/>
    <n v="0"/>
    <n v="0"/>
    <n v="1"/>
    <n v="392"/>
    <n v="1"/>
    <n v="392"/>
    <n v="1"/>
    <n v="392"/>
    <x v="0"/>
    <n v="0"/>
    <n v="0"/>
    <n v="0.98"/>
    <n v="0"/>
    <n v="0"/>
    <n v="1"/>
    <n v="392"/>
    <m/>
    <n v="4"/>
    <n v="4"/>
    <n v="0"/>
    <x v="0"/>
    <n v="0.20408163265306123"/>
    <n v="80"/>
    <n v="0.20408163265306123"/>
    <n v="80"/>
    <n v="0"/>
    <n v="0"/>
    <n v="0"/>
    <n v="0.2"/>
    <m/>
    <m/>
    <n v="0"/>
    <x v="5"/>
    <n v="0"/>
    <n v="0"/>
    <n v="3.92"/>
    <n v="0"/>
    <n v="0"/>
    <n v="0"/>
    <n v="0"/>
    <n v="3.92"/>
    <n v="0.7"/>
    <m/>
    <m/>
    <s v="To be realised"/>
    <n v="0"/>
    <n v="2"/>
    <n v="67"/>
    <n v="0"/>
    <n v="0"/>
    <x v="4"/>
    <m/>
    <n v="0"/>
    <m/>
    <n v="0"/>
    <s v="No coverage"/>
    <n v="0"/>
    <x v="0"/>
    <m/>
  </r>
  <r>
    <x v="15"/>
    <s v="MMR015CMP020"/>
    <x v="8"/>
    <x v="168"/>
    <n v="97.837040000000002"/>
    <n v="23.38503"/>
    <x v="0"/>
    <x v="0"/>
    <n v="118"/>
    <n v="649"/>
    <n v="649"/>
    <x v="0"/>
    <s v="KBC"/>
    <x v="4"/>
    <x v="0"/>
    <s v="31.Mar.2016"/>
    <m/>
    <m/>
    <s v="Focal NGO"/>
    <x v="0"/>
    <n v="0"/>
    <n v="0"/>
    <s v="No"/>
    <n v="0"/>
    <n v="0"/>
    <n v="60000"/>
    <n v="1"/>
    <n v="0"/>
    <n v="1"/>
    <n v="649"/>
    <n v="1"/>
    <n v="649"/>
    <n v="1"/>
    <n v="649"/>
    <x v="0"/>
    <n v="0"/>
    <n v="0"/>
    <n v="1.6225000000000001"/>
    <n v="0"/>
    <n v="649"/>
    <n v="1"/>
    <n v="649"/>
    <m/>
    <n v="81"/>
    <n v="81"/>
    <n v="0"/>
    <x v="1"/>
    <n v="1"/>
    <n v="649"/>
    <n v="1"/>
    <n v="649"/>
    <n v="0"/>
    <n v="0"/>
    <n v="3"/>
    <n v="1"/>
    <n v="649"/>
    <n v="35.450000000000003"/>
    <n v="0"/>
    <x v="4"/>
    <n v="0"/>
    <n v="0"/>
    <n v="6.49"/>
    <n v="0"/>
    <n v="0"/>
    <n v="1"/>
    <n v="0.15408320493066255"/>
    <n v="5.49"/>
    <n v="0.7"/>
    <s v="MDCG supported WASH-Shelter as HH level (no need to construct semi-parmanent)/ bathing space was ongoing activities by Metta"/>
    <m/>
    <s v="To be realised"/>
    <n v="0"/>
    <n v="2"/>
    <n v="118"/>
    <n v="0"/>
    <n v="0"/>
    <x v="4"/>
    <m/>
    <n v="0"/>
    <n v="0"/>
    <n v="0"/>
    <s v="No coverage"/>
    <n v="0"/>
    <x v="0"/>
    <m/>
  </r>
  <r>
    <x v="17"/>
    <s v="MMR015CMP014"/>
    <x v="9"/>
    <x v="169"/>
    <n v="97.406869999999998"/>
    <n v="23.092880000000001"/>
    <x v="0"/>
    <x v="0"/>
    <n v="12"/>
    <n v="52"/>
    <n v="52"/>
    <x v="1"/>
    <s v="KBC"/>
    <x v="4"/>
    <x v="0"/>
    <d v="2016-03-31T00:00:00"/>
    <m/>
    <m/>
    <s v="Focal NGO"/>
    <x v="0"/>
    <n v="0"/>
    <n v="0"/>
    <s v="No"/>
    <n v="0"/>
    <n v="0"/>
    <n v="2000"/>
    <n v="1"/>
    <n v="0"/>
    <n v="1"/>
    <n v="52"/>
    <n v="1"/>
    <n v="52"/>
    <n v="1"/>
    <n v="52"/>
    <x v="0"/>
    <n v="0"/>
    <n v="0"/>
    <n v="0.13"/>
    <n v="0"/>
    <n v="52"/>
    <n v="1"/>
    <n v="52"/>
    <m/>
    <n v="0"/>
    <n v="2"/>
    <n v="2"/>
    <x v="2"/>
    <n v="1"/>
    <n v="52"/>
    <n v="0.23076923076923073"/>
    <n v="11.999999999999998"/>
    <n v="0.76923076923076927"/>
    <n v="40"/>
    <n v="2"/>
    <n v="1"/>
    <n v="52"/>
    <n v="2.6"/>
    <n v="2"/>
    <x v="1"/>
    <n v="1"/>
    <n v="52"/>
    <n v="0"/>
    <n v="1"/>
    <n v="52"/>
    <n v="2"/>
    <n v="1"/>
    <n v="0"/>
    <n v="1"/>
    <m/>
    <d v="2012-10-01T00:00:00"/>
    <s v="To be realised"/>
    <n v="15"/>
    <n v="2"/>
    <n v="12"/>
    <n v="0"/>
    <n v="0"/>
    <x v="16"/>
    <m/>
    <n v="0.5"/>
    <n v="26"/>
    <n v="2"/>
    <s v="Excellent coverage"/>
    <n v="0"/>
    <x v="0"/>
    <m/>
  </r>
  <r>
    <x v="18"/>
    <m/>
    <x v="9"/>
    <x v="170"/>
    <s v="NA"/>
    <s v="NA"/>
    <x v="1"/>
    <x v="1"/>
    <n v="100"/>
    <n v="446"/>
    <n v="446"/>
    <x v="0"/>
    <s v="KMSS"/>
    <x v="2"/>
    <x v="0"/>
    <s v="Gap"/>
    <m/>
    <m/>
    <s v="Focal NGO"/>
    <x v="0"/>
    <n v="0"/>
    <n v="0"/>
    <s v="No"/>
    <n v="0"/>
    <n v="0"/>
    <n v="0"/>
    <n v="0"/>
    <n v="0"/>
    <n v="0"/>
    <n v="0"/>
    <n v="0"/>
    <n v="0"/>
    <n v="0"/>
    <n v="0"/>
    <x v="1"/>
    <n v="0"/>
    <n v="0"/>
    <n v="1.115"/>
    <n v="0"/>
    <n v="0"/>
    <n v="0"/>
    <n v="0"/>
    <m/>
    <n v="0"/>
    <n v="0"/>
    <n v="0"/>
    <x v="2"/>
    <n v="0"/>
    <n v="0"/>
    <n v="0"/>
    <n v="0"/>
    <n v="0"/>
    <n v="0"/>
    <n v="0"/>
    <n v="0"/>
    <n v="0"/>
    <n v="22.3"/>
    <n v="0"/>
    <x v="1"/>
    <n v="0"/>
    <n v="0"/>
    <n v="4.46"/>
    <n v="0"/>
    <n v="0"/>
    <n v="0"/>
    <n v="0"/>
    <n v="4.46"/>
    <n v="0"/>
    <m/>
    <m/>
    <s v="To be realised"/>
    <n v="0"/>
    <n v="0"/>
    <n v="100"/>
    <n v="0"/>
    <n v="0"/>
    <x v="4"/>
    <s v="SCI will deal with NSS partners for basic HK distribution to cover the whole area"/>
    <n v="0"/>
    <n v="0"/>
    <n v="0"/>
    <s v="No coverage"/>
    <n v="0"/>
    <x v="2"/>
    <m/>
  </r>
  <r>
    <x v="16"/>
    <m/>
    <x v="8"/>
    <x v="171"/>
    <s v="NA"/>
    <s v="NA"/>
    <x v="0"/>
    <x v="0"/>
    <n v="76"/>
    <n v="222"/>
    <n v="222"/>
    <x v="0"/>
    <s v="KBC"/>
    <x v="4"/>
    <x v="0"/>
    <s v="31.Mar.2016"/>
    <m/>
    <m/>
    <s v="Not documented"/>
    <x v="1"/>
    <n v="0"/>
    <n v="0"/>
    <s v="No"/>
    <n v="0"/>
    <n v="0"/>
    <n v="0"/>
    <n v="0"/>
    <n v="0"/>
    <n v="0"/>
    <n v="0"/>
    <n v="0"/>
    <n v="0"/>
    <n v="0"/>
    <n v="0"/>
    <x v="1"/>
    <n v="0"/>
    <n v="0"/>
    <n v="0.55500000000000005"/>
    <n v="0"/>
    <n v="0"/>
    <n v="0"/>
    <n v="0"/>
    <s v="no information yet for water access"/>
    <n v="0"/>
    <n v="0"/>
    <n v="0"/>
    <x v="0"/>
    <n v="0"/>
    <n v="0"/>
    <n v="0"/>
    <n v="0"/>
    <n v="0"/>
    <n v="0"/>
    <n v="0"/>
    <n v="0"/>
    <n v="0"/>
    <n v="11.1"/>
    <n v="0"/>
    <x v="5"/>
    <n v="0"/>
    <n v="0"/>
    <n v="2.2200000000000002"/>
    <n v="0"/>
    <n v="0"/>
    <n v="0"/>
    <n v="0"/>
    <n v="2.2200000000000002"/>
    <n v="1"/>
    <m/>
    <m/>
    <s v="To be realised"/>
    <n v="0"/>
    <n v="1"/>
    <n v="76"/>
    <n v="0"/>
    <n v="0"/>
    <x v="4"/>
    <m/>
    <n v="0"/>
    <n v="0"/>
    <n v="0"/>
    <s v="No coverage"/>
    <m/>
    <x v="2"/>
    <m/>
  </r>
  <r>
    <x v="0"/>
    <s v="MMR001CMP225"/>
    <x v="0"/>
    <x v="172"/>
    <n v="98.356405555555497"/>
    <n v="25.645869444444401"/>
    <x v="0"/>
    <x v="0"/>
    <n v="30"/>
    <n v="165"/>
    <n v="165"/>
    <x v="1"/>
    <s v="KMSS"/>
    <x v="2"/>
    <x v="0"/>
    <s v="Gap"/>
    <m/>
    <m/>
    <s v="Focal NGO"/>
    <x v="0"/>
    <n v="0"/>
    <n v="0"/>
    <s v="No"/>
    <n v="0"/>
    <n v="0"/>
    <n v="3200"/>
    <n v="0"/>
    <n v="1"/>
    <n v="1"/>
    <n v="165"/>
    <n v="1"/>
    <n v="165"/>
    <n v="1"/>
    <n v="165"/>
    <x v="0"/>
    <n v="0"/>
    <n v="0"/>
    <n v="0.41249999999999998"/>
    <n v="30"/>
    <n v="0"/>
    <n v="1"/>
    <m/>
    <s v="30 chinese water filter distrubuted in 2014"/>
    <n v="0"/>
    <n v="4"/>
    <n v="0"/>
    <x v="1"/>
    <n v="0.48484848484848486"/>
    <n v="80"/>
    <n v="0.48484848484848486"/>
    <n v="80"/>
    <n v="0"/>
    <n v="0"/>
    <n v="0"/>
    <n v="0.48"/>
    <n v="79.2"/>
    <n v="8.25"/>
    <n v="0"/>
    <x v="1"/>
    <n v="0"/>
    <n v="0"/>
    <n v="1.65"/>
    <n v="0"/>
    <m/>
    <n v="0"/>
    <n v="0"/>
    <n v="1.65"/>
    <n v="0"/>
    <m/>
    <d v="2014-05-21T00:00:00"/>
    <d v="2015-05-21T00:00:00"/>
    <n v="30"/>
    <n v="10"/>
    <n v="0"/>
    <n v="1"/>
    <n v="165"/>
    <x v="0"/>
    <m/>
    <n v="0"/>
    <m/>
    <n v="0"/>
    <s v="No coverage"/>
    <n v="0"/>
    <x v="2"/>
    <m/>
  </r>
  <r>
    <x v="18"/>
    <s v="MMR015CMP009"/>
    <x v="9"/>
    <x v="173"/>
    <n v="97.127340000000004"/>
    <n v="23.24954"/>
    <x v="0"/>
    <x v="0"/>
    <n v="39"/>
    <n v="162"/>
    <n v="162"/>
    <x v="1"/>
    <s v="KBC"/>
    <x v="4"/>
    <x v="0"/>
    <s v="31.Mar.2016"/>
    <m/>
    <m/>
    <s v="Focal NGO"/>
    <x v="0"/>
    <n v="0"/>
    <n v="0"/>
    <s v="No"/>
    <n v="0"/>
    <n v="0"/>
    <n v="7000"/>
    <n v="1"/>
    <n v="0"/>
    <n v="1"/>
    <n v="162"/>
    <n v="1"/>
    <n v="162"/>
    <n v="1"/>
    <n v="162"/>
    <x v="0"/>
    <n v="0"/>
    <n v="0"/>
    <n v="0.40500000000000003"/>
    <n v="0"/>
    <n v="162"/>
    <n v="1"/>
    <n v="162"/>
    <m/>
    <n v="2"/>
    <n v="14"/>
    <n v="0"/>
    <x v="1"/>
    <n v="1"/>
    <n v="162"/>
    <n v="1"/>
    <n v="162"/>
    <n v="0"/>
    <n v="0"/>
    <n v="2"/>
    <n v="1"/>
    <n v="162"/>
    <n v="10.1"/>
    <n v="0"/>
    <x v="4"/>
    <n v="0"/>
    <n v="0"/>
    <n v="1.62"/>
    <n v="0"/>
    <n v="0"/>
    <n v="1"/>
    <n v="0.61728395061728392"/>
    <n v="0.62000000000000011"/>
    <n v="0.8"/>
    <s v="MDCG supported WASH-Shelter as HH level (no need to construct semi-parmanent)/ bathing space was ongoing activities by Metta"/>
    <m/>
    <s v="To be realised"/>
    <n v="0"/>
    <n v="2"/>
    <n v="39"/>
    <n v="0"/>
    <n v="0"/>
    <x v="4"/>
    <m/>
    <n v="0"/>
    <n v="0"/>
    <n v="0"/>
    <s v="No coverage"/>
    <n v="0"/>
    <x v="0"/>
    <m/>
  </r>
  <r>
    <x v="18"/>
    <s v="MMR015CMP209"/>
    <x v="9"/>
    <x v="174"/>
    <n v="97.123440000000002"/>
    <n v="23.24568"/>
    <x v="0"/>
    <x v="0"/>
    <n v="31"/>
    <n v="182"/>
    <n v="182"/>
    <x v="1"/>
    <s v="KMSS"/>
    <x v="2"/>
    <x v="0"/>
    <s v="Gap"/>
    <m/>
    <m/>
    <s v="Focal NGO"/>
    <x v="0"/>
    <n v="0"/>
    <n v="0"/>
    <s v="No"/>
    <n v="0"/>
    <n v="0"/>
    <n v="28800"/>
    <n v="0.8"/>
    <n v="0"/>
    <n v="1"/>
    <n v="182"/>
    <n v="1"/>
    <n v="182"/>
    <n v="1"/>
    <n v="182"/>
    <x v="0"/>
    <n v="0"/>
    <n v="0"/>
    <n v="0.45500000000000002"/>
    <n v="0"/>
    <n v="145.6"/>
    <n v="1"/>
    <n v="182"/>
    <m/>
    <n v="16"/>
    <n v="6"/>
    <n v="6"/>
    <x v="1"/>
    <n v="1"/>
    <n v="182"/>
    <n v="0.34065934065934067"/>
    <n v="62"/>
    <n v="0.65934065934065933"/>
    <n v="120"/>
    <n v="2"/>
    <n v="1"/>
    <n v="182"/>
    <n v="5.0999999999999996"/>
    <n v="2"/>
    <x v="0"/>
    <n v="1"/>
    <n v="182"/>
    <n v="0"/>
    <n v="1"/>
    <n v="182"/>
    <n v="0"/>
    <n v="0"/>
    <n v="1.82"/>
    <n v="0"/>
    <m/>
    <d v="2012-10-01T00:00:00"/>
    <s v="To be realised"/>
    <n v="30"/>
    <n v="3"/>
    <n v="31"/>
    <n v="0"/>
    <n v="0"/>
    <x v="17"/>
    <s v=" KMSS will distribute Hugiene kit"/>
    <n v="0"/>
    <n v="0"/>
    <n v="2"/>
    <s v="Excellent coverage"/>
    <n v="0"/>
    <x v="1"/>
    <m/>
  </r>
</pivotCacheRecords>
</file>

<file path=xl/pivotCache/pivotCacheRecords2.xml><?xml version="1.0" encoding="utf-8"?>
<pivotCacheRecords xmlns="http://schemas.openxmlformats.org/spreadsheetml/2006/main" xmlns:r="http://schemas.openxmlformats.org/officeDocument/2006/relationships" count="53">
  <r>
    <x v="0"/>
    <m/>
    <x v="0"/>
    <s v="OFDA"/>
    <s v="Provision of Hygiene and Sanitation facilities for IDPs at Khaung Doke Khar, Say Tha Mar Gyi and Ohn Taw Gyi 2 camps at Sittwe Township in Rakhine State"/>
    <d v="2012-11-19T00:00:00"/>
    <d v="2013-03-18T00:00:00"/>
    <s v="Completed"/>
    <x v="0"/>
    <n v="2500"/>
    <m/>
    <s v=""/>
    <m/>
    <m/>
    <m/>
    <n v="1"/>
    <n v="0"/>
    <n v="2500"/>
    <n v="2500"/>
    <n v="2500"/>
    <n v="0"/>
    <n v="0"/>
    <n v="0"/>
    <n v="128026"/>
    <n v="128026"/>
    <x v="0"/>
    <n v="0"/>
    <n v="1"/>
    <n v="0.54"/>
    <n v="0.21"/>
    <n v="0.25"/>
    <m/>
  </r>
  <r>
    <x v="0"/>
    <m/>
    <x v="1"/>
    <m/>
    <s v="Emergency support for people displaced by the conflict in Kachin State, Myanmar"/>
    <d v="2013-01-06T00:00:00"/>
    <d v="2014-06-30T00:00:00"/>
    <s v="Active"/>
    <x v="1"/>
    <n v="11700"/>
    <n v="0.45"/>
    <n v="0.55000000000000004"/>
    <n v="0"/>
    <n v="1"/>
    <n v="0"/>
    <n v="1"/>
    <n v="0"/>
    <n v="7594"/>
    <n v="6040"/>
    <n v="5850"/>
    <n v="0"/>
    <n v="0"/>
    <n v="0"/>
    <n v="530978"/>
    <n v="353985.33333333337"/>
    <x v="1"/>
    <n v="0"/>
    <n v="1"/>
    <n v="0.55500000000000005"/>
    <n v="0.26"/>
    <n v="0.18"/>
    <m/>
  </r>
  <r>
    <x v="0"/>
    <m/>
    <x v="1"/>
    <m/>
    <s v="Emergency support for displaced and hosting communities affected by the Kachin conflict, Myanmar"/>
    <d v="2014-01-09T00:00:00"/>
    <d v="2015-08-31T00:00:00"/>
    <s v="Active"/>
    <x v="2"/>
    <n v="6457"/>
    <m/>
    <n v="1"/>
    <m/>
    <n v="1"/>
    <m/>
    <n v="0.62"/>
    <n v="0.38"/>
    <n v="4039"/>
    <n v="4039"/>
    <n v="1617"/>
    <m/>
    <m/>
    <n v="2418"/>
    <n v="354600"/>
    <n v="0"/>
    <x v="2"/>
    <n v="143852.75459098496"/>
    <n v="1"/>
    <n v="0.33"/>
    <n v="0.34"/>
    <n v="0.34"/>
    <m/>
  </r>
  <r>
    <x v="1"/>
    <m/>
    <x v="2"/>
    <m/>
    <s v=" Improvement of Community Drinking Water Supply and Strengthening of Communal Structures of Marginalised Population in Northern Shan State as well as Humanitarian Assistance to IDP due to the armed conflict in Kachin State (PN: 20121882.5)"/>
    <d v="2013-01-01T00:00:00"/>
    <m/>
    <m/>
    <x v="1"/>
    <m/>
    <m/>
    <s v=""/>
    <m/>
    <m/>
    <m/>
    <m/>
    <m/>
    <m/>
    <m/>
    <m/>
    <m/>
    <m/>
    <m/>
    <n v="338770"/>
    <n v="338770"/>
    <x v="0"/>
    <n v="0"/>
    <m/>
    <m/>
    <m/>
    <m/>
    <m/>
  </r>
  <r>
    <x v="2"/>
    <m/>
    <x v="3"/>
    <m/>
    <s v="Provision of water and sanitation facilities, and non-food relief items - IDPs in Kachin State (M013859)"/>
    <d v="2013-12-01T00:00:00"/>
    <m/>
    <m/>
    <x v="1"/>
    <m/>
    <m/>
    <s v=""/>
    <m/>
    <m/>
    <m/>
    <m/>
    <m/>
    <m/>
    <m/>
    <m/>
    <m/>
    <m/>
    <m/>
    <n v="292113"/>
    <n v="292113"/>
    <x v="0"/>
    <n v="0"/>
    <m/>
    <m/>
    <m/>
    <m/>
    <m/>
  </r>
  <r>
    <x v="3"/>
    <m/>
    <x v="0"/>
    <s v="CERF"/>
    <s v="Humanitarian Assistance to Internally Dispalced Persons in Kachin_x000a_Addendum"/>
    <d v="2012-02-15T00:00:00"/>
    <d v="2012-06-30T00:00:00"/>
    <s v="Completed"/>
    <x v="0"/>
    <n v="25000"/>
    <n v="0.7"/>
    <n v="0.3"/>
    <n v="0"/>
    <n v="0.4"/>
    <n v="0.6"/>
    <n v="1"/>
    <n v="0"/>
    <n v="25000"/>
    <n v="25000"/>
    <n v="25000"/>
    <n v="0"/>
    <n v="0"/>
    <n v="0"/>
    <n v="200970"/>
    <n v="200970"/>
    <x v="0"/>
    <n v="0"/>
    <n v="1"/>
    <n v="0.25103163686382396"/>
    <n v="0.45392022008253097"/>
    <n v="0.29504814305364513"/>
    <m/>
  </r>
  <r>
    <x v="3"/>
    <m/>
    <x v="0"/>
    <s v="CERF"/>
    <s v="Humanitarian Assistance to Internally Dispalced Persons in Kachin_x000a_"/>
    <d v="2012-02-15T00:00:00"/>
    <d v="2012-05-14T00:00:00"/>
    <s v="Completed"/>
    <x v="0"/>
    <n v="25000"/>
    <n v="0.7"/>
    <n v="0.3"/>
    <n v="0"/>
    <n v="0.4"/>
    <n v="0.6"/>
    <n v="1"/>
    <n v="0"/>
    <n v="25000"/>
    <n v="25000"/>
    <n v="25000"/>
    <n v="0"/>
    <n v="0"/>
    <n v="0"/>
    <n v="171388.23529411765"/>
    <n v="171388.23529411765"/>
    <x v="0"/>
    <n v="0"/>
    <n v="1"/>
    <n v="0.25"/>
    <n v="0.45"/>
    <n v="0.3"/>
    <m/>
  </r>
  <r>
    <x v="3"/>
    <m/>
    <x v="0"/>
    <s v="OFDA"/>
    <s v="Humanitarian Assistance to Internally Dispalced Persons in Kachin"/>
    <d v="2012-05-14T00:00:00"/>
    <d v="2012-07-14T00:00:00"/>
    <s v="Completed"/>
    <x v="0"/>
    <n v="7733"/>
    <n v="0.55000000000000004"/>
    <n v="0.45"/>
    <n v="0"/>
    <n v="0.5"/>
    <n v="0.5"/>
    <n v="1"/>
    <n v="0"/>
    <n v="7733"/>
    <n v="7733"/>
    <n v="7733"/>
    <n v="0"/>
    <n v="0"/>
    <n v="0"/>
    <n v="33603.976470588233"/>
    <n v="33603.976470588233"/>
    <x v="0"/>
    <n v="0"/>
    <n v="1"/>
    <n v="0.04"/>
    <n v="0.95"/>
    <n v="0"/>
    <m/>
  </r>
  <r>
    <x v="3"/>
    <m/>
    <x v="0"/>
    <s v="Japanese"/>
    <s v="Humanitarian Assistance to Internally Dispalced Persons in Kachin"/>
    <d v="2014-10-16T00:00:00"/>
    <d v="2015-04-15T00:00:00"/>
    <s v="Active"/>
    <x v="2"/>
    <n v="11820"/>
    <n v="0.86"/>
    <n v="0.14000000000000001"/>
    <n v="0"/>
    <n v="0.87"/>
    <n v="0.13"/>
    <n v="1"/>
    <n v="0"/>
    <n v="5360"/>
    <n v="11820"/>
    <n v="9833"/>
    <n v="0"/>
    <n v="0"/>
    <n v="0"/>
    <n v="220997.4"/>
    <n v="0"/>
    <x v="3"/>
    <n v="128202.91160220993"/>
    <n v="1"/>
    <n v="0.44"/>
    <n v="0.2"/>
    <n v="0.36"/>
    <m/>
  </r>
  <r>
    <x v="4"/>
    <m/>
    <x v="0"/>
    <s v="CERF"/>
    <s v="Humanitarian Assistance to Internally Dispalced Persons in Kachin"/>
    <d v="2012-06-02T00:00:00"/>
    <d v="2012-10-30T00:00:00"/>
    <s v="Completed"/>
    <x v="0"/>
    <n v="5500"/>
    <n v="0.35"/>
    <n v="0.65"/>
    <n v="0"/>
    <n v="0.6"/>
    <n v="0.4"/>
    <n v="1"/>
    <n v="0"/>
    <n v="5500"/>
    <n v="5500"/>
    <n v="5500"/>
    <n v="0"/>
    <n v="0"/>
    <n v="0"/>
    <n v="129924.9705882353"/>
    <n v="129924.9705882353"/>
    <x v="0"/>
    <n v="0"/>
    <n v="1"/>
    <n v="0.41"/>
    <n v="0.3"/>
    <n v="0.28999999999999998"/>
    <m/>
  </r>
  <r>
    <x v="4"/>
    <m/>
    <x v="0"/>
    <s v="OFDA"/>
    <s v="Humanitarian Assistance to Internally Dispalced Persons in Kachin"/>
    <d v="2012-04-29T00:00:00"/>
    <d v="2012-07-29T00:00:00"/>
    <s v="Completed"/>
    <x v="0"/>
    <n v="18791"/>
    <n v="0.48"/>
    <n v="0.52"/>
    <n v="0.3"/>
    <n v="0.5"/>
    <n v="0.2"/>
    <n v="1"/>
    <n v="0"/>
    <n v="18791"/>
    <n v="18791"/>
    <n v="18791"/>
    <n v="0"/>
    <n v="0"/>
    <n v="0"/>
    <n v="149287.59647058824"/>
    <n v="149287.59647058824"/>
    <x v="0"/>
    <n v="0"/>
    <n v="1"/>
    <n v="0.26100382615963141"/>
    <n v="0.62"/>
    <n v="0.11847803109484276"/>
    <m/>
  </r>
  <r>
    <x v="4"/>
    <m/>
    <x v="0"/>
    <s v="OFDA"/>
    <s v="Humanitarian Assistance to Internally Dispalced Persons in Kachin"/>
    <d v="2013-03-11T00:00:00"/>
    <d v="2013-03-25T00:00:00"/>
    <s v="Completed"/>
    <x v="1"/>
    <n v="493"/>
    <n v="0.45"/>
    <n v="0.55000000000000004"/>
    <n v="0"/>
    <n v="1"/>
    <n v="0"/>
    <n v="1"/>
    <n v="0"/>
    <n v="493"/>
    <n v="0"/>
    <n v="0"/>
    <n v="0"/>
    <n v="0"/>
    <n v="0"/>
    <n v="3031.5058823529412"/>
    <n v="3031.5058823529412"/>
    <x v="0"/>
    <n v="0"/>
    <n v="1"/>
    <n v="1"/>
    <n v="0"/>
    <n v="0"/>
    <m/>
  </r>
  <r>
    <x v="4"/>
    <m/>
    <x v="4"/>
    <s v="ERF"/>
    <m/>
    <d v="2013-01-01T00:00:00"/>
    <m/>
    <s v="Completed"/>
    <x v="1"/>
    <m/>
    <m/>
    <s v=""/>
    <m/>
    <m/>
    <m/>
    <m/>
    <m/>
    <m/>
    <m/>
    <m/>
    <m/>
    <m/>
    <m/>
    <m/>
    <n v="0"/>
    <x v="0"/>
    <n v="0"/>
    <m/>
    <m/>
    <m/>
    <m/>
    <m/>
  </r>
  <r>
    <x v="4"/>
    <m/>
    <x v="0"/>
    <s v="CERF"/>
    <s v="Humanitarian assitance to internally displaced persons in Kachin State"/>
    <d v="2014-01-24T00:00:00"/>
    <d v="2014-07-23T00:00:00"/>
    <s v="Completed"/>
    <x v="2"/>
    <n v="3756"/>
    <n v="0.65"/>
    <n v="0.35"/>
    <n v="0.61"/>
    <n v="0"/>
    <n v="0.38684771033013843"/>
    <n v="1"/>
    <n v="0"/>
    <n v="3756"/>
    <n v="3756"/>
    <n v="3756"/>
    <n v="0"/>
    <n v="0"/>
    <n v="0"/>
    <n v="201418"/>
    <n v="0"/>
    <x v="4"/>
    <n v="0"/>
    <n v="1"/>
    <n v="0.5"/>
    <n v="0.43"/>
    <n v="7.0000000000000007E-2"/>
    <m/>
  </r>
  <r>
    <x v="5"/>
    <m/>
    <x v="1"/>
    <m/>
    <s v="Supporting life saving health interventions in conflict affected populations in Northern Shan State, Myanmar"/>
    <d v="2013-05-18T00:00:00"/>
    <d v="2014-05-18T00:00:00"/>
    <s v="Active"/>
    <x v="1"/>
    <n v="33204"/>
    <n v="0.1"/>
    <n v="0.9"/>
    <n v="0"/>
    <n v="0"/>
    <n v="1"/>
    <n v="7.0000000000000007E-2"/>
    <n v="0.93"/>
    <n v="2416"/>
    <n v="146"/>
    <n v="2416"/>
    <n v="22000"/>
    <n v="8788"/>
    <n v="30788"/>
    <n v="26986"/>
    <n v="16857.008219178082"/>
    <x v="5"/>
    <n v="0"/>
    <n v="0.04"/>
    <n v="0.82"/>
    <n v="0.12"/>
    <n v="0.06"/>
    <m/>
  </r>
  <r>
    <x v="6"/>
    <m/>
    <x v="0"/>
    <s v="CERF"/>
    <s v="Humanitarian Assistance to Internally Dispalced Persons in Kachin"/>
    <d v="2012-03-05T00:00:00"/>
    <d v="2012-06-14T00:00:00"/>
    <s v="Completed"/>
    <x v="0"/>
    <n v="14000"/>
    <m/>
    <s v=""/>
    <m/>
    <m/>
    <m/>
    <n v="1"/>
    <n v="0"/>
    <n v="14000"/>
    <n v="14000"/>
    <n v="14000"/>
    <n v="0"/>
    <n v="0"/>
    <n v="0"/>
    <n v="92437.647058823524"/>
    <n v="92437.647058823524"/>
    <x v="0"/>
    <n v="0"/>
    <n v="1"/>
    <n v="0.36"/>
    <n v="0.53"/>
    <n v="0.1"/>
    <m/>
  </r>
  <r>
    <x v="6"/>
    <m/>
    <x v="0"/>
    <s v="CERF"/>
    <s v="Humanitarian Assistance to Internally Dispalced Persons in Kachin"/>
    <d v="2012-02-02T00:00:00"/>
    <d v="2012-06-30T00:00:00"/>
    <s v="Completed"/>
    <x v="0"/>
    <n v="3240"/>
    <m/>
    <s v=""/>
    <m/>
    <m/>
    <m/>
    <n v="1"/>
    <n v="0"/>
    <n v="3240"/>
    <n v="3240"/>
    <n v="3240"/>
    <n v="0"/>
    <n v="0"/>
    <n v="0"/>
    <n v="34710.588235294119"/>
    <n v="34710.588235294119"/>
    <x v="0"/>
    <n v="0"/>
    <n v="1"/>
    <n v="0.35"/>
    <n v="0.38"/>
    <n v="0.36"/>
    <m/>
  </r>
  <r>
    <x v="6"/>
    <m/>
    <x v="0"/>
    <s v="CERF"/>
    <s v="Humanitarian Assistance to Internally Dispalced Persons in Kachin"/>
    <d v="2012-02-01T00:00:00"/>
    <d v="2012-04-30T00:00:00"/>
    <s v="Completed"/>
    <x v="0"/>
    <n v="14000"/>
    <m/>
    <s v=""/>
    <m/>
    <m/>
    <m/>
    <n v="1"/>
    <n v="0"/>
    <n v="14000"/>
    <n v="14000"/>
    <n v="14000"/>
    <n v="0"/>
    <n v="0"/>
    <n v="0"/>
    <n v="83760"/>
    <n v="83760"/>
    <x v="0"/>
    <n v="0"/>
    <n v="1"/>
    <n v="0.42"/>
    <n v="0.55000000000000004"/>
    <n v="0.22"/>
    <m/>
  </r>
  <r>
    <x v="6"/>
    <m/>
    <x v="0"/>
    <s v="OFDA"/>
    <s v="Humanitarian Assistance to Internally Dispalced Persons in Kachin"/>
    <d v="2013-03-13T00:00:00"/>
    <d v="2013-06-12T00:00:00"/>
    <s v="Completed"/>
    <x v="1"/>
    <n v="19000"/>
    <n v="0.68421052631578949"/>
    <n v="0.31578947368421051"/>
    <n v="0"/>
    <n v="0.32"/>
    <n v="0.68321052631578949"/>
    <n v="1"/>
    <n v="0"/>
    <n v="19000"/>
    <n v="19000"/>
    <n v="19000"/>
    <n v="0"/>
    <n v="0"/>
    <n v="0"/>
    <n v="98314.495294117645"/>
    <n v="98314.495294117645"/>
    <x v="0"/>
    <n v="0"/>
    <n v="1"/>
    <n v="0.26924400268856291"/>
    <n v="0.14000000000000001"/>
    <n v="0.58604606937202164"/>
    <m/>
  </r>
  <r>
    <x v="6"/>
    <m/>
    <x v="0"/>
    <s v="CERF"/>
    <s v="Humanitarian Assistance to Internally Dispalced Persons in Kachin"/>
    <d v="2012-06-22T00:00:00"/>
    <d v="2013-03-31T00:00:00"/>
    <s v="Completed"/>
    <x v="0"/>
    <m/>
    <m/>
    <s v=""/>
    <m/>
    <m/>
    <m/>
    <m/>
    <m/>
    <m/>
    <m/>
    <m/>
    <m/>
    <m/>
    <m/>
    <n v="175294.05769230769"/>
    <n v="175294.05769230769"/>
    <x v="0"/>
    <n v="0"/>
    <m/>
    <m/>
    <m/>
    <m/>
    <m/>
  </r>
  <r>
    <x v="6"/>
    <m/>
    <x v="0"/>
    <s v="OFDA "/>
    <s v="Humanitarian Assistance to Internally Dispalced Persons in Kachin"/>
    <d v="2014-01-09T00:00:00"/>
    <d v="2014-11-08T00:00:00"/>
    <s v="Completed"/>
    <x v="2"/>
    <n v="11000"/>
    <n v="0.62"/>
    <n v="0.38"/>
    <n v="0"/>
    <n v="1"/>
    <n v="0"/>
    <n v="1"/>
    <n v="0"/>
    <n v="11000"/>
    <n v="11000"/>
    <n v="11000"/>
    <n v="0"/>
    <n v="0"/>
    <n v="0"/>
    <n v="337220.99"/>
    <n v="0"/>
    <x v="6"/>
    <n v="0"/>
    <n v="1"/>
    <n v="0.33"/>
    <n v="0.33"/>
    <n v="0.34"/>
    <m/>
  </r>
  <r>
    <x v="6"/>
    <m/>
    <x v="0"/>
    <s v="Japanese"/>
    <s v="Humanitarian Assistance to Internally Dispalced Persons in Kachin"/>
    <d v="2014-10-16T00:00:00"/>
    <d v="2015-04-15T00:00:00"/>
    <s v="Active"/>
    <x v="2"/>
    <n v="13389"/>
    <n v="0.59"/>
    <n v="0.41"/>
    <n v="0"/>
    <n v="1"/>
    <n v="0"/>
    <n v="1"/>
    <n v="0"/>
    <n v="5571"/>
    <n v="5643"/>
    <n v="13389"/>
    <n v="0"/>
    <n v="0"/>
    <n v="0"/>
    <n v="288461.43"/>
    <n v="0"/>
    <x v="7"/>
    <n v="167339.5035911602"/>
    <n v="1"/>
    <n v="0.23"/>
    <n v="0.23"/>
    <n v="0.54"/>
    <m/>
  </r>
  <r>
    <x v="6"/>
    <s v="Oxfam"/>
    <x v="5"/>
    <m/>
    <s v="Humanitarian Assistance to Internally Dispalced Persons in Kachin"/>
    <d v="2014-04-28T00:00:00"/>
    <d v="2014-06-12T00:00:00"/>
    <s v="Active"/>
    <x v="2"/>
    <m/>
    <m/>
    <m/>
    <n v="1"/>
    <n v="0"/>
    <n v="0"/>
    <n v="1"/>
    <n v="0"/>
    <m/>
    <m/>
    <m/>
    <m/>
    <m/>
    <m/>
    <n v="43482"/>
    <n v="0"/>
    <x v="8"/>
    <n v="0"/>
    <m/>
    <m/>
    <m/>
    <m/>
    <m/>
  </r>
  <r>
    <x v="7"/>
    <s v="KBC/Shalom"/>
    <x v="1"/>
    <s v="Australian_x000a_CIDA"/>
    <s v="Emergency Response for Conflict-Affected Population in Kachin and Northern Shan"/>
    <d v="2013-01-01T00:00:00"/>
    <d v="2014-03-31T00:00:00"/>
    <s v="Active"/>
    <x v="1"/>
    <n v="19794"/>
    <n v="0.42437102152167322"/>
    <n v="0.57562897847832684"/>
    <n v="0"/>
    <n v="0"/>
    <n v="1"/>
    <n v="1"/>
    <n v="0"/>
    <n v="5240"/>
    <n v="13650"/>
    <n v="19794"/>
    <n v="0"/>
    <n v="0"/>
    <n v="0"/>
    <n v="774563"/>
    <n v="622721.35462555068"/>
    <x v="9"/>
    <n v="0"/>
    <n v="1"/>
    <n v="0.2"/>
    <n v="0.22"/>
    <n v="0.57999999999999996"/>
    <s v="Data input on 17/10/2013"/>
  </r>
  <r>
    <x v="7"/>
    <s v="KBC/Shalom"/>
    <x v="6"/>
    <s v="ECHO/CIDA"/>
    <s v="Same project than previous one, co-financing"/>
    <d v="2013-01-01T00:00:00"/>
    <d v="2014-03-31T00:00:00"/>
    <s v="Active"/>
    <x v="1"/>
    <m/>
    <m/>
    <m/>
    <m/>
    <m/>
    <m/>
    <m/>
    <m/>
    <m/>
    <m/>
    <m/>
    <m/>
    <m/>
    <m/>
    <n v="515029"/>
    <n v="414065.16519823787"/>
    <x v="10"/>
    <n v="0"/>
    <m/>
    <m/>
    <m/>
    <m/>
    <m/>
  </r>
  <r>
    <x v="7"/>
    <s v="KBC/Shalom"/>
    <x v="7"/>
    <s v="ECHO/Australian"/>
    <s v="Same project than previous one, co-financing"/>
    <d v="2013-01-01T00:00:00"/>
    <d v="2014-03-31T00:00:00"/>
    <s v="Active"/>
    <x v="1"/>
    <m/>
    <m/>
    <m/>
    <m/>
    <m/>
    <m/>
    <m/>
    <m/>
    <m/>
    <m/>
    <m/>
    <m/>
    <m/>
    <m/>
    <n v="191487"/>
    <n v="153948.79955947137"/>
    <x v="11"/>
    <n v="0"/>
    <m/>
    <m/>
    <m/>
    <m/>
    <m/>
  </r>
  <r>
    <x v="7"/>
    <s v="KBC/Shalom"/>
    <x v="8"/>
    <s v="DFAT (AusAID)"/>
    <s v="Emergency Response for Conflict-Affected Population in Kachin and Northern Shan 14/15"/>
    <d v="2014-05-01T00:00:00"/>
    <d v="2015-05-31T00:00:00"/>
    <s v="Active"/>
    <x v="2"/>
    <n v="23013"/>
    <n v="0.41467865988788943"/>
    <n v="0.58532134011211057"/>
    <n v="0"/>
    <n v="0"/>
    <n v="1"/>
    <n v="1"/>
    <n v="0"/>
    <n v="23013"/>
    <n v="23013"/>
    <n v="23013"/>
    <n v="0"/>
    <n v="0"/>
    <n v="0"/>
    <n v="1520909.0013263728"/>
    <n v="0"/>
    <x v="12"/>
    <n v="581410.78278552473"/>
    <n v="1"/>
    <n v="0.16"/>
    <n v="0.09"/>
    <n v="0.75"/>
    <s v="Data input on 09/06/2014. Note this funding does not enable full coverage with hygiene kits in GCA camps. Oxfam will submit to UNICEF a proposal to cover the gap, but targeting will also be established this year due to increasing livlihoods and decreasing donor funds. "/>
  </r>
  <r>
    <x v="8"/>
    <m/>
    <x v="2"/>
    <m/>
    <m/>
    <d v="2012-01-01T00:00:00"/>
    <d v="2014-12-31T00:00:00"/>
    <m/>
    <x v="0"/>
    <m/>
    <m/>
    <s v=""/>
    <m/>
    <m/>
    <m/>
    <m/>
    <m/>
    <m/>
    <m/>
    <m/>
    <m/>
    <m/>
    <m/>
    <m/>
    <n v="0"/>
    <x v="0"/>
    <n v="0"/>
    <m/>
    <m/>
    <m/>
    <m/>
    <m/>
  </r>
  <r>
    <x v="9"/>
    <s v="WPN"/>
    <x v="1"/>
    <m/>
    <s v="Emergency Assistance to Conflict Affected Populations in Myanmar"/>
    <d v="2013-06-01T00:00:00"/>
    <d v="2014-02-28T00:00:00"/>
    <s v="Active"/>
    <x v="1"/>
    <n v="9566"/>
    <n v="0.86"/>
    <n v="0.14000000000000001"/>
    <n v="0.89"/>
    <n v="0"/>
    <n v="0.11"/>
    <n v="1"/>
    <n v="0"/>
    <n v="1905"/>
    <n v="9566"/>
    <n v="9566"/>
    <n v="0"/>
    <n v="0"/>
    <n v="0"/>
    <n v="264760"/>
    <n v="208303.82352941178"/>
    <x v="13"/>
    <n v="0"/>
    <n v="0.8"/>
    <n v="0.13"/>
    <n v="0.14000000000000001"/>
    <n v="0.73"/>
    <m/>
  </r>
  <r>
    <x v="9"/>
    <s v="WPN"/>
    <x v="9"/>
    <m/>
    <s v="MMR Kachin  Humanitarian Response"/>
    <d v="2014-01-01T00:00:00"/>
    <d v="2014-12-31T00:00:00"/>
    <s v="Active"/>
    <x v="2"/>
    <m/>
    <n v="0"/>
    <n v="1"/>
    <n v="0.89"/>
    <n v="0"/>
    <n v="0.11"/>
    <n v="1"/>
    <n v="0"/>
    <n v="1905"/>
    <n v="9566"/>
    <n v="9566"/>
    <n v="0"/>
    <n v="0"/>
    <n v="0"/>
    <n v="17000"/>
    <n v="0"/>
    <x v="14"/>
    <n v="0"/>
    <m/>
    <m/>
    <m/>
    <m/>
    <m/>
  </r>
  <r>
    <x v="9"/>
    <s v="WPN"/>
    <x v="10"/>
    <m/>
    <s v="Humanitarian assistance to populations affected by vioence in Rakhine &amp; Kachin States"/>
    <d v="2014-01-01T00:00:00"/>
    <m/>
    <s v="Active"/>
    <x v="2"/>
    <m/>
    <n v="0.93"/>
    <n v="6.9999999999999951E-2"/>
    <m/>
    <m/>
    <m/>
    <m/>
    <m/>
    <m/>
    <m/>
    <m/>
    <m/>
    <m/>
    <m/>
    <n v="102308"/>
    <n v="102308"/>
    <x v="0"/>
    <n v="0"/>
    <m/>
    <m/>
    <m/>
    <m/>
    <m/>
  </r>
  <r>
    <x v="9"/>
    <s v="WPN"/>
    <x v="11"/>
    <m/>
    <s v="MMR Emergency assistance to populations affected by displacement and violence in Kachin State"/>
    <d v="2014-01-01T00:00:00"/>
    <m/>
    <s v="Active"/>
    <x v="2"/>
    <m/>
    <n v="0.47"/>
    <n v="0.53"/>
    <m/>
    <m/>
    <m/>
    <m/>
    <m/>
    <m/>
    <m/>
    <m/>
    <m/>
    <m/>
    <m/>
    <n v="80400"/>
    <n v="80400"/>
    <x v="0"/>
    <n v="0"/>
    <m/>
    <m/>
    <m/>
    <m/>
    <m/>
  </r>
  <r>
    <x v="9"/>
    <m/>
    <x v="0"/>
    <s v="CERF"/>
    <s v="Development of Lifesaving WASH Facilities in tandem with New Shelter Construction for IDPs_x000a_"/>
    <d v="2014-07-02T00:00:00"/>
    <d v="2015-02-28T00:00:00"/>
    <s v="Active"/>
    <x v="2"/>
    <n v="10837"/>
    <n v="0.43323798099104921"/>
    <n v="0.56999999999999995"/>
    <n v="0.23798099104918335"/>
    <n v="0"/>
    <n v="0.76"/>
    <n v="1"/>
    <n v="0"/>
    <n v="10837"/>
    <n v="10837"/>
    <n v="10837"/>
    <n v="0"/>
    <n v="0"/>
    <n v="0"/>
    <n v="455030"/>
    <n v="0"/>
    <x v="15"/>
    <n v="111397.38589211617"/>
    <n v="1"/>
    <n v="7.0000000000000007E-2"/>
    <n v="0.18"/>
    <n v="0.75"/>
    <m/>
  </r>
  <r>
    <x v="10"/>
    <m/>
    <x v="0"/>
    <s v="CERF"/>
    <s v="Humanitarian Assistance to Internally Dispalced Persons in Kachin"/>
    <d v="2013-12-24T00:00:00"/>
    <d v="2014-10-31T00:00:00"/>
    <s v="Completed"/>
    <x v="2"/>
    <n v="6184"/>
    <n v="0"/>
    <n v="1"/>
    <n v="0"/>
    <n v="0"/>
    <n v="1"/>
    <n v="1"/>
    <n v="0"/>
    <n v="3295"/>
    <n v="2365"/>
    <n v="4570"/>
    <n v="0"/>
    <n v="0"/>
    <n v="0"/>
    <n v="306018"/>
    <n v="7871.8456591639551"/>
    <x v="16"/>
    <n v="0"/>
    <n v="1"/>
    <n v="0.42000000000000004"/>
    <n v="0.24"/>
    <n v="0.34"/>
    <m/>
  </r>
  <r>
    <x v="11"/>
    <m/>
    <x v="0"/>
    <s v="OFDA"/>
    <s v="Emergency WASH support for the affected population in Southern Kachin State"/>
    <d v="2012-06-04T00:00:00"/>
    <d v="2013-01-16T00:00:00"/>
    <s v="Completed"/>
    <x v="0"/>
    <n v="11524"/>
    <n v="0.22"/>
    <n v="0.78"/>
    <n v="0"/>
    <n v="1"/>
    <n v="0"/>
    <n v="1"/>
    <n v="0"/>
    <n v="9024"/>
    <n v="9024"/>
    <n v="9024"/>
    <n v="2500"/>
    <n v="2500"/>
    <n v="2500"/>
    <n v="220000"/>
    <n v="220000"/>
    <x v="0"/>
    <n v="0"/>
    <n v="0.85"/>
    <n v="0.33"/>
    <n v="0.23"/>
    <n v="0.44"/>
    <m/>
  </r>
  <r>
    <x v="11"/>
    <m/>
    <x v="0"/>
    <s v="OFDA"/>
    <s v="Emergency WASH support for the affected population in Southern Kachin State"/>
    <d v="2012-11-27T00:00:00"/>
    <d v="2013-02-26T00:00:00"/>
    <s v="Completed"/>
    <x v="0"/>
    <n v="7000"/>
    <n v="0"/>
    <n v="1"/>
    <n v="0"/>
    <n v="1"/>
    <n v="0"/>
    <n v="1"/>
    <n v="0"/>
    <n v="7000"/>
    <n v="7000"/>
    <n v="7000"/>
    <m/>
    <m/>
    <m/>
    <n v="158854"/>
    <n v="158854"/>
    <x v="0"/>
    <n v="0"/>
    <n v="1"/>
    <n v="0.95637415012976246"/>
    <n v="1.5354404523431255E-2"/>
    <n v="2.8271445346806263E-2"/>
    <m/>
  </r>
  <r>
    <x v="11"/>
    <m/>
    <x v="1"/>
    <m/>
    <s v="Water, Sanitation and Hygiene assistance for IDPs affected by the conflict in Southern Kachin State (ECHO/-XA/BUD/2012/91023)"/>
    <d v="2013-06-01T00:00:00"/>
    <d v="2014-05-31T00:00:00"/>
    <s v="Completed"/>
    <x v="1"/>
    <n v="13020"/>
    <n v="0.60675883256528418"/>
    <n v="0.39324116743471582"/>
    <n v="0"/>
    <n v="1"/>
    <n v="0"/>
    <n v="1"/>
    <n v="0"/>
    <n v="5120"/>
    <n v="13020"/>
    <n v="5120"/>
    <n v="0"/>
    <n v="0"/>
    <n v="0"/>
    <n v="796569"/>
    <n v="468312.54395604396"/>
    <x v="17"/>
    <n v="0"/>
    <n v="1"/>
    <n v="0.23"/>
    <n v="0.01"/>
    <n v="0.19"/>
    <s v="Part of global project including Rakhines. For activities the 58% remaining are for Winter kits and assesment of new sites."/>
  </r>
  <r>
    <x v="11"/>
    <m/>
    <x v="12"/>
    <m/>
    <s v=" WASH activities and distribution of non-food items in the Bhamo camps"/>
    <d v="2012-01-04T00:00:00"/>
    <d v="2012-05-03T00:00:00"/>
    <s v="Completed"/>
    <x v="0"/>
    <n v="7280"/>
    <n v="0"/>
    <n v="1"/>
    <n v="0"/>
    <n v="1"/>
    <n v="0"/>
    <n v="1"/>
    <n v="0"/>
    <n v="4500"/>
    <n v="0"/>
    <n v="7280"/>
    <n v="0"/>
    <n v="0"/>
    <n v="0"/>
    <n v="197000"/>
    <n v="197000"/>
    <x v="0"/>
    <n v="0"/>
    <n v="1"/>
    <n v="0.05"/>
    <n v="0"/>
    <n v="0.95"/>
    <m/>
  </r>
  <r>
    <x v="11"/>
    <m/>
    <x v="1"/>
    <s v="UNICEF/OFDA"/>
    <s v="Water, Sanitation and Hygiene assistance for IDPs affected by the conflict in Southern Kachin State (ECHO/-XA/BUD/2012/91023)"/>
    <d v="2012-07-25T00:00:00"/>
    <d v="2013-06-24T00:00:00"/>
    <s v="Completed"/>
    <x v="0"/>
    <n v="35714"/>
    <n v="0.63162905303242423"/>
    <n v="0.36837094696757577"/>
    <n v="0"/>
    <n v="1"/>
    <n v="0"/>
    <n v="1"/>
    <n v="0"/>
    <n v="13773"/>
    <n v="13667"/>
    <n v="29447"/>
    <n v="0"/>
    <n v="0"/>
    <n v="0"/>
    <n v="504350"/>
    <n v="504350"/>
    <x v="0"/>
    <n v="0"/>
    <n v="1"/>
    <n v="0.39643956684854842"/>
    <n v="5.0268897101294854E-2"/>
    <n v="0.19999887842710617"/>
    <s v="Cofi-UNICEF-CERF//ECHO The reported beneficiaries are under the ECHO Project for both of those project // ----------------------------------------------------------------the remaining 35% for the distribution of Winter Kits"/>
  </r>
  <r>
    <x v="12"/>
    <m/>
    <x v="1"/>
    <m/>
    <s v="Improving water access, hygiene and sanitation conditions of the conflict affected population in Kachin and Rakhine States"/>
    <d v="2014-09-01T00:00:00"/>
    <d v="2015-08-31T00:00:00"/>
    <s v="Active"/>
    <x v="2"/>
    <n v="22403"/>
    <n v="0.64027139222425566"/>
    <n v="0.35972860777574434"/>
    <n v="0"/>
    <n v="1"/>
    <n v="0"/>
    <n v="1"/>
    <n v="0"/>
    <n v="22403"/>
    <n v="22403"/>
    <n v="22403"/>
    <n v="0"/>
    <n v="0"/>
    <n v="0"/>
    <n v="649786"/>
    <n v="0"/>
    <x v="18"/>
    <n v="433785.70879120874"/>
    <n v="1"/>
    <n v="0.36"/>
    <n v="0.02"/>
    <n v="0.62"/>
    <s v="Part of global project including Rakhine State"/>
  </r>
  <r>
    <x v="11"/>
    <m/>
    <x v="13"/>
    <s v="ERF"/>
    <s v="Water, Sanitation and Hygiene rapid response to internal displacements in Kachin and Northern Shan States"/>
    <d v="2014-01-01T00:00:00"/>
    <d v="2014-06-30T00:00:00"/>
    <s v="Completed"/>
    <x v="2"/>
    <n v="3000"/>
    <n v="0.5"/>
    <n v="0.5"/>
    <n v="0"/>
    <n v="1"/>
    <n v="0"/>
    <n v="1"/>
    <n v="0"/>
    <n v="3000"/>
    <n v="3000"/>
    <n v="3000"/>
    <n v="0"/>
    <n v="0"/>
    <n v="0"/>
    <n v="78945"/>
    <n v="0"/>
    <x v="19"/>
    <n v="0"/>
    <n v="1"/>
    <n v="0.33"/>
    <n v="0.33"/>
    <n v="0.33"/>
    <m/>
  </r>
  <r>
    <x v="11"/>
    <m/>
    <x v="13"/>
    <s v="ERF"/>
    <s v="Water, Sanitation and Hygiene rapid response for people affected by conflict induced displacements and natural disasters in Kachin and Northern Shan States"/>
    <d v="2014-09-01T00:00:00"/>
    <d v="2105-08-31T00:00:00"/>
    <s v="Active"/>
    <x v="2"/>
    <n v="5000"/>
    <m/>
    <m/>
    <m/>
    <m/>
    <m/>
    <m/>
    <m/>
    <m/>
    <m/>
    <m/>
    <m/>
    <m/>
    <m/>
    <n v="267190"/>
    <n v="0"/>
    <x v="20"/>
    <n v="266217.25989890477"/>
    <m/>
    <n v="0.3"/>
    <n v="0.3"/>
    <n v="0.4"/>
    <s v="The targeting of beneifciaries cannot be detailed as this project aims at answering to new emergency following displacement or natural hazards"/>
  </r>
  <r>
    <x v="11"/>
    <m/>
    <x v="0"/>
    <s v="OFDA"/>
    <s v="Integrated WaSH assistance to IDPs affected by conflict_x000a_ in Kachin State"/>
    <d v="2013-12-24T00:00:00"/>
    <d v="2014-08-23T00:00:00"/>
    <s v="Completed"/>
    <x v="1"/>
    <n v="11774"/>
    <n v="0.9"/>
    <n v="9.9999999999999978E-2"/>
    <n v="0"/>
    <n v="1"/>
    <n v="0"/>
    <n v="1"/>
    <n v="0"/>
    <n v="11039"/>
    <n v="11774"/>
    <n v="11774"/>
    <n v="0"/>
    <n v="0"/>
    <n v="0"/>
    <n v="320000"/>
    <n v="10578.512396694219"/>
    <x v="21"/>
    <n v="0"/>
    <n v="1"/>
    <n v="0.25"/>
    <n v="0.64"/>
    <n v="0.11"/>
    <m/>
  </r>
  <r>
    <x v="11"/>
    <m/>
    <x v="0"/>
    <s v="Japanese"/>
    <s v="WaSH assistance to IDPs affected by conflict_x000a_ in Kachin State"/>
    <d v="2014-10-16T00:00:00"/>
    <d v="2015-04-15T00:00:00"/>
    <s v="Active"/>
    <x v="2"/>
    <n v="1250"/>
    <n v="0.9"/>
    <n v="9.9999999999999978E-2"/>
    <n v="0"/>
    <n v="1"/>
    <n v="0"/>
    <n v="1"/>
    <n v="0"/>
    <n v="1250"/>
    <n v="1250"/>
    <n v="0"/>
    <n v="0"/>
    <n v="0"/>
    <n v="0"/>
    <n v="249000"/>
    <n v="0"/>
    <x v="22"/>
    <n v="144447.51381215468"/>
    <n v="1"/>
    <n v="0.25"/>
    <n v="0.64"/>
    <n v="0.11"/>
    <m/>
  </r>
  <r>
    <x v="11"/>
    <m/>
    <x v="10"/>
    <m/>
    <s v="Emergency WASH assistance and Food Security and Livelihood support to vulnerable populations affected by conflicts in Rakhine and Kachin States"/>
    <d v="2014-05-01T00:00:00"/>
    <d v="2015-04-30T00:00:00"/>
    <s v="Active"/>
    <x v="2"/>
    <n v="6905"/>
    <n v="0.3"/>
    <n v="0.7"/>
    <n v="0"/>
    <n v="1"/>
    <n v="0"/>
    <n v="1"/>
    <n v="0"/>
    <n v="6905"/>
    <n v="6905"/>
    <n v="6905"/>
    <n v="0"/>
    <n v="0"/>
    <n v="0"/>
    <n v="469947"/>
    <n v="0"/>
    <x v="23"/>
    <n v="154927.58241758242"/>
    <n v="1"/>
    <n v="0.56999999999999995"/>
    <n v="0.16"/>
    <n v="0.12"/>
    <m/>
  </r>
  <r>
    <x v="13"/>
    <s v="KMSS"/>
    <x v="14"/>
    <s v="DIFID"/>
    <s v="WASH activity and distribution of Hygiene Kits in Myitkyina and Lashio"/>
    <d v="2013-07-01T00:00:00"/>
    <d v="2014-03-31T00:00:00"/>
    <s v="Active"/>
    <x v="1"/>
    <n v="9561"/>
    <n v="0.2"/>
    <n v="0.8"/>
    <m/>
    <m/>
    <m/>
    <n v="1"/>
    <n v="0"/>
    <n v="5383"/>
    <n v="1844"/>
    <n v="9066"/>
    <n v="0"/>
    <n v="0"/>
    <n v="0"/>
    <n v="245165"/>
    <n v="165239.41391941393"/>
    <x v="24"/>
    <n v="0"/>
    <n v="1"/>
    <n v="0.38"/>
    <n v="0.11"/>
    <n v="0.51"/>
    <m/>
  </r>
  <r>
    <x v="14"/>
    <m/>
    <x v="15"/>
    <m/>
    <s v="Secondment of a WASH emergency officer to UNICEF for work in Kachin"/>
    <d v="2013-01-03T00:00:00"/>
    <d v="2013-01-31T00:00:00"/>
    <s v="Active"/>
    <x v="1"/>
    <n v="0"/>
    <n v="0.5"/>
    <n v="0.5"/>
    <n v="0.33"/>
    <n v="0.33"/>
    <n v="0.33"/>
    <n v="1"/>
    <n v="0"/>
    <m/>
    <m/>
    <m/>
    <m/>
    <m/>
    <m/>
    <n v="106270"/>
    <n v="106270"/>
    <x v="0"/>
    <n v="0"/>
    <n v="1"/>
    <n v="0.33"/>
    <n v="0.33"/>
    <n v="0.33"/>
    <m/>
  </r>
  <r>
    <x v="14"/>
    <m/>
    <x v="15"/>
    <m/>
    <s v="Secondment of a WASH emergency Capacity building to UNICEF for work in Kachin"/>
    <d v="2014-02-01T00:00:00"/>
    <d v="2014-07-31T00:00:00"/>
    <s v="Active"/>
    <x v="2"/>
    <n v="0"/>
    <n v="0.5"/>
    <n v="0.5"/>
    <n v="0.33"/>
    <n v="0.33"/>
    <n v="0.33"/>
    <n v="1"/>
    <n v="0"/>
    <m/>
    <m/>
    <m/>
    <m/>
    <m/>
    <m/>
    <n v="50000"/>
    <n v="0"/>
    <x v="25"/>
    <n v="0"/>
    <n v="1"/>
    <n v="0.33"/>
    <n v="0.33"/>
    <n v="0.33"/>
    <m/>
  </r>
  <r>
    <x v="14"/>
    <m/>
    <x v="16"/>
    <m/>
    <m/>
    <d v="2012-04-17T00:00:00"/>
    <m/>
    <s v="Completed"/>
    <x v="0"/>
    <n v="86740"/>
    <n v="0.42569748674198754"/>
    <n v="0.56999999999999995"/>
    <n v="0"/>
    <n v="0.26861886096379989"/>
    <n v="0.73"/>
    <n v="1"/>
    <n v="0"/>
    <n v="36740"/>
    <n v="36740"/>
    <n v="36740"/>
    <m/>
    <m/>
    <m/>
    <n v="981022.61"/>
    <n v="981022.61"/>
    <x v="0"/>
    <n v="0"/>
    <m/>
    <m/>
    <m/>
    <m/>
    <m/>
  </r>
  <r>
    <x v="14"/>
    <m/>
    <x v="10"/>
    <m/>
    <m/>
    <d v="2012-08-23T00:00:00"/>
    <d v="2014-09-30T00:00:00"/>
    <s v="Active"/>
    <x v="0"/>
    <n v="89815"/>
    <n v="0.61"/>
    <n v="0.39"/>
    <n v="6.2762344819907584E-2"/>
    <n v="0.60472081500862884"/>
    <n v="0.33500000000000002"/>
    <n v="1"/>
    <n v="0"/>
    <n v="86580"/>
    <n v="86822"/>
    <n v="86822"/>
    <m/>
    <m/>
    <m/>
    <n v="1652740"/>
    <n v="1067394.5833333333"/>
    <x v="26"/>
    <n v="0"/>
    <m/>
    <m/>
    <m/>
    <m/>
    <m/>
  </r>
  <r>
    <x v="14"/>
    <m/>
    <x v="17"/>
    <m/>
    <m/>
    <d v="2014-04-01T00:00:00"/>
    <d v="2015-03-31T00:00:00"/>
    <s v="Active"/>
    <x v="2"/>
    <m/>
    <m/>
    <m/>
    <m/>
    <m/>
    <m/>
    <m/>
    <m/>
    <m/>
    <m/>
    <m/>
    <m/>
    <m/>
    <m/>
    <n v="750000"/>
    <n v="0"/>
    <x v="27"/>
    <n v="185439.56043956045"/>
    <m/>
    <m/>
    <m/>
    <m/>
    <m/>
  </r>
  <r>
    <x v="14"/>
    <m/>
    <x v="16"/>
    <m/>
    <m/>
    <d v="2014-04-01T00:00:00"/>
    <d v="2014-12-31T00:00:00"/>
    <s v="Active"/>
    <x v="2"/>
    <n v="10837"/>
    <n v="0.43323798099104921"/>
    <n v="0.56999999999999995"/>
    <n v="0.23798099104918335"/>
    <n v="0"/>
    <n v="0.76"/>
    <n v="1"/>
    <n v="0"/>
    <n v="10837"/>
    <m/>
    <m/>
    <m/>
    <m/>
    <m/>
    <n v="700000"/>
    <n v="0"/>
    <x v="28"/>
    <n v="0"/>
    <m/>
    <m/>
    <m/>
    <m/>
    <m/>
  </r>
  <r>
    <x v="14"/>
    <m/>
    <x v="16"/>
    <m/>
    <m/>
    <d v="2013-09-16T00:00:00"/>
    <d v="2014-06-30T00:00:00"/>
    <s v="Active"/>
    <x v="1"/>
    <n v="9940"/>
    <n v="0.24557344064386319"/>
    <n v="0.75"/>
    <n v="0.23048289738430583"/>
    <n v="0"/>
    <n v="0.77"/>
    <n v="1"/>
    <n v="0"/>
    <n v="5989"/>
    <n v="5462"/>
    <n v="6137"/>
    <m/>
    <m/>
    <m/>
    <n v="514030"/>
    <n v="191641.84668989549"/>
    <x v="29"/>
    <n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3"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8">
  <location ref="B374:C394" firstHeaderRow="1" firstDataRow="1" firstDataCol="1" rowPageCount="3" colPageCount="1"/>
  <pivotFields count="95">
    <pivotField axis="axisRow" showAll="0">
      <items count="21">
        <item x="11"/>
        <item x="0"/>
        <item x="1"/>
        <item x="2"/>
        <item x="15"/>
        <item x="3"/>
        <item x="10"/>
        <item x="18"/>
        <item x="4"/>
        <item x="5"/>
        <item x="6"/>
        <item x="13"/>
        <item x="7"/>
        <item x="14"/>
        <item x="17"/>
        <item x="8"/>
        <item x="12"/>
        <item m="1" x="19"/>
        <item x="9"/>
        <item x="16"/>
        <item t="default"/>
      </items>
    </pivotField>
    <pivotField showAll="0"/>
    <pivotField showAll="0"/>
    <pivotField showAll="0"/>
    <pivotField showAll="0"/>
    <pivotField showAll="0"/>
    <pivotField axis="axisPage" multipleItemSelectionAllowed="1" showAll="0">
      <items count="4">
        <item x="0"/>
        <item h="1" x="2"/>
        <item h="1" x="1"/>
        <item t="default"/>
      </items>
    </pivotField>
    <pivotField axis="axisPage" multipleItemSelectionAllowed="1"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20">
    <i>
      <x/>
    </i>
    <i>
      <x v="1"/>
    </i>
    <i>
      <x v="2"/>
    </i>
    <i>
      <x v="3"/>
    </i>
    <i>
      <x v="4"/>
    </i>
    <i>
      <x v="5"/>
    </i>
    <i>
      <x v="6"/>
    </i>
    <i>
      <x v="7"/>
    </i>
    <i>
      <x v="8"/>
    </i>
    <i>
      <x v="9"/>
    </i>
    <i>
      <x v="10"/>
    </i>
    <i>
      <x v="11"/>
    </i>
    <i>
      <x v="12"/>
    </i>
    <i>
      <x v="13"/>
    </i>
    <i>
      <x v="14"/>
    </i>
    <i>
      <x v="15"/>
    </i>
    <i>
      <x v="16"/>
    </i>
    <i>
      <x v="18"/>
    </i>
    <i>
      <x v="19"/>
    </i>
    <i t="grand">
      <x/>
    </i>
  </rowItems>
  <colItems count="1">
    <i/>
  </colItems>
  <pageFields count="3">
    <pageField fld="6" hier="-1"/>
    <pageField fld="7" hier="-1"/>
    <pageField fld="19" hier="-1"/>
  </pageFields>
  <dataFields count="1">
    <dataField name="Sum of Coverage Full HK %" fld="90" baseField="0" baseItem="0"/>
  </dataFields>
  <formats count="2">
    <format dxfId="97">
      <pivotArea outline="0" collapsedLevelsAreSubtotals="1" fieldPosition="0"/>
    </format>
    <format dxfId="96">
      <pivotArea outline="0" collapsedLevelsAreSubtotals="1" fieldPosition="0"/>
    </format>
  </formats>
  <chartFormats count="2">
    <chartFormat chart="22" format="0" series="1">
      <pivotArea type="data" outline="0" fieldPosition="0">
        <references count="1">
          <reference field="4294967294" count="1" selected="0">
            <x v="0"/>
          </reference>
        </references>
      </pivotArea>
    </chartFormat>
    <chartFormat chart="27"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2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2">
  <location ref="B351:C364" firstHeaderRow="1" firstDataRow="1" firstDataCol="1" rowPageCount="4" colPageCount="1"/>
  <pivotFields count="95">
    <pivotField axis="axisPage" showAll="0">
      <items count="21">
        <item x="11"/>
        <item x="0"/>
        <item x="1"/>
        <item x="2"/>
        <item x="15"/>
        <item x="3"/>
        <item x="10"/>
        <item x="18"/>
        <item x="4"/>
        <item x="5"/>
        <item x="6"/>
        <item x="13"/>
        <item x="7"/>
        <item x="14"/>
        <item x="17"/>
        <item x="8"/>
        <item x="12"/>
        <item m="1" x="19"/>
        <item x="9"/>
        <item x="16"/>
        <item t="default"/>
      </items>
    </pivotField>
    <pivotField showAll="0"/>
    <pivotField showAll="0"/>
    <pivotField showAll="0"/>
    <pivotField showAll="0"/>
    <pivotField showAll="0"/>
    <pivotField axis="axisPage" multipleItemSelectionAllowed="1" showAll="0">
      <items count="4">
        <item x="0"/>
        <item h="1" x="2"/>
        <item h="1" x="1"/>
        <item t="default"/>
      </items>
    </pivotField>
    <pivotField axis="axisPage" showAll="0">
      <items count="3">
        <item x="0"/>
        <item x="1"/>
        <item t="default"/>
      </items>
    </pivotField>
    <pivotField dataField="1"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0">
        <item x="0"/>
        <item m="1" x="26"/>
        <item x="12"/>
        <item x="1"/>
        <item x="8"/>
        <item x="6"/>
        <item x="11"/>
        <item x="2"/>
        <item x="5"/>
        <item x="7"/>
        <item x="13"/>
        <item x="3"/>
        <item x="9"/>
        <item m="1" x="18"/>
        <item x="10"/>
        <item m="1" x="19"/>
        <item m="1" x="20"/>
        <item m="1" x="21"/>
        <item m="1" x="22"/>
        <item m="1" x="23"/>
        <item m="1" x="24"/>
        <item m="1" x="25"/>
        <item h="1" x="4"/>
        <item h="1" x="14"/>
        <item h="1" x="15"/>
        <item h="1" m="1" x="27"/>
        <item h="1" x="17"/>
        <item h="1" m="1" x="28"/>
        <item h="1" x="16"/>
        <item t="default"/>
      </items>
    </pivotField>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6"/>
  </rowFields>
  <rowItems count="13">
    <i>
      <x/>
    </i>
    <i>
      <x v="2"/>
    </i>
    <i>
      <x v="3"/>
    </i>
    <i>
      <x v="4"/>
    </i>
    <i>
      <x v="5"/>
    </i>
    <i>
      <x v="6"/>
    </i>
    <i>
      <x v="7"/>
    </i>
    <i>
      <x v="8"/>
    </i>
    <i>
      <x v="9"/>
    </i>
    <i>
      <x v="10"/>
    </i>
    <i>
      <x v="11"/>
    </i>
    <i>
      <x v="12"/>
    </i>
    <i t="grand">
      <x/>
    </i>
  </rowItems>
  <colItems count="1">
    <i/>
  </colItems>
  <pageFields count="4">
    <pageField fld="6" hier="-1"/>
    <pageField fld="0" hier="-1"/>
    <pageField fld="7" hier="-1"/>
    <pageField fld="19" hier="-1"/>
  </pageFields>
  <dataFields count="1">
    <dataField name="Nb of Familly affected" fld="8" baseField="74" baseItem="0" numFmtId="3"/>
  </dataFields>
  <formats count="6">
    <format dxfId="156">
      <pivotArea outline="0" collapsedLevelsAreSubtotals="1" fieldPosition="0"/>
    </format>
    <format dxfId="155">
      <pivotArea outline="0" collapsedLevelsAreSubtotals="1" fieldPosition="0"/>
    </format>
    <format dxfId="154">
      <pivotArea collapsedLevelsAreSubtotals="1" fieldPosition="0">
        <references count="1">
          <reference field="76" count="0"/>
        </references>
      </pivotArea>
    </format>
    <format dxfId="153">
      <pivotArea dataOnly="0" labelOnly="1" fieldPosition="0">
        <references count="1">
          <reference field="76" count="0"/>
        </references>
      </pivotArea>
    </format>
    <format dxfId="152">
      <pivotArea outline="0" fieldPosition="0">
        <references count="1">
          <reference field="4294967294" count="1">
            <x v="0"/>
          </reference>
        </references>
      </pivotArea>
    </format>
    <format dxfId="151">
      <pivotArea dataOnly="0" labelOnly="1" outline="0" axis="axisValues" fieldPosition="0"/>
    </format>
  </formats>
  <chartFormats count="22">
    <chartFormat chart="20" format="0" series="1">
      <pivotArea type="data" outline="0" fieldPosition="0">
        <references count="1">
          <reference field="4294967294" count="1" selected="0">
            <x v="0"/>
          </reference>
        </references>
      </pivotArea>
    </chartFormat>
    <chartFormat chart="20" format="1">
      <pivotArea type="data" outline="0" fieldPosition="0">
        <references count="2">
          <reference field="4294967294" count="1" selected="0">
            <x v="0"/>
          </reference>
          <reference field="76" count="1" selected="0">
            <x v="0"/>
          </reference>
        </references>
      </pivotArea>
    </chartFormat>
    <chartFormat chart="20" format="2">
      <pivotArea type="data" outline="0" fieldPosition="0">
        <references count="2">
          <reference field="4294967294" count="1" selected="0">
            <x v="0"/>
          </reference>
          <reference field="76" count="1" selected="0">
            <x v="2"/>
          </reference>
        </references>
      </pivotArea>
    </chartFormat>
    <chartFormat chart="20" format="3">
      <pivotArea type="data" outline="0" fieldPosition="0">
        <references count="2">
          <reference field="4294967294" count="1" selected="0">
            <x v="0"/>
          </reference>
          <reference field="76" count="1" selected="0">
            <x v="3"/>
          </reference>
        </references>
      </pivotArea>
    </chartFormat>
    <chartFormat chart="20" format="4">
      <pivotArea type="data" outline="0" fieldPosition="0">
        <references count="2">
          <reference field="4294967294" count="1" selected="0">
            <x v="0"/>
          </reference>
          <reference field="76" count="1" selected="0">
            <x v="4"/>
          </reference>
        </references>
      </pivotArea>
    </chartFormat>
    <chartFormat chart="20" format="5">
      <pivotArea type="data" outline="0" fieldPosition="0">
        <references count="2">
          <reference field="4294967294" count="1" selected="0">
            <x v="0"/>
          </reference>
          <reference field="76" count="1" selected="0">
            <x v="5"/>
          </reference>
        </references>
      </pivotArea>
    </chartFormat>
    <chartFormat chart="20" format="6">
      <pivotArea type="data" outline="0" fieldPosition="0">
        <references count="2">
          <reference field="4294967294" count="1" selected="0">
            <x v="0"/>
          </reference>
          <reference field="76" count="1" selected="0">
            <x v="6"/>
          </reference>
        </references>
      </pivotArea>
    </chartFormat>
    <chartFormat chart="20" format="7">
      <pivotArea type="data" outline="0" fieldPosition="0">
        <references count="2">
          <reference field="4294967294" count="1" selected="0">
            <x v="0"/>
          </reference>
          <reference field="76" count="1" selected="0">
            <x v="7"/>
          </reference>
        </references>
      </pivotArea>
    </chartFormat>
    <chartFormat chart="20" format="8">
      <pivotArea type="data" outline="0" fieldPosition="0">
        <references count="2">
          <reference field="4294967294" count="1" selected="0">
            <x v="0"/>
          </reference>
          <reference field="76" count="1" selected="0">
            <x v="10"/>
          </reference>
        </references>
      </pivotArea>
    </chartFormat>
    <chartFormat chart="20" format="9">
      <pivotArea type="data" outline="0" fieldPosition="0">
        <references count="2">
          <reference field="4294967294" count="1" selected="0">
            <x v="0"/>
          </reference>
          <reference field="76" count="1" selected="0">
            <x v="11"/>
          </reference>
        </references>
      </pivotArea>
    </chartFormat>
    <chartFormat chart="20" format="10">
      <pivotArea type="data" outline="0" fieldPosition="0">
        <references count="2">
          <reference field="4294967294" count="1" selected="0">
            <x v="0"/>
          </reference>
          <reference field="76" count="1" selected="0">
            <x v="12"/>
          </reference>
        </references>
      </pivotArea>
    </chartFormat>
    <chartFormat chart="20" format="11">
      <pivotArea type="data" outline="0" fieldPosition="0">
        <references count="2">
          <reference field="4294967294" count="1" selected="0">
            <x v="0"/>
          </reference>
          <reference field="76" count="1" selected="0">
            <x v="13"/>
          </reference>
        </references>
      </pivotArea>
    </chartFormat>
    <chartFormat chart="20" format="12">
      <pivotArea type="data" outline="0" fieldPosition="0">
        <references count="2">
          <reference field="4294967294" count="1" selected="0">
            <x v="0"/>
          </reference>
          <reference field="76" count="1" selected="0">
            <x v="16"/>
          </reference>
        </references>
      </pivotArea>
    </chartFormat>
    <chartFormat chart="20" format="13">
      <pivotArea type="data" outline="0" fieldPosition="0">
        <references count="2">
          <reference field="4294967294" count="1" selected="0">
            <x v="0"/>
          </reference>
          <reference field="76" count="1" selected="0">
            <x v="20"/>
          </reference>
        </references>
      </pivotArea>
    </chartFormat>
    <chartFormat chart="20" format="14">
      <pivotArea type="data" outline="0" fieldPosition="0">
        <references count="2">
          <reference field="4294967294" count="1" selected="0">
            <x v="0"/>
          </reference>
          <reference field="76" count="1" selected="0">
            <x v="21"/>
          </reference>
        </references>
      </pivotArea>
    </chartFormat>
    <chartFormat chart="20" format="15">
      <pivotArea type="data" outline="0" fieldPosition="0">
        <references count="2">
          <reference field="4294967294" count="1" selected="0">
            <x v="0"/>
          </reference>
          <reference field="76" count="1" selected="0">
            <x v="22"/>
          </reference>
        </references>
      </pivotArea>
    </chartFormat>
    <chartFormat chart="20" format="17">
      <pivotArea type="data" outline="0" fieldPosition="0">
        <references count="2">
          <reference field="4294967294" count="1" selected="0">
            <x v="0"/>
          </reference>
          <reference field="76" count="1" selected="0">
            <x v="8"/>
          </reference>
        </references>
      </pivotArea>
    </chartFormat>
    <chartFormat chart="20" format="18">
      <pivotArea type="data" outline="0" fieldPosition="0">
        <references count="2">
          <reference field="4294967294" count="1" selected="0">
            <x v="0"/>
          </reference>
          <reference field="76" count="1" selected="0">
            <x v="1"/>
          </reference>
        </references>
      </pivotArea>
    </chartFormat>
    <chartFormat chart="20" format="19">
      <pivotArea type="data" outline="0" fieldPosition="0">
        <references count="2">
          <reference field="4294967294" count="1" selected="0">
            <x v="0"/>
          </reference>
          <reference field="76" count="1" selected="0">
            <x v="9"/>
          </reference>
        </references>
      </pivotArea>
    </chartFormat>
    <chartFormat chart="20" format="20">
      <pivotArea type="data" outline="0" fieldPosition="0">
        <references count="2">
          <reference field="4294967294" count="1" selected="0">
            <x v="0"/>
          </reference>
          <reference field="76" count="1" selected="0">
            <x v="14"/>
          </reference>
        </references>
      </pivotArea>
    </chartFormat>
    <chartFormat chart="20" format="21">
      <pivotArea type="data" outline="0" fieldPosition="0">
        <references count="2">
          <reference field="4294967294" count="1" selected="0">
            <x v="0"/>
          </reference>
          <reference field="76" count="1" selected="0">
            <x v="17"/>
          </reference>
        </references>
      </pivotArea>
    </chartFormat>
    <chartFormat chart="20" format="22">
      <pivotArea type="data" outline="0" fieldPosition="0">
        <references count="2">
          <reference field="4294967294" count="1" selected="0">
            <x v="0"/>
          </reference>
          <reference field="76" count="1" selected="0">
            <x v="1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2">
  <location ref="B721:F837" firstHeaderRow="0" firstDataRow="1" firstDataCol="1" rowPageCount="2" colPageCount="1"/>
  <pivotFields count="95">
    <pivotField axis="axisRow" showAll="0">
      <items count="21">
        <item x="11"/>
        <item x="0"/>
        <item x="1"/>
        <item x="2"/>
        <item x="15"/>
        <item x="3"/>
        <item x="10"/>
        <item x="18"/>
        <item x="4"/>
        <item x="5"/>
        <item x="6"/>
        <item x="13"/>
        <item x="7"/>
        <item x="14"/>
        <item x="17"/>
        <item x="8"/>
        <item x="12"/>
        <item m="1" x="19"/>
        <item x="9"/>
        <item x="16"/>
        <item t="default"/>
      </items>
    </pivotField>
    <pivotField showAll="0"/>
    <pivotField axis="axisPage" showAll="0">
      <items count="11">
        <item x="1"/>
        <item x="5"/>
        <item x="2"/>
        <item x="6"/>
        <item x="4"/>
        <item x="3"/>
        <item x="7"/>
        <item x="8"/>
        <item x="9"/>
        <item x="0"/>
        <item t="default"/>
      </items>
    </pivotField>
    <pivotField showAll="0"/>
    <pivotField showAll="0"/>
    <pivotField showAll="0"/>
    <pivotField axis="axisRow" dataField="1" multipleItemSelectionAllowed="1" showAll="0">
      <items count="4">
        <item x="0"/>
        <item x="2"/>
        <item x="1"/>
        <item t="default"/>
      </items>
    </pivotField>
    <pivotField axis="axisPage" showAll="0">
      <items count="3">
        <item x="0"/>
        <item x="1"/>
        <item t="default"/>
      </items>
    </pivotField>
    <pivotField showAll="0"/>
    <pivotField showAll="0"/>
    <pivotField dataField="1" showAll="0"/>
    <pivotField showAll="0"/>
    <pivotField showAll="0"/>
    <pivotField axis="axisRow" showAll="0">
      <items count="10">
        <item x="5"/>
        <item x="1"/>
        <item x="2"/>
        <item x="4"/>
        <item x="3"/>
        <item x="8"/>
        <item x="0"/>
        <item x="7"/>
        <item x="6"/>
        <item t="default"/>
      </items>
    </pivotField>
    <pivotField showAll="0" defaultSubtotal="0"/>
    <pivotField showAll="0"/>
    <pivotField showAll="0"/>
    <pivotField showAll="0"/>
    <pivotField showAll="0"/>
    <pivotField showAll="0" defaultSubtotal="0"/>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3">
    <field x="13"/>
    <field x="0"/>
    <field x="6"/>
  </rowFields>
  <rowItems count="116">
    <i>
      <x/>
    </i>
    <i r="1">
      <x/>
    </i>
    <i r="2">
      <x v="2"/>
    </i>
    <i r="1">
      <x v="6"/>
    </i>
    <i r="2">
      <x/>
    </i>
    <i r="1">
      <x v="10"/>
    </i>
    <i r="2">
      <x v="2"/>
    </i>
    <i>
      <x v="1"/>
    </i>
    <i r="1">
      <x v="1"/>
    </i>
    <i r="2">
      <x/>
    </i>
    <i r="1">
      <x v="2"/>
    </i>
    <i r="2">
      <x/>
    </i>
    <i r="1">
      <x v="5"/>
    </i>
    <i r="2">
      <x/>
    </i>
    <i r="1">
      <x v="8"/>
    </i>
    <i r="2">
      <x/>
    </i>
    <i r="1">
      <x v="9"/>
    </i>
    <i r="2">
      <x/>
    </i>
    <i r="1">
      <x v="10"/>
    </i>
    <i r="2">
      <x/>
    </i>
    <i r="1">
      <x v="12"/>
    </i>
    <i r="2">
      <x/>
    </i>
    <i r="1">
      <x v="15"/>
    </i>
    <i r="2">
      <x/>
    </i>
    <i r="2">
      <x v="2"/>
    </i>
    <i r="1">
      <x v="18"/>
    </i>
    <i r="2">
      <x/>
    </i>
    <i>
      <x v="2"/>
    </i>
    <i r="1">
      <x v="1"/>
    </i>
    <i r="2">
      <x/>
    </i>
    <i r="2">
      <x v="1"/>
    </i>
    <i r="1">
      <x v="2"/>
    </i>
    <i r="2">
      <x/>
    </i>
    <i r="1">
      <x v="4"/>
    </i>
    <i r="2">
      <x/>
    </i>
    <i r="1">
      <x v="7"/>
    </i>
    <i r="2">
      <x/>
    </i>
    <i r="2">
      <x v="2"/>
    </i>
    <i r="1">
      <x v="9"/>
    </i>
    <i r="2">
      <x/>
    </i>
    <i r="1">
      <x v="10"/>
    </i>
    <i r="2">
      <x/>
    </i>
    <i r="1">
      <x v="12"/>
    </i>
    <i r="2">
      <x/>
    </i>
    <i r="1">
      <x v="18"/>
    </i>
    <i r="2">
      <x/>
    </i>
    <i>
      <x v="3"/>
    </i>
    <i r="1">
      <x/>
    </i>
    <i r="2">
      <x/>
    </i>
    <i r="1">
      <x v="4"/>
    </i>
    <i r="2">
      <x/>
    </i>
    <i r="1">
      <x v="6"/>
    </i>
    <i r="2">
      <x/>
    </i>
    <i r="1">
      <x v="7"/>
    </i>
    <i r="2">
      <x/>
    </i>
    <i r="1">
      <x v="10"/>
    </i>
    <i r="2">
      <x/>
    </i>
    <i r="1">
      <x v="11"/>
    </i>
    <i r="2">
      <x/>
    </i>
    <i r="1">
      <x v="13"/>
    </i>
    <i r="2">
      <x/>
    </i>
    <i r="1">
      <x v="14"/>
    </i>
    <i r="2">
      <x/>
    </i>
    <i r="1">
      <x v="16"/>
    </i>
    <i r="2">
      <x/>
    </i>
    <i r="1">
      <x v="18"/>
    </i>
    <i r="2">
      <x/>
    </i>
    <i r="2">
      <x v="1"/>
    </i>
    <i r="2">
      <x v="2"/>
    </i>
    <i r="1">
      <x v="19"/>
    </i>
    <i r="2">
      <x/>
    </i>
    <i>
      <x v="4"/>
    </i>
    <i r="1">
      <x v="2"/>
    </i>
    <i r="2">
      <x/>
    </i>
    <i r="1">
      <x v="3"/>
    </i>
    <i r="2">
      <x/>
    </i>
    <i r="1">
      <x v="6"/>
    </i>
    <i r="2">
      <x v="2"/>
    </i>
    <i r="1">
      <x v="10"/>
    </i>
    <i r="2">
      <x v="2"/>
    </i>
    <i r="1">
      <x v="12"/>
    </i>
    <i r="2">
      <x v="2"/>
    </i>
    <i r="1">
      <x v="15"/>
    </i>
    <i r="2">
      <x v="2"/>
    </i>
    <i r="1">
      <x v="16"/>
    </i>
    <i r="2">
      <x v="2"/>
    </i>
    <i>
      <x v="5"/>
    </i>
    <i r="1">
      <x v="6"/>
    </i>
    <i r="2">
      <x/>
    </i>
    <i r="1">
      <x v="11"/>
    </i>
    <i r="2">
      <x/>
    </i>
    <i r="1">
      <x v="13"/>
    </i>
    <i r="2">
      <x/>
    </i>
    <i>
      <x v="6"/>
    </i>
    <i r="1">
      <x v="1"/>
    </i>
    <i r="2">
      <x/>
    </i>
    <i r="1">
      <x v="2"/>
    </i>
    <i r="2">
      <x/>
    </i>
    <i r="1">
      <x v="12"/>
    </i>
    <i r="2">
      <x/>
    </i>
    <i r="1">
      <x v="18"/>
    </i>
    <i r="2">
      <x/>
    </i>
    <i>
      <x v="7"/>
    </i>
    <i r="1">
      <x/>
    </i>
    <i r="2">
      <x/>
    </i>
    <i r="1">
      <x v="10"/>
    </i>
    <i r="2">
      <x/>
    </i>
    <i r="2">
      <x v="1"/>
    </i>
    <i>
      <x v="8"/>
    </i>
    <i r="1">
      <x v="6"/>
    </i>
    <i r="2">
      <x/>
    </i>
    <i r="1">
      <x v="10"/>
    </i>
    <i r="2">
      <x/>
    </i>
    <i r="2">
      <x v="1"/>
    </i>
    <i r="2">
      <x v="2"/>
    </i>
    <i t="grand">
      <x/>
    </i>
  </rowItems>
  <colFields count="1">
    <field x="-2"/>
  </colFields>
  <colItems count="4">
    <i>
      <x/>
    </i>
    <i i="1">
      <x v="1"/>
    </i>
    <i i="2">
      <x v="2"/>
    </i>
    <i i="3">
      <x v="3"/>
    </i>
  </colItems>
  <pageFields count="2">
    <pageField fld="7" hier="-1"/>
    <pageField fld="2" hier="-1"/>
  </pageFields>
  <dataFields count="4">
    <dataField name="Nb of sites" fld="6" subtotal="count" baseField="0" baseItem="0"/>
    <dataField name="Population targetted" fld="10" baseField="0" baseItem="0"/>
    <dataField name="% Water Need coverage" fld="85" baseField="0" baseItem="0" numFmtId="9"/>
    <dataField name="% Latrine need coverage" fld="86" baseField="0" baseItem="0"/>
  </dataFields>
  <formats count="45">
    <format dxfId="201">
      <pivotArea outline="0" collapsedLevelsAreSubtotals="1" fieldPosition="0"/>
    </format>
    <format dxfId="200">
      <pivotArea outline="0" collapsedLevelsAreSubtotals="1" fieldPosition="0"/>
    </format>
    <format dxfId="199">
      <pivotArea outline="0" collapsedLevelsAreSubtotals="1" fieldPosition="0"/>
    </format>
    <format dxfId="198">
      <pivotArea outline="0" collapsedLevelsAreSubtotals="1" fieldPosition="0">
        <references count="2">
          <reference field="4294967294" count="2" selected="0">
            <x v="2"/>
            <x v="3"/>
          </reference>
          <reference field="6" count="1" selected="0">
            <x v="0"/>
          </reference>
        </references>
      </pivotArea>
    </format>
    <format dxfId="197">
      <pivotArea dataOnly="0" labelOnly="1" fieldPosition="0">
        <references count="1">
          <reference field="6" count="1">
            <x v="1"/>
          </reference>
        </references>
      </pivotArea>
    </format>
    <format dxfId="196">
      <pivotArea dataOnly="0" labelOnly="1" fieldPosition="0">
        <references count="1">
          <reference field="6" count="1">
            <x v="0"/>
          </reference>
        </references>
      </pivotArea>
    </format>
    <format dxfId="195">
      <pivotArea outline="0" collapsedLevelsAreSubtotals="1" fieldPosition="0">
        <references count="2">
          <reference field="4294967294" count="2" selected="0">
            <x v="2"/>
            <x v="3"/>
          </reference>
          <reference field="6" count="1" selected="0">
            <x v="1"/>
          </reference>
        </references>
      </pivotArea>
    </format>
    <format dxfId="194">
      <pivotArea outline="0" fieldPosition="0">
        <references count="1">
          <reference field="4294967294" count="1">
            <x v="2"/>
          </reference>
        </references>
      </pivotArea>
    </format>
    <format dxfId="193">
      <pivotArea field="13" type="button" dataOnly="0" labelOnly="1" outline="0" axis="axisRow" fieldPosition="0"/>
    </format>
    <format dxfId="192">
      <pivotArea field="6" dataOnly="0" labelOnly="1" outline="0" axis="axisRow" fieldPosition="2">
        <references count="1">
          <reference field="4294967294" count="1" selected="0">
            <x v="0"/>
          </reference>
        </references>
      </pivotArea>
    </format>
    <format dxfId="191">
      <pivotArea field="6" dataOnly="0" labelOnly="1" outline="0" axis="axisRow" fieldPosition="2">
        <references count="1">
          <reference field="4294967294" count="1" selected="0">
            <x v="1"/>
          </reference>
        </references>
      </pivotArea>
    </format>
    <format dxfId="190">
      <pivotArea field="6" dataOnly="0" labelOnly="1" outline="0" axis="axisRow" fieldPosition="2">
        <references count="1">
          <reference field="4294967294" count="1" selected="0">
            <x v="2"/>
          </reference>
        </references>
      </pivotArea>
    </format>
    <format dxfId="189">
      <pivotArea field="6" dataOnly="0" labelOnly="1" outline="0" axis="axisRow" fieldPosition="2">
        <references count="1">
          <reference field="4294967294" count="1" selected="0">
            <x v="3"/>
          </reference>
        </references>
      </pivotArea>
    </format>
    <format dxfId="188">
      <pivotArea dataOnly="0" labelOnly="1" outline="0" fieldPosition="0">
        <references count="2">
          <reference field="4294967294" count="4">
            <x v="0"/>
            <x v="1"/>
            <x v="2"/>
            <x v="3"/>
          </reference>
          <reference field="6" count="1" selected="0">
            <x v="0"/>
          </reference>
        </references>
      </pivotArea>
    </format>
    <format dxfId="187">
      <pivotArea dataOnly="0" labelOnly="1" outline="0" fieldPosition="0">
        <references count="2">
          <reference field="4294967294" count="4">
            <x v="0"/>
            <x v="1"/>
            <x v="2"/>
            <x v="3"/>
          </reference>
          <reference field="6" count="1" selected="0">
            <x v="1"/>
          </reference>
        </references>
      </pivotArea>
    </format>
    <format dxfId="186">
      <pivotArea dataOnly="0" labelOnly="1" outline="0" fieldPosition="0">
        <references count="2">
          <reference field="4294967294" count="4">
            <x v="0"/>
            <x v="1"/>
            <x v="2"/>
            <x v="3"/>
          </reference>
          <reference field="6" count="1" selected="0">
            <x v="2"/>
          </reference>
        </references>
      </pivotArea>
    </format>
    <format dxfId="185">
      <pivotArea field="13" type="button" dataOnly="0" labelOnly="1" outline="0" axis="axisRow" fieldPosition="0"/>
    </format>
    <format dxfId="184">
      <pivotArea field="6" dataOnly="0" labelOnly="1" outline="0" axis="axisRow" fieldPosition="2">
        <references count="1">
          <reference field="4294967294" count="1" selected="0">
            <x v="0"/>
          </reference>
        </references>
      </pivotArea>
    </format>
    <format dxfId="183">
      <pivotArea field="6" dataOnly="0" labelOnly="1" outline="0" axis="axisRow" fieldPosition="2">
        <references count="1">
          <reference field="4294967294" count="1" selected="0">
            <x v="1"/>
          </reference>
        </references>
      </pivotArea>
    </format>
    <format dxfId="182">
      <pivotArea field="6" dataOnly="0" labelOnly="1" outline="0" axis="axisRow" fieldPosition="2">
        <references count="1">
          <reference field="4294967294" count="1" selected="0">
            <x v="2"/>
          </reference>
        </references>
      </pivotArea>
    </format>
    <format dxfId="181">
      <pivotArea field="6" dataOnly="0" labelOnly="1" outline="0" axis="axisRow" fieldPosition="2">
        <references count="1">
          <reference field="4294967294" count="1" selected="0">
            <x v="3"/>
          </reference>
        </references>
      </pivotArea>
    </format>
    <format dxfId="180">
      <pivotArea dataOnly="0" labelOnly="1" outline="0" fieldPosition="0">
        <references count="2">
          <reference field="4294967294" count="4">
            <x v="0"/>
            <x v="1"/>
            <x v="2"/>
            <x v="3"/>
          </reference>
          <reference field="6" count="1" selected="0">
            <x v="0"/>
          </reference>
        </references>
      </pivotArea>
    </format>
    <format dxfId="179">
      <pivotArea dataOnly="0" labelOnly="1" outline="0" fieldPosition="0">
        <references count="2">
          <reference field="4294967294" count="4">
            <x v="0"/>
            <x v="1"/>
            <x v="2"/>
            <x v="3"/>
          </reference>
          <reference field="6" count="1" selected="0">
            <x v="1"/>
          </reference>
        </references>
      </pivotArea>
    </format>
    <format dxfId="178">
      <pivotArea dataOnly="0" labelOnly="1" outline="0" fieldPosition="0">
        <references count="2">
          <reference field="4294967294" count="4">
            <x v="0"/>
            <x v="1"/>
            <x v="2"/>
            <x v="3"/>
          </reference>
          <reference field="6" count="1" selected="0">
            <x v="2"/>
          </reference>
        </references>
      </pivotArea>
    </format>
    <format dxfId="177">
      <pivotArea field="13" type="button" dataOnly="0" labelOnly="1" outline="0" axis="axisRow" fieldPosition="0"/>
    </format>
    <format dxfId="176">
      <pivotArea field="6" dataOnly="0" labelOnly="1" outline="0" axis="axisRow" fieldPosition="2">
        <references count="1">
          <reference field="4294967294" count="1" selected="0">
            <x v="0"/>
          </reference>
        </references>
      </pivotArea>
    </format>
    <format dxfId="175">
      <pivotArea field="6" dataOnly="0" labelOnly="1" outline="0" axis="axisRow" fieldPosition="2">
        <references count="1">
          <reference field="4294967294" count="1" selected="0">
            <x v="1"/>
          </reference>
        </references>
      </pivotArea>
    </format>
    <format dxfId="174">
      <pivotArea field="6" dataOnly="0" labelOnly="1" outline="0" axis="axisRow" fieldPosition="2">
        <references count="1">
          <reference field="4294967294" count="1" selected="0">
            <x v="2"/>
          </reference>
        </references>
      </pivotArea>
    </format>
    <format dxfId="173">
      <pivotArea field="6" dataOnly="0" labelOnly="1" outline="0" axis="axisRow" fieldPosition="2">
        <references count="1">
          <reference field="4294967294" count="1" selected="0">
            <x v="3"/>
          </reference>
        </references>
      </pivotArea>
    </format>
    <format dxfId="172">
      <pivotArea dataOnly="0" labelOnly="1" outline="0" fieldPosition="0">
        <references count="2">
          <reference field="4294967294" count="4">
            <x v="0"/>
            <x v="1"/>
            <x v="2"/>
            <x v="3"/>
          </reference>
          <reference field="6" count="1" selected="0">
            <x v="0"/>
          </reference>
        </references>
      </pivotArea>
    </format>
    <format dxfId="171">
      <pivotArea dataOnly="0" labelOnly="1" outline="0" fieldPosition="0">
        <references count="2">
          <reference field="4294967294" count="4">
            <x v="0"/>
            <x v="1"/>
            <x v="2"/>
            <x v="3"/>
          </reference>
          <reference field="6" count="1" selected="0">
            <x v="1"/>
          </reference>
        </references>
      </pivotArea>
    </format>
    <format dxfId="170">
      <pivotArea dataOnly="0" labelOnly="1" outline="0" fieldPosition="0">
        <references count="2">
          <reference field="4294967294" count="4">
            <x v="0"/>
            <x v="1"/>
            <x v="2"/>
            <x v="3"/>
          </reference>
          <reference field="6" count="1" selected="0">
            <x v="2"/>
          </reference>
        </references>
      </pivotArea>
    </format>
    <format dxfId="169">
      <pivotArea field="13" type="button" dataOnly="0" labelOnly="1" outline="0" axis="axisRow" fieldPosition="0"/>
    </format>
    <format dxfId="168">
      <pivotArea field="6" dataOnly="0" labelOnly="1" outline="0" axis="axisRow" fieldPosition="2">
        <references count="1">
          <reference field="4294967294" count="1" selected="0">
            <x v="0"/>
          </reference>
        </references>
      </pivotArea>
    </format>
    <format dxfId="167">
      <pivotArea field="6" dataOnly="0" labelOnly="1" outline="0" axis="axisRow" fieldPosition="2">
        <references count="1">
          <reference field="4294967294" count="1" selected="0">
            <x v="1"/>
          </reference>
        </references>
      </pivotArea>
    </format>
    <format dxfId="166">
      <pivotArea field="6" dataOnly="0" labelOnly="1" outline="0" axis="axisRow" fieldPosition="2">
        <references count="1">
          <reference field="4294967294" count="1" selected="0">
            <x v="2"/>
          </reference>
        </references>
      </pivotArea>
    </format>
    <format dxfId="165">
      <pivotArea field="6" dataOnly="0" labelOnly="1" outline="0" axis="axisRow" fieldPosition="2">
        <references count="1">
          <reference field="4294967294" count="1" selected="0">
            <x v="3"/>
          </reference>
        </references>
      </pivotArea>
    </format>
    <format dxfId="164">
      <pivotArea dataOnly="0" labelOnly="1" outline="0" fieldPosition="0">
        <references count="2">
          <reference field="4294967294" count="4">
            <x v="0"/>
            <x v="1"/>
            <x v="2"/>
            <x v="3"/>
          </reference>
          <reference field="6" count="1" selected="0">
            <x v="0"/>
          </reference>
        </references>
      </pivotArea>
    </format>
    <format dxfId="163">
      <pivotArea dataOnly="0" labelOnly="1" outline="0" fieldPosition="0">
        <references count="2">
          <reference field="4294967294" count="4">
            <x v="0"/>
            <x v="1"/>
            <x v="2"/>
            <x v="3"/>
          </reference>
          <reference field="6" count="1" selected="0">
            <x v="1"/>
          </reference>
        </references>
      </pivotArea>
    </format>
    <format dxfId="162">
      <pivotArea dataOnly="0" labelOnly="1" outline="0" fieldPosition="0">
        <references count="2">
          <reference field="4294967294" count="4">
            <x v="0"/>
            <x v="1"/>
            <x v="2"/>
            <x v="3"/>
          </reference>
          <reference field="6" count="1" selected="0">
            <x v="2"/>
          </reference>
        </references>
      </pivotArea>
    </format>
    <format dxfId="161">
      <pivotArea field="6" outline="0" collapsedLevelsAreSubtotals="1" axis="axisRow" fieldPosition="2">
        <references count="1">
          <reference field="4294967294" count="1" selected="0">
            <x v="3"/>
          </reference>
        </references>
      </pivotArea>
    </format>
    <format dxfId="160">
      <pivotArea dataOnly="0" labelOnly="1" outline="0" fieldPosition="0">
        <references count="1">
          <reference field="4294967294" count="4">
            <x v="0"/>
            <x v="1"/>
            <x v="2"/>
            <x v="3"/>
          </reference>
        </references>
      </pivotArea>
    </format>
    <format dxfId="159">
      <pivotArea dataOnly="0" labelOnly="1" outline="0" fieldPosition="0">
        <references count="1">
          <reference field="4294967294" count="4">
            <x v="0"/>
            <x v="1"/>
            <x v="2"/>
            <x v="3"/>
          </reference>
        </references>
      </pivotArea>
    </format>
    <format dxfId="158">
      <pivotArea dataOnly="0" labelOnly="1" outline="0" fieldPosition="0">
        <references count="1">
          <reference field="4294967294" count="4">
            <x v="0"/>
            <x v="1"/>
            <x v="2"/>
            <x v="3"/>
          </reference>
        </references>
      </pivotArea>
    </format>
    <format dxfId="157">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3"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8">
  <location ref="B137:E141" firstHeaderRow="0" firstDataRow="1" firstDataCol="1" rowPageCount="3" colPageCount="1"/>
  <pivotFields count="95">
    <pivotField axis="axisPage" showAll="0">
      <items count="21">
        <item x="11"/>
        <item x="0"/>
        <item x="1"/>
        <item x="2"/>
        <item x="15"/>
        <item x="3"/>
        <item x="10"/>
        <item x="18"/>
        <item x="4"/>
        <item x="5"/>
        <item x="6"/>
        <item x="13"/>
        <item x="7"/>
        <item x="14"/>
        <item x="17"/>
        <item x="8"/>
        <item x="12"/>
        <item m="1" x="19"/>
        <item x="9"/>
        <item x="16"/>
        <item t="default"/>
      </items>
    </pivotField>
    <pivotField showAll="0"/>
    <pivotField showAll="0"/>
    <pivotField showAll="0"/>
    <pivotField showAll="0"/>
    <pivotField showAll="0"/>
    <pivotField axis="axisRow" multipleItemSelectionAllowed="1" showAll="0">
      <items count="4">
        <item x="0"/>
        <item x="2"/>
        <item x="1"/>
        <item t="default"/>
      </items>
    </pivotField>
    <pivotField axis="axisPage"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6"/>
  </rowFields>
  <rowItems count="4">
    <i>
      <x/>
    </i>
    <i>
      <x v="1"/>
    </i>
    <i>
      <x v="2"/>
    </i>
    <i t="grand">
      <x/>
    </i>
  </rowItems>
  <colFields count="1">
    <field x="-2"/>
  </colFields>
  <colItems count="3">
    <i>
      <x/>
    </i>
    <i i="1">
      <x v="1"/>
    </i>
    <i i="2">
      <x v="2"/>
    </i>
  </colItems>
  <pageFields count="3">
    <pageField fld="7" hier="-1"/>
    <pageField fld="0" hier="-1"/>
    <pageField fld="19" hier="-1"/>
  </pageFields>
  <dataFields count="3">
    <dataField name="% Water Need coverage" fld="85" baseField="0" baseItem="0" numFmtId="1"/>
    <dataField name="% Latrine need coverage" fld="86" baseField="0" baseItem="0" numFmtId="1"/>
    <dataField name="% Bathroom need coverage" fld="87" baseField="0" baseItem="0" numFmtId="1"/>
  </dataFields>
  <formats count="5">
    <format dxfId="206">
      <pivotArea outline="0" collapsedLevelsAreSubtotals="1" fieldPosition="0"/>
    </format>
    <format dxfId="205">
      <pivotArea field="6" type="button" dataOnly="0" labelOnly="1" outline="0" axis="axisRow" fieldPosition="0"/>
    </format>
    <format dxfId="204">
      <pivotArea dataOnly="0" labelOnly="1" outline="0" fieldPosition="0">
        <references count="1">
          <reference field="4294967294" count="3">
            <x v="0"/>
            <x v="1"/>
            <x v="2"/>
          </reference>
        </references>
      </pivotArea>
    </format>
    <format dxfId="203">
      <pivotArea outline="0" collapsedLevelsAreSubtotals="1" fieldPosition="0"/>
    </format>
    <format dxfId="202">
      <pivotArea dataOnly="0" labelOnly="1" outline="0" fieldPosition="0">
        <references count="1">
          <reference field="4294967294" count="3">
            <x v="0"/>
            <x v="1"/>
            <x v="2"/>
          </reference>
        </references>
      </pivotArea>
    </format>
  </formats>
  <chartFormats count="12">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6" format="18" series="1">
      <pivotArea type="data" outline="0" fieldPosition="0">
        <references count="1">
          <reference field="4294967294" count="1" selected="0">
            <x v="0"/>
          </reference>
        </references>
      </pivotArea>
    </chartFormat>
    <chartFormat chart="6" format="19" series="1">
      <pivotArea type="data" outline="0" fieldPosition="0">
        <references count="1">
          <reference field="4294967294" count="1" selected="0">
            <x v="1"/>
          </reference>
        </references>
      </pivotArea>
    </chartFormat>
    <chartFormat chart="6" format="20"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1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2">
  <location ref="B589:E593" firstHeaderRow="1" firstDataRow="2" firstDataCol="1" rowPageCount="1" colPageCount="1"/>
  <pivotFields count="95">
    <pivotField showAll="0"/>
    <pivotField showAll="0"/>
    <pivotField showAll="0"/>
    <pivotField showAll="0"/>
    <pivotField showAll="0"/>
    <pivotField showAll="0"/>
    <pivotField axis="axisPage" multipleItemSelectionAllowed="1" showAll="0">
      <items count="4">
        <item x="0"/>
        <item h="1" x="2"/>
        <item x="1"/>
        <item t="default"/>
      </items>
    </pivotField>
    <pivotField axis="axisRow" showAll="0">
      <items count="3">
        <item x="0"/>
        <item x="1"/>
        <item t="default"/>
      </items>
    </pivotField>
    <pivotField showAll="0"/>
    <pivotField showAll="0"/>
    <pivotField showAll="0"/>
    <pivotField showAll="0"/>
    <pivotField showAll="0"/>
    <pivotField showAll="0"/>
    <pivotField axis="axisCol" dataField="1" showAll="0" defaultSubtotal="0">
      <items count="2">
        <item x="0"/>
        <item x="1"/>
      </items>
    </pivotField>
    <pivotField showAll="0"/>
    <pivotField showAll="0"/>
    <pivotField showAll="0"/>
    <pivotField showAll="0"/>
    <pivotField showAll="0" defaultSubtotal="0"/>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14"/>
  </colFields>
  <colItems count="3">
    <i>
      <x/>
    </i>
    <i>
      <x v="1"/>
    </i>
    <i t="grand">
      <x/>
    </i>
  </colItems>
  <pageFields count="1">
    <pageField fld="6" hier="-1"/>
  </pageFields>
  <dataFields count="1">
    <dataField name="Count of Targetted" fld="14" subtotal="count" baseField="0" baseItem="0" numFmtId="1"/>
  </dataFields>
  <formats count="3">
    <format dxfId="209">
      <pivotArea outline="0" collapsedLevelsAreSubtotals="1" fieldPosition="0"/>
    </format>
    <format dxfId="208">
      <pivotArea outline="0" collapsedLevelsAreSubtotals="1" fieldPosition="0"/>
    </format>
    <format dxfId="207">
      <pivotArea outline="0" fieldPosition="0">
        <references count="1">
          <reference field="4294967294" count="1">
            <x v="0"/>
          </reference>
        </references>
      </pivotArea>
    </format>
  </formats>
  <chartFormats count="6">
    <chartFormat chart="38" format="0" series="1">
      <pivotArea type="data" outline="0" fieldPosition="0">
        <references count="2">
          <reference field="4294967294" count="1" selected="0">
            <x v="0"/>
          </reference>
          <reference field="14" count="1" selected="0">
            <x v="0"/>
          </reference>
        </references>
      </pivotArea>
    </chartFormat>
    <chartFormat chart="38" format="1" series="1">
      <pivotArea type="data" outline="0" fieldPosition="0">
        <references count="2">
          <reference field="4294967294" count="1" selected="0">
            <x v="0"/>
          </reference>
          <reference field="14" count="1" selected="0">
            <x v="1"/>
          </reference>
        </references>
      </pivotArea>
    </chartFormat>
    <chartFormat chart="40" format="2" series="1">
      <pivotArea type="data" outline="0" fieldPosition="0">
        <references count="2">
          <reference field="4294967294" count="1" selected="0">
            <x v="0"/>
          </reference>
          <reference field="14" count="1" selected="0">
            <x v="0"/>
          </reference>
        </references>
      </pivotArea>
    </chartFormat>
    <chartFormat chart="40" format="3" series="1">
      <pivotArea type="data" outline="0" fieldPosition="0">
        <references count="2">
          <reference field="4294967294" count="1" selected="0">
            <x v="0"/>
          </reference>
          <reference field="14" count="1" selected="0">
            <x v="1"/>
          </reference>
        </references>
      </pivotArea>
    </chartFormat>
    <chartFormat chart="41" format="4" series="1">
      <pivotArea type="data" outline="0" fieldPosition="0">
        <references count="2">
          <reference field="4294967294" count="1" selected="0">
            <x v="0"/>
          </reference>
          <reference field="14" count="1" selected="0">
            <x v="0"/>
          </reference>
        </references>
      </pivotArea>
    </chartFormat>
    <chartFormat chart="41" format="5" series="1">
      <pivotArea type="data" outline="0" fieldPosition="0">
        <references count="2">
          <reference field="4294967294" count="1" selected="0">
            <x v="0"/>
          </reference>
          <reference field="1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18"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0">
  <location ref="B252:D272" firstHeaderRow="0" firstDataRow="1" firstDataCol="1" rowPageCount="2" colPageCount="1"/>
  <pivotFields count="95">
    <pivotField axis="axisRow" showAll="0">
      <items count="21">
        <item x="11"/>
        <item x="0"/>
        <item x="1"/>
        <item x="2"/>
        <item x="15"/>
        <item x="3"/>
        <item x="10"/>
        <item x="18"/>
        <item x="4"/>
        <item x="5"/>
        <item x="6"/>
        <item x="13"/>
        <item x="7"/>
        <item x="14"/>
        <item x="17"/>
        <item x="8"/>
        <item x="12"/>
        <item m="1" x="19"/>
        <item x="9"/>
        <item x="16"/>
        <item t="default"/>
      </items>
    </pivotField>
    <pivotField showAll="0"/>
    <pivotField showAll="0"/>
    <pivotField showAll="0"/>
    <pivotField showAll="0"/>
    <pivotField showAll="0"/>
    <pivotField axis="axisPage" multipleItemSelectionAllowed="1" showAll="0">
      <items count="4">
        <item x="0"/>
        <item h="1" x="2"/>
        <item h="1" x="1"/>
        <item t="default"/>
      </items>
    </pivotField>
    <pivotField showAll="0"/>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20">
    <i>
      <x/>
    </i>
    <i>
      <x v="1"/>
    </i>
    <i>
      <x v="2"/>
    </i>
    <i>
      <x v="3"/>
    </i>
    <i>
      <x v="4"/>
    </i>
    <i>
      <x v="5"/>
    </i>
    <i>
      <x v="6"/>
    </i>
    <i>
      <x v="7"/>
    </i>
    <i>
      <x v="8"/>
    </i>
    <i>
      <x v="9"/>
    </i>
    <i>
      <x v="10"/>
    </i>
    <i>
      <x v="11"/>
    </i>
    <i>
      <x v="12"/>
    </i>
    <i>
      <x v="13"/>
    </i>
    <i>
      <x v="14"/>
    </i>
    <i>
      <x v="15"/>
    </i>
    <i>
      <x v="16"/>
    </i>
    <i>
      <x v="18"/>
    </i>
    <i>
      <x v="19"/>
    </i>
    <i t="grand">
      <x/>
    </i>
  </rowItems>
  <colFields count="1">
    <field x="-2"/>
  </colFields>
  <colItems count="2">
    <i>
      <x/>
    </i>
    <i i="1">
      <x v="1"/>
    </i>
  </colItems>
  <pageFields count="2">
    <pageField fld="6" hier="-1"/>
    <pageField fld="19" hier="-1"/>
  </pageFields>
  <dataFields count="2">
    <dataField name="% Coverage Permanent Latrine" fld="88" baseField="0" baseItem="0" numFmtId="9"/>
    <dataField name="% Coverage Emergency latrine" fld="89" baseField="0" baseItem="0" numFmtId="1"/>
  </dataFields>
  <formats count="5">
    <format dxfId="214">
      <pivotArea outline="0" collapsedLevelsAreSubtotals="1" fieldPosition="0"/>
    </format>
    <format dxfId="213">
      <pivotArea field="0" type="button" dataOnly="0" labelOnly="1" outline="0" axis="axisRow" fieldPosition="0"/>
    </format>
    <format dxfId="212">
      <pivotArea dataOnly="0" labelOnly="1" outline="0" fieldPosition="0">
        <references count="1">
          <reference field="4294967294" count="2">
            <x v="0"/>
            <x v="1"/>
          </reference>
        </references>
      </pivotArea>
    </format>
    <format dxfId="211">
      <pivotArea outline="0" collapsedLevelsAreSubtotals="1" fieldPosition="0"/>
    </format>
    <format dxfId="210">
      <pivotArea dataOnly="0" labelOnly="1" outline="0" fieldPosition="0">
        <references count="1">
          <reference field="4294967294" count="2">
            <x v="0"/>
            <x v="1"/>
          </reference>
        </references>
      </pivotArea>
    </format>
  </formats>
  <chartFormats count="8">
    <chartFormat chart="12" format="0" series="1">
      <pivotArea type="data" outline="0" fieldPosition="0">
        <references count="1">
          <reference field="4294967294" count="1" selected="0">
            <x v="0"/>
          </reference>
        </references>
      </pivotArea>
    </chartFormat>
    <chartFormat chart="12"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0"/>
          </reference>
        </references>
      </pivotArea>
    </chartFormat>
    <chartFormat chart="14" format="3" series="1">
      <pivotArea type="data" outline="0" fieldPosition="0">
        <references count="1">
          <reference field="4294967294" count="1" selected="0">
            <x v="1"/>
          </reference>
        </references>
      </pivotArea>
    </chartFormat>
    <chartFormat chart="15" format="6" series="1">
      <pivotArea type="data" outline="0" fieldPosition="0">
        <references count="1">
          <reference field="4294967294" count="1" selected="0">
            <x v="0"/>
          </reference>
        </references>
      </pivotArea>
    </chartFormat>
    <chartFormat chart="15" format="7" series="1">
      <pivotArea type="data" outline="0" fieldPosition="0">
        <references count="1">
          <reference field="4294967294" count="1" selected="0">
            <x v="1"/>
          </reference>
        </references>
      </pivotArea>
    </chartFormat>
    <chartFormat chart="19" format="4" series="1">
      <pivotArea type="data" outline="0" fieldPosition="0">
        <references count="1">
          <reference field="4294967294" count="1" selected="0">
            <x v="0"/>
          </reference>
        </references>
      </pivotArea>
    </chartFormat>
    <chartFormat chart="19"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20"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0">
  <location ref="B304:D307" firstHeaderRow="0" firstDataRow="1" firstDataCol="1" rowPageCount="2" colPageCount="1"/>
  <pivotFields count="95">
    <pivotField showAll="0"/>
    <pivotField showAll="0"/>
    <pivotField showAll="0"/>
    <pivotField showAll="0"/>
    <pivotField showAll="0"/>
    <pivotField showAll="0"/>
    <pivotField axis="axisPage" multipleItemSelectionAllowed="1" showAll="0">
      <items count="4">
        <item x="0"/>
        <item x="2"/>
        <item x="1"/>
        <item t="default"/>
      </items>
    </pivotField>
    <pivotField axis="axisRow"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2">
    <i>
      <x/>
    </i>
    <i i="1">
      <x v="1"/>
    </i>
  </colItems>
  <pageFields count="2">
    <pageField fld="6" hier="-1"/>
    <pageField fld="19" hier="-1"/>
  </pageFields>
  <dataFields count="2">
    <dataField name="%Coverage Permanent Latrine" fld="88" baseField="0" baseItem="0" numFmtId="9"/>
    <dataField name="% Coverage Emergency latrine" fld="89" baseField="0" baseItem="0" numFmtId="1"/>
  </dataFields>
  <formats count="5">
    <format dxfId="219">
      <pivotArea outline="0" collapsedLevelsAreSubtotals="1" fieldPosition="0"/>
    </format>
    <format dxfId="218">
      <pivotArea field="7" type="button" dataOnly="0" labelOnly="1" outline="0" axis="axisRow" fieldPosition="0"/>
    </format>
    <format dxfId="217">
      <pivotArea dataOnly="0" labelOnly="1" outline="0" fieldPosition="0">
        <references count="1">
          <reference field="4294967294" count="2">
            <x v="0"/>
            <x v="1"/>
          </reference>
        </references>
      </pivotArea>
    </format>
    <format dxfId="216">
      <pivotArea outline="0" collapsedLevelsAreSubtotals="1" fieldPosition="0"/>
    </format>
    <format dxfId="215">
      <pivotArea dataOnly="0" labelOnly="1" outline="0" fieldPosition="0">
        <references count="1">
          <reference field="4294967294" count="2">
            <x v="0"/>
            <x v="1"/>
          </reference>
        </references>
      </pivotArea>
    </format>
  </formats>
  <chartFormats count="8">
    <chartFormat chart="12" format="0" series="1">
      <pivotArea type="data" outline="0" fieldPosition="0">
        <references count="1">
          <reference field="4294967294" count="1" selected="0">
            <x v="0"/>
          </reference>
        </references>
      </pivotArea>
    </chartFormat>
    <chartFormat chart="12" format="1" series="1">
      <pivotArea type="data" outline="0" fieldPosition="0">
        <references count="1">
          <reference field="4294967294" count="1" selected="0">
            <x v="1"/>
          </reference>
        </references>
      </pivotArea>
    </chartFormat>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6" format="0" series="1">
      <pivotArea type="data" outline="0" fieldPosition="0">
        <references count="1">
          <reference field="4294967294" count="1" selected="0">
            <x v="0"/>
          </reference>
        </references>
      </pivotArea>
    </chartFormat>
    <chartFormat chart="16" format="1" series="1">
      <pivotArea type="data" outline="0" fieldPosition="0">
        <references count="1">
          <reference field="4294967294" count="1" selected="0">
            <x v="1"/>
          </reference>
        </references>
      </pivotArea>
    </chartFormat>
    <chartFormat chart="18" format="0" series="1">
      <pivotArea type="data" outline="0" fieldPosition="0">
        <references count="1">
          <reference field="4294967294" count="1" selected="0">
            <x v="0"/>
          </reference>
        </references>
      </pivotArea>
    </chartFormat>
    <chartFormat chart="18"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27"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36">
  <location ref="B464:C471" firstHeaderRow="1" firstDataRow="1" firstDataCol="1" rowPageCount="3" colPageCount="1"/>
  <pivotFields count="95">
    <pivotField showAll="0"/>
    <pivotField showAll="0"/>
    <pivotField showAll="0"/>
    <pivotField showAll="0"/>
    <pivotField showAll="0"/>
    <pivotField showAll="0"/>
    <pivotField axis="axisPage" multipleItemSelectionAllowed="1" showAll="0">
      <items count="4">
        <item x="0"/>
        <item h="1" x="2"/>
        <item h="1" x="1"/>
        <item t="default"/>
      </items>
    </pivotField>
    <pivotField axis="axisPage"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axis="axisRow" dataField="1" showAll="0">
      <items count="8">
        <item x="0"/>
        <item x="2"/>
        <item x="3"/>
        <item x="1"/>
        <item x="4"/>
        <item x="5"/>
        <item m="1" x="6"/>
        <item t="default"/>
      </items>
    </pivotField>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6"/>
  </rowFields>
  <rowItems count="7">
    <i>
      <x/>
    </i>
    <i>
      <x v="1"/>
    </i>
    <i>
      <x v="2"/>
    </i>
    <i>
      <x v="3"/>
    </i>
    <i>
      <x v="4"/>
    </i>
    <i>
      <x v="5"/>
    </i>
    <i t="grand">
      <x/>
    </i>
  </rowItems>
  <colItems count="1">
    <i/>
  </colItems>
  <pageFields count="3">
    <pageField fld="6" hier="-1"/>
    <pageField fld="7" hier="-1"/>
    <pageField fld="19" hier="-1"/>
  </pageFields>
  <dataFields count="1">
    <dataField name="Count of Latrines gender sperated" fld="46" subtotal="count" baseField="0" baseItem="0" numFmtId="1"/>
  </dataFields>
  <formats count="3">
    <format dxfId="222">
      <pivotArea outline="0" collapsedLevelsAreSubtotals="1" fieldPosition="0"/>
    </format>
    <format dxfId="221">
      <pivotArea outline="0" collapsedLevelsAreSubtotals="1" fieldPosition="0"/>
    </format>
    <format dxfId="220">
      <pivotArea outline="0" fieldPosition="0">
        <references count="1">
          <reference field="4294967294" count="1">
            <x v="0"/>
          </reference>
        </references>
      </pivotArea>
    </format>
  </formats>
  <chartFormats count="15">
    <chartFormat chart="30" format="15" series="1">
      <pivotArea type="data" outline="0" fieldPosition="0">
        <references count="1">
          <reference field="4294967294" count="1" selected="0">
            <x v="0"/>
          </reference>
        </references>
      </pivotArea>
    </chartFormat>
    <chartFormat chart="30" format="16">
      <pivotArea type="data" outline="0" fieldPosition="0">
        <references count="2">
          <reference field="4294967294" count="1" selected="0">
            <x v="0"/>
          </reference>
          <reference field="46" count="1" selected="0">
            <x v="0"/>
          </reference>
        </references>
      </pivotArea>
    </chartFormat>
    <chartFormat chart="30" format="17">
      <pivotArea type="data" outline="0" fieldPosition="0">
        <references count="2">
          <reference field="4294967294" count="1" selected="0">
            <x v="0"/>
          </reference>
          <reference field="46" count="1" selected="0">
            <x v="1"/>
          </reference>
        </references>
      </pivotArea>
    </chartFormat>
    <chartFormat chart="30" format="18">
      <pivotArea type="data" outline="0" fieldPosition="0">
        <references count="2">
          <reference field="4294967294" count="1" selected="0">
            <x v="0"/>
          </reference>
          <reference field="46" count="1" selected="0">
            <x v="2"/>
          </reference>
        </references>
      </pivotArea>
    </chartFormat>
    <chartFormat chart="30" format="19">
      <pivotArea type="data" outline="0" fieldPosition="0">
        <references count="2">
          <reference field="4294967294" count="1" selected="0">
            <x v="0"/>
          </reference>
          <reference field="46" count="1" selected="0">
            <x v="3"/>
          </reference>
        </references>
      </pivotArea>
    </chartFormat>
    <chartFormat chart="30" format="20">
      <pivotArea type="data" outline="0" fieldPosition="0">
        <references count="2">
          <reference field="4294967294" count="1" selected="0">
            <x v="0"/>
          </reference>
          <reference field="46" count="1" selected="0">
            <x v="6"/>
          </reference>
        </references>
      </pivotArea>
    </chartFormat>
    <chartFormat chart="30" format="21">
      <pivotArea type="data" outline="0" fieldPosition="0">
        <references count="2">
          <reference field="4294967294" count="1" selected="0">
            <x v="0"/>
          </reference>
          <reference field="46" count="1" selected="0">
            <x v="4"/>
          </reference>
        </references>
      </pivotArea>
    </chartFormat>
    <chartFormat chart="30" format="22">
      <pivotArea type="data" outline="0" fieldPosition="0">
        <references count="2">
          <reference field="4294967294" count="1" selected="0">
            <x v="0"/>
          </reference>
          <reference field="46" count="1" selected="0">
            <x v="5"/>
          </reference>
        </references>
      </pivotArea>
    </chartFormat>
    <chartFormat chart="35" format="30" series="1">
      <pivotArea type="data" outline="0" fieldPosition="0">
        <references count="1">
          <reference field="4294967294" count="1" selected="0">
            <x v="0"/>
          </reference>
        </references>
      </pivotArea>
    </chartFormat>
    <chartFormat chart="35" format="31">
      <pivotArea type="data" outline="0" fieldPosition="0">
        <references count="2">
          <reference field="4294967294" count="1" selected="0">
            <x v="0"/>
          </reference>
          <reference field="46" count="1" selected="0">
            <x v="0"/>
          </reference>
        </references>
      </pivotArea>
    </chartFormat>
    <chartFormat chart="35" format="32">
      <pivotArea type="data" outline="0" fieldPosition="0">
        <references count="2">
          <reference field="4294967294" count="1" selected="0">
            <x v="0"/>
          </reference>
          <reference field="46" count="1" selected="0">
            <x v="1"/>
          </reference>
        </references>
      </pivotArea>
    </chartFormat>
    <chartFormat chart="35" format="33">
      <pivotArea type="data" outline="0" fieldPosition="0">
        <references count="2">
          <reference field="4294967294" count="1" selected="0">
            <x v="0"/>
          </reference>
          <reference field="46" count="1" selected="0">
            <x v="2"/>
          </reference>
        </references>
      </pivotArea>
    </chartFormat>
    <chartFormat chart="35" format="34">
      <pivotArea type="data" outline="0" fieldPosition="0">
        <references count="2">
          <reference field="4294967294" count="1" selected="0">
            <x v="0"/>
          </reference>
          <reference field="46" count="1" selected="0">
            <x v="3"/>
          </reference>
        </references>
      </pivotArea>
    </chartFormat>
    <chartFormat chart="35" format="35">
      <pivotArea type="data" outline="0" fieldPosition="0">
        <references count="2">
          <reference field="4294967294" count="1" selected="0">
            <x v="0"/>
          </reference>
          <reference field="46" count="1" selected="0">
            <x v="4"/>
          </reference>
        </references>
      </pivotArea>
    </chartFormat>
    <chartFormat chart="35" format="36">
      <pivotArea type="data" outline="0" fieldPosition="0">
        <references count="2">
          <reference field="4294967294" count="1" selected="0">
            <x v="0"/>
          </reference>
          <reference field="4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3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0">
  <location ref="B161:C167" firstHeaderRow="1" firstDataRow="1" firstDataCol="1" rowPageCount="4" colPageCount="1"/>
  <pivotFields count="95">
    <pivotField axis="axisPage" showAll="0">
      <items count="21">
        <item x="11"/>
        <item x="0"/>
        <item x="1"/>
        <item x="2"/>
        <item x="15"/>
        <item x="3"/>
        <item x="10"/>
        <item x="18"/>
        <item x="4"/>
        <item x="5"/>
        <item x="6"/>
        <item x="13"/>
        <item x="7"/>
        <item x="14"/>
        <item x="17"/>
        <item x="8"/>
        <item x="12"/>
        <item m="1" x="19"/>
        <item x="9"/>
        <item x="16"/>
        <item t="default"/>
      </items>
    </pivotField>
    <pivotField showAll="0"/>
    <pivotField showAll="0"/>
    <pivotField showAll="0"/>
    <pivotField showAll="0"/>
    <pivotField showAll="0"/>
    <pivotField axis="axisPage" multipleItemSelectionAllowed="1" showAll="0">
      <items count="4">
        <item x="0"/>
        <item x="2"/>
        <item x="1"/>
        <item t="default"/>
      </items>
    </pivotField>
    <pivotField axis="axisPage"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axis="axisRow" dataField="1" showAll="0">
      <items count="7">
        <item x="1"/>
        <item x="2"/>
        <item m="1" x="5"/>
        <item x="3"/>
        <item x="4"/>
        <item x="0"/>
        <item t="default"/>
      </items>
    </pivotField>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34"/>
  </rowFields>
  <rowItems count="6">
    <i>
      <x/>
    </i>
    <i>
      <x v="1"/>
    </i>
    <i>
      <x v="3"/>
    </i>
    <i>
      <x v="4"/>
    </i>
    <i>
      <x v="5"/>
    </i>
    <i t="grand">
      <x/>
    </i>
  </rowItems>
  <colItems count="1">
    <i/>
  </colItems>
  <pageFields count="4">
    <pageField fld="7" hier="-1"/>
    <pageField fld="0" hier="-1"/>
    <pageField fld="6" hier="-1"/>
    <pageField fld="19" hier="-1"/>
  </pageFields>
  <dataFields count="1">
    <dataField name="Count of Rank coverage" fld="34" subtotal="count" baseField="0" baseItem="0" numFmtId="1"/>
  </dataFields>
  <formats count="4">
    <format dxfId="226">
      <pivotArea outline="0" collapsedLevelsAreSubtotals="1" fieldPosition="0"/>
    </format>
    <format dxfId="225">
      <pivotArea field="6" type="button" dataOnly="0" labelOnly="1" outline="0" axis="axisPage" fieldPosition="2"/>
    </format>
    <format dxfId="224">
      <pivotArea outline="0" collapsedLevelsAreSubtotals="1" fieldPosition="0"/>
    </format>
    <format dxfId="223">
      <pivotArea outline="0" collapsedLevelsAreSubtotals="1" fieldPosition="0"/>
    </format>
  </formats>
  <chartFormats count="6">
    <chartFormat chart="8" format="0" series="1">
      <pivotArea type="data" outline="0" fieldPosition="0">
        <references count="1">
          <reference field="4294967294" count="1" selected="0">
            <x v="0"/>
          </reference>
        </references>
      </pivotArea>
    </chartFormat>
    <chartFormat chart="8" format="1">
      <pivotArea type="data" outline="0" fieldPosition="0">
        <references count="2">
          <reference field="4294967294" count="1" selected="0">
            <x v="0"/>
          </reference>
          <reference field="34" count="1" selected="0">
            <x v="0"/>
          </reference>
        </references>
      </pivotArea>
    </chartFormat>
    <chartFormat chart="8" format="2">
      <pivotArea type="data" outline="0" fieldPosition="0">
        <references count="2">
          <reference field="4294967294" count="1" selected="0">
            <x v="0"/>
          </reference>
          <reference field="34" count="1" selected="0">
            <x v="1"/>
          </reference>
        </references>
      </pivotArea>
    </chartFormat>
    <chartFormat chart="8" format="3">
      <pivotArea type="data" outline="0" fieldPosition="0">
        <references count="2">
          <reference field="4294967294" count="1" selected="0">
            <x v="0"/>
          </reference>
          <reference field="34" count="1" selected="0">
            <x v="3"/>
          </reference>
        </references>
      </pivotArea>
    </chartFormat>
    <chartFormat chart="8" format="4">
      <pivotArea type="data" outline="0" fieldPosition="0">
        <references count="2">
          <reference field="4294967294" count="1" selected="0">
            <x v="0"/>
          </reference>
          <reference field="34" count="1" selected="0">
            <x v="4"/>
          </reference>
        </references>
      </pivotArea>
    </chartFormat>
    <chartFormat chart="8" format="5">
      <pivotArea type="data" outline="0" fieldPosition="0">
        <references count="2">
          <reference field="4294967294" count="1" selected="0">
            <x v="0"/>
          </reference>
          <reference field="3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30"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
  <location ref="Z83:AC237" firstHeaderRow="0" firstDataRow="1" firstDataCol="1" rowPageCount="4" colPageCount="1"/>
  <pivotFields count="95">
    <pivotField axis="axisPage" showAll="0">
      <items count="21">
        <item x="11"/>
        <item x="0"/>
        <item x="1"/>
        <item x="2"/>
        <item x="15"/>
        <item x="3"/>
        <item x="10"/>
        <item x="18"/>
        <item x="4"/>
        <item x="5"/>
        <item x="6"/>
        <item x="13"/>
        <item x="7"/>
        <item x="14"/>
        <item x="17"/>
        <item x="8"/>
        <item x="12"/>
        <item m="1" x="19"/>
        <item x="9"/>
        <item x="16"/>
        <item t="default"/>
      </items>
    </pivotField>
    <pivotField showAll="0"/>
    <pivotField axis="axisPage" showAll="0">
      <items count="11">
        <item x="1"/>
        <item x="0"/>
        <item x="5"/>
        <item x="2"/>
        <item x="6"/>
        <item x="4"/>
        <item x="3"/>
        <item x="7"/>
        <item x="8"/>
        <item x="9"/>
        <item t="default"/>
      </items>
    </pivotField>
    <pivotField axis="axisRow" showAll="0">
      <items count="188">
        <item x="170"/>
        <item x="4"/>
        <item x="5"/>
        <item x="124"/>
        <item x="123"/>
        <item x="6"/>
        <item x="7"/>
        <item x="103"/>
        <item x="96"/>
        <item x="158"/>
        <item x="8"/>
        <item x="9"/>
        <item x="10"/>
        <item x="63"/>
        <item x="88"/>
        <item x="111"/>
        <item x="112"/>
        <item x="11"/>
        <item x="86"/>
        <item x="0"/>
        <item x="148"/>
        <item m="1" x="179"/>
        <item x="12"/>
        <item x="60"/>
        <item x="34"/>
        <item x="35"/>
        <item x="36"/>
        <item x="32"/>
        <item x="87"/>
        <item x="64"/>
        <item x="65"/>
        <item x="13"/>
        <item x="14"/>
        <item m="1" x="176"/>
        <item x="15"/>
        <item x="1"/>
        <item x="33"/>
        <item x="97"/>
        <item m="1" x="185"/>
        <item m="1" x="186"/>
        <item x="37"/>
        <item x="38"/>
        <item x="159"/>
        <item x="128"/>
        <item x="104"/>
        <item x="105"/>
        <item x="142"/>
        <item x="160"/>
        <item x="161"/>
        <item x="162"/>
        <item x="39"/>
        <item x="27"/>
        <item x="25"/>
        <item x="140"/>
        <item x="114"/>
        <item x="40"/>
        <item x="41"/>
        <item x="42"/>
        <item x="2"/>
        <item x="16"/>
        <item x="17"/>
        <item x="98"/>
        <item x="129"/>
        <item x="130"/>
        <item x="131"/>
        <item x="132"/>
        <item x="133"/>
        <item m="1" x="184"/>
        <item x="135"/>
        <item x="136"/>
        <item x="137"/>
        <item x="26"/>
        <item x="66"/>
        <item x="67"/>
        <item x="143"/>
        <item x="68"/>
        <item x="69"/>
        <item x="70"/>
        <item x="71"/>
        <item x="92"/>
        <item x="93"/>
        <item x="43"/>
        <item x="106"/>
        <item x="138"/>
        <item x="44"/>
        <item x="144"/>
        <item x="152"/>
        <item x="153"/>
        <item x="107"/>
        <item x="173"/>
        <item x="174"/>
        <item x="28"/>
        <item x="102"/>
        <item x="45"/>
        <item x="46"/>
        <item x="18"/>
        <item x="163"/>
        <item x="108"/>
        <item m="1" x="180"/>
        <item x="164"/>
        <item x="165"/>
        <item x="150"/>
        <item x="151"/>
        <item x="99"/>
        <item x="149"/>
        <item m="1" x="177"/>
        <item x="145"/>
        <item m="1" x="181"/>
        <item x="154"/>
        <item x="155"/>
        <item x="156"/>
        <item x="157"/>
        <item x="166"/>
        <item x="19"/>
        <item x="169"/>
        <item x="47"/>
        <item x="100"/>
        <item x="20"/>
        <item x="167"/>
        <item x="29"/>
        <item x="62"/>
        <item x="90"/>
        <item x="30"/>
        <item x="115"/>
        <item x="139"/>
        <item x="48"/>
        <item x="89"/>
        <item x="49"/>
        <item x="118"/>
        <item x="117"/>
        <item x="116"/>
        <item x="121"/>
        <item x="120"/>
        <item x="122"/>
        <item x="119"/>
        <item m="1" x="182"/>
        <item x="72"/>
        <item x="3"/>
        <item m="1" x="175"/>
        <item x="125"/>
        <item m="1" x="183"/>
        <item x="73"/>
        <item x="74"/>
        <item x="75"/>
        <item x="76"/>
        <item x="77"/>
        <item x="21"/>
        <item x="126"/>
        <item x="22"/>
        <item x="50"/>
        <item x="51"/>
        <item x="78"/>
        <item x="109"/>
        <item x="110"/>
        <item x="52"/>
        <item x="31"/>
        <item m="1" x="178"/>
        <item x="127"/>
        <item x="146"/>
        <item x="54"/>
        <item x="53"/>
        <item x="55"/>
        <item x="56"/>
        <item x="57"/>
        <item x="58"/>
        <item x="79"/>
        <item x="80"/>
        <item x="81"/>
        <item x="23"/>
        <item x="84"/>
        <item x="59"/>
        <item x="101"/>
        <item x="24"/>
        <item x="85"/>
        <item x="168"/>
        <item x="82"/>
        <item x="83"/>
        <item x="61"/>
        <item x="113"/>
        <item x="94"/>
        <item x="95"/>
        <item x="91"/>
        <item x="134"/>
        <item x="141"/>
        <item x="147"/>
        <item x="171"/>
        <item x="172"/>
        <item t="default"/>
      </items>
    </pivotField>
    <pivotField showAll="0"/>
    <pivotField showAll="0"/>
    <pivotField axis="axisPage" multipleItemSelectionAllowed="1" showAll="0">
      <items count="4">
        <item x="0"/>
        <item h="1" x="2"/>
        <item h="1" x="1"/>
        <item t="default"/>
      </items>
    </pivotField>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3"/>
  </rowFields>
  <rowItems count="154">
    <i>
      <x v="1"/>
    </i>
    <i>
      <x v="2"/>
    </i>
    <i>
      <x v="3"/>
    </i>
    <i>
      <x v="4"/>
    </i>
    <i>
      <x v="5"/>
    </i>
    <i>
      <x v="6"/>
    </i>
    <i>
      <x v="7"/>
    </i>
    <i>
      <x v="8"/>
    </i>
    <i>
      <x v="9"/>
    </i>
    <i>
      <x v="10"/>
    </i>
    <i>
      <x v="11"/>
    </i>
    <i>
      <x v="12"/>
    </i>
    <i>
      <x v="13"/>
    </i>
    <i>
      <x v="15"/>
    </i>
    <i>
      <x v="16"/>
    </i>
    <i>
      <x v="17"/>
    </i>
    <i>
      <x v="19"/>
    </i>
    <i>
      <x v="20"/>
    </i>
    <i>
      <x v="22"/>
    </i>
    <i>
      <x v="24"/>
    </i>
    <i>
      <x v="25"/>
    </i>
    <i>
      <x v="26"/>
    </i>
    <i>
      <x v="27"/>
    </i>
    <i>
      <x v="29"/>
    </i>
    <i>
      <x v="30"/>
    </i>
    <i>
      <x v="31"/>
    </i>
    <i>
      <x v="32"/>
    </i>
    <i>
      <x v="34"/>
    </i>
    <i>
      <x v="35"/>
    </i>
    <i>
      <x v="36"/>
    </i>
    <i>
      <x v="37"/>
    </i>
    <i>
      <x v="40"/>
    </i>
    <i>
      <x v="41"/>
    </i>
    <i>
      <x v="42"/>
    </i>
    <i>
      <x v="43"/>
    </i>
    <i>
      <x v="44"/>
    </i>
    <i>
      <x v="45"/>
    </i>
    <i>
      <x v="47"/>
    </i>
    <i>
      <x v="48"/>
    </i>
    <i>
      <x v="49"/>
    </i>
    <i>
      <x v="50"/>
    </i>
    <i>
      <x v="51"/>
    </i>
    <i>
      <x v="52"/>
    </i>
    <i>
      <x v="53"/>
    </i>
    <i>
      <x v="54"/>
    </i>
    <i>
      <x v="56"/>
    </i>
    <i>
      <x v="57"/>
    </i>
    <i>
      <x v="58"/>
    </i>
    <i>
      <x v="59"/>
    </i>
    <i>
      <x v="60"/>
    </i>
    <i>
      <x v="61"/>
    </i>
    <i>
      <x v="62"/>
    </i>
    <i>
      <x v="63"/>
    </i>
    <i>
      <x v="64"/>
    </i>
    <i>
      <x v="65"/>
    </i>
    <i>
      <x v="66"/>
    </i>
    <i>
      <x v="68"/>
    </i>
    <i>
      <x v="70"/>
    </i>
    <i>
      <x v="71"/>
    </i>
    <i>
      <x v="72"/>
    </i>
    <i>
      <x v="73"/>
    </i>
    <i>
      <x v="75"/>
    </i>
    <i>
      <x v="76"/>
    </i>
    <i>
      <x v="77"/>
    </i>
    <i>
      <x v="78"/>
    </i>
    <i>
      <x v="79"/>
    </i>
    <i>
      <x v="80"/>
    </i>
    <i>
      <x v="81"/>
    </i>
    <i>
      <x v="82"/>
    </i>
    <i>
      <x v="83"/>
    </i>
    <i>
      <x v="84"/>
    </i>
    <i>
      <x v="86"/>
    </i>
    <i>
      <x v="87"/>
    </i>
    <i>
      <x v="88"/>
    </i>
    <i>
      <x v="89"/>
    </i>
    <i>
      <x v="90"/>
    </i>
    <i>
      <x v="91"/>
    </i>
    <i>
      <x v="92"/>
    </i>
    <i>
      <x v="93"/>
    </i>
    <i>
      <x v="94"/>
    </i>
    <i>
      <x v="95"/>
    </i>
    <i>
      <x v="96"/>
    </i>
    <i>
      <x v="97"/>
    </i>
    <i>
      <x v="99"/>
    </i>
    <i>
      <x v="100"/>
    </i>
    <i>
      <x v="101"/>
    </i>
    <i>
      <x v="102"/>
    </i>
    <i>
      <x v="103"/>
    </i>
    <i>
      <x v="104"/>
    </i>
    <i>
      <x v="108"/>
    </i>
    <i>
      <x v="109"/>
    </i>
    <i>
      <x v="110"/>
    </i>
    <i>
      <x v="111"/>
    </i>
    <i>
      <x v="112"/>
    </i>
    <i>
      <x v="113"/>
    </i>
    <i>
      <x v="114"/>
    </i>
    <i>
      <x v="115"/>
    </i>
    <i>
      <x v="116"/>
    </i>
    <i>
      <x v="117"/>
    </i>
    <i>
      <x v="118"/>
    </i>
    <i>
      <x v="119"/>
    </i>
    <i>
      <x v="120"/>
    </i>
    <i>
      <x v="121"/>
    </i>
    <i>
      <x v="122"/>
    </i>
    <i>
      <x v="123"/>
    </i>
    <i>
      <x v="124"/>
    </i>
    <i>
      <x v="125"/>
    </i>
    <i>
      <x v="127"/>
    </i>
    <i>
      <x v="128"/>
    </i>
    <i>
      <x v="129"/>
    </i>
    <i>
      <x v="130"/>
    </i>
    <i>
      <x v="136"/>
    </i>
    <i>
      <x v="137"/>
    </i>
    <i>
      <x v="139"/>
    </i>
    <i>
      <x v="141"/>
    </i>
    <i>
      <x v="142"/>
    </i>
    <i>
      <x v="143"/>
    </i>
    <i>
      <x v="144"/>
    </i>
    <i>
      <x v="145"/>
    </i>
    <i>
      <x v="146"/>
    </i>
    <i>
      <x v="147"/>
    </i>
    <i>
      <x v="148"/>
    </i>
    <i>
      <x v="149"/>
    </i>
    <i>
      <x v="150"/>
    </i>
    <i>
      <x v="151"/>
    </i>
    <i>
      <x v="152"/>
    </i>
    <i>
      <x v="153"/>
    </i>
    <i>
      <x v="154"/>
    </i>
    <i>
      <x v="155"/>
    </i>
    <i>
      <x v="157"/>
    </i>
    <i>
      <x v="159"/>
    </i>
    <i>
      <x v="160"/>
    </i>
    <i>
      <x v="161"/>
    </i>
    <i>
      <x v="162"/>
    </i>
    <i>
      <x v="163"/>
    </i>
    <i>
      <x v="164"/>
    </i>
    <i>
      <x v="165"/>
    </i>
    <i>
      <x v="166"/>
    </i>
    <i>
      <x v="167"/>
    </i>
    <i>
      <x v="168"/>
    </i>
    <i>
      <x v="169"/>
    </i>
    <i>
      <x v="170"/>
    </i>
    <i>
      <x v="171"/>
    </i>
    <i>
      <x v="172"/>
    </i>
    <i>
      <x v="173"/>
    </i>
    <i>
      <x v="174"/>
    </i>
    <i>
      <x v="175"/>
    </i>
    <i>
      <x v="177"/>
    </i>
    <i>
      <x v="178"/>
    </i>
    <i>
      <x v="181"/>
    </i>
    <i>
      <x v="182"/>
    </i>
    <i>
      <x v="185"/>
    </i>
    <i>
      <x v="186"/>
    </i>
    <i t="grand">
      <x/>
    </i>
  </rowItems>
  <colFields count="1">
    <field x="-2"/>
  </colFields>
  <colItems count="3">
    <i>
      <x/>
    </i>
    <i i="1">
      <x v="1"/>
    </i>
    <i i="2">
      <x v="2"/>
    </i>
  </colItems>
  <pageFields count="4">
    <pageField fld="0" hier="-1"/>
    <pageField fld="2" hier="-1"/>
    <pageField fld="7" hier="-1"/>
    <pageField fld="6" hier="-1"/>
  </pageFields>
  <dataFields count="3">
    <dataField name="% Water Need coverage" fld="85" baseField="0" baseItem="0" numFmtId="9"/>
    <dataField name="% Latrine need coverage" fld="86" baseField="0" baseItem="0" numFmtId="1"/>
    <dataField name="% Bathroom need coverage" fld="87" baseField="0" baseItem="0" numFmtId="1"/>
  </dataFields>
  <formats count="1">
    <format dxfId="227">
      <pivotArea outline="0" collapsedLevelsAreSubtotals="1" fieldPosition="0"/>
    </format>
  </format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7">
  <location ref="B13:E16" firstHeaderRow="0" firstDataRow="1" firstDataCol="1" rowPageCount="3" colPageCount="1"/>
  <pivotFields count="95">
    <pivotField showAll="0"/>
    <pivotField showAll="0"/>
    <pivotField axis="axisPage" showAll="0">
      <items count="11">
        <item x="1"/>
        <item x="0"/>
        <item x="5"/>
        <item x="2"/>
        <item x="6"/>
        <item x="4"/>
        <item x="3"/>
        <item x="7"/>
        <item x="8"/>
        <item x="9"/>
        <item t="default"/>
      </items>
    </pivotField>
    <pivotField showAll="0"/>
    <pivotField showAll="0"/>
    <pivotField showAll="0"/>
    <pivotField axis="axisPage" multipleItemSelectionAllowed="1" showAll="0">
      <items count="4">
        <item x="0"/>
        <item h="1" x="2"/>
        <item h="1" x="1"/>
        <item t="default"/>
      </items>
    </pivotField>
    <pivotField axis="axisRow"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3">
    <i>
      <x/>
    </i>
    <i i="1">
      <x v="1"/>
    </i>
    <i i="2">
      <x v="2"/>
    </i>
  </colItems>
  <pageFields count="3">
    <pageField fld="6" hier="-1"/>
    <pageField fld="2" hier="-1"/>
    <pageField fld="19" hier="-1"/>
  </pageFields>
  <dataFields count="3">
    <dataField name="% Water coverage" fld="85" baseField="0" baseItem="0" numFmtId="1"/>
    <dataField name="% Latrine coverage" fld="86" baseField="0" baseItem="0" numFmtId="1"/>
    <dataField name="% Bathroom coverage" fld="87" baseField="0" baseItem="0" numFmtId="1"/>
  </dataFields>
  <formats count="12">
    <format dxfId="239">
      <pivotArea outline="0" collapsedLevelsAreSubtotals="1" fieldPosition="0"/>
    </format>
    <format dxfId="238">
      <pivotArea field="7" type="button" dataOnly="0" labelOnly="1" outline="0" axis="axisRow" fieldPosition="0"/>
    </format>
    <format dxfId="237">
      <pivotArea dataOnly="0" labelOnly="1" outline="0" fieldPosition="0">
        <references count="1">
          <reference field="4294967294" count="3">
            <x v="0"/>
            <x v="1"/>
            <x v="2"/>
          </reference>
        </references>
      </pivotArea>
    </format>
    <format dxfId="236">
      <pivotArea type="all" dataOnly="0" outline="0" fieldPosition="0"/>
    </format>
    <format dxfId="235">
      <pivotArea outline="0" collapsedLevelsAreSubtotals="1" fieldPosition="0"/>
    </format>
    <format dxfId="234">
      <pivotArea field="7" type="button" dataOnly="0" labelOnly="1" outline="0" axis="axisRow" fieldPosition="0"/>
    </format>
    <format dxfId="233">
      <pivotArea dataOnly="0" labelOnly="1" fieldPosition="0">
        <references count="1">
          <reference field="7" count="0"/>
        </references>
      </pivotArea>
    </format>
    <format dxfId="232">
      <pivotArea dataOnly="0" labelOnly="1" grandRow="1" outline="0" fieldPosition="0"/>
    </format>
    <format dxfId="231">
      <pivotArea dataOnly="0" labelOnly="1" outline="0" fieldPosition="0">
        <references count="1">
          <reference field="4294967294" count="3">
            <x v="0"/>
            <x v="1"/>
            <x v="2"/>
          </reference>
        </references>
      </pivotArea>
    </format>
    <format dxfId="230">
      <pivotArea field="7" type="button" dataOnly="0" labelOnly="1" outline="0" axis="axisRow" fieldPosition="0"/>
    </format>
    <format dxfId="229">
      <pivotArea dataOnly="0" labelOnly="1" outline="0" fieldPosition="0">
        <references count="1">
          <reference field="4294967294" count="3">
            <x v="0"/>
            <x v="1"/>
            <x v="2"/>
          </reference>
        </references>
      </pivotArea>
    </format>
    <format dxfId="228">
      <pivotArea outline="0" collapsedLevelsAreSubtotals="1" fieldPosition="0"/>
    </format>
  </formats>
  <chartFormats count="15">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12" format="6" series="1">
      <pivotArea type="data" outline="0" fieldPosition="0">
        <references count="1">
          <reference field="4294967294" count="1" selected="0">
            <x v="0"/>
          </reference>
        </references>
      </pivotArea>
    </chartFormat>
    <chartFormat chart="12" format="7" series="1">
      <pivotArea type="data" outline="0" fieldPosition="0">
        <references count="1">
          <reference field="4294967294" count="1" selected="0">
            <x v="1"/>
          </reference>
        </references>
      </pivotArea>
    </chartFormat>
    <chartFormat chart="12" format="8" series="1">
      <pivotArea type="data" outline="0" fieldPosition="0">
        <references count="1">
          <reference field="4294967294" count="1" selected="0">
            <x v="2"/>
          </reference>
        </references>
      </pivotArea>
    </chartFormat>
    <chartFormat chart="14" format="10" series="1">
      <pivotArea type="data" outline="0" fieldPosition="0">
        <references count="1">
          <reference field="4294967294" count="1" selected="0">
            <x v="0"/>
          </reference>
        </references>
      </pivotArea>
    </chartFormat>
    <chartFormat chart="14" format="11" series="1">
      <pivotArea type="data" outline="0" fieldPosition="0">
        <references count="1">
          <reference field="4294967294" count="1" selected="0">
            <x v="1"/>
          </reference>
        </references>
      </pivotArea>
    </chartFormat>
    <chartFormat chart="14" format="12" series="1">
      <pivotArea type="data" outline="0" fieldPosition="0">
        <references count="1">
          <reference field="4294967294" count="1" selected="0">
            <x v="2"/>
          </reference>
        </references>
      </pivotArea>
    </chartFormat>
    <chartFormat chart="16" format="2" series="1">
      <pivotArea type="data" outline="0" fieldPosition="0">
        <references count="1">
          <reference field="4294967294" count="1" selected="0">
            <x v="2"/>
          </reference>
        </references>
      </pivotArea>
    </chartFormat>
    <chartFormat chart="16" format="3" series="1">
      <pivotArea type="data" outline="0" fieldPosition="0">
        <references count="1">
          <reference field="4294967294" count="1" selected="0">
            <x v="0"/>
          </reference>
        </references>
      </pivotArea>
    </chartFormat>
    <chartFormat chart="16" format="4" series="1">
      <pivotArea type="data" outline="0" fieldPosition="0">
        <references count="1">
          <reference field="4294967294"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series="1">
      <pivotArea type="data" outline="0" fieldPosition="0">
        <references count="1">
          <reference field="4294967294" count="1" selected="0">
            <x v="1"/>
          </reference>
        </references>
      </pivotArea>
    </chartFormat>
    <chartFormat chart="5"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6">
  <location ref="B32:E52" firstHeaderRow="0" firstDataRow="1" firstDataCol="1" rowPageCount="3" colPageCount="1"/>
  <pivotFields count="95">
    <pivotField axis="axisRow" showAll="0">
      <items count="21">
        <item x="11"/>
        <item x="0"/>
        <item x="1"/>
        <item x="2"/>
        <item x="15"/>
        <item x="3"/>
        <item x="10"/>
        <item x="18"/>
        <item x="4"/>
        <item x="5"/>
        <item x="6"/>
        <item x="13"/>
        <item x="7"/>
        <item x="14"/>
        <item x="17"/>
        <item x="8"/>
        <item x="12"/>
        <item m="1" x="19"/>
        <item x="9"/>
        <item x="16"/>
        <item t="default"/>
      </items>
    </pivotField>
    <pivotField showAll="0"/>
    <pivotField axis="axisPage" showAll="0">
      <items count="11">
        <item x="1"/>
        <item x="0"/>
        <item x="5"/>
        <item x="2"/>
        <item x="6"/>
        <item x="4"/>
        <item x="3"/>
        <item x="7"/>
        <item x="8"/>
        <item x="9"/>
        <item t="default"/>
      </items>
    </pivotField>
    <pivotField showAll="0"/>
    <pivotField showAll="0"/>
    <pivotField showAll="0"/>
    <pivotField axis="axisPage" multipleItemSelectionAllowed="1" showAll="0">
      <items count="4">
        <item x="0"/>
        <item h="1" x="2"/>
        <item h="1" x="1"/>
        <item t="default"/>
      </items>
    </pivotField>
    <pivotField showAll="0"/>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20">
    <i>
      <x/>
    </i>
    <i>
      <x v="1"/>
    </i>
    <i>
      <x v="2"/>
    </i>
    <i>
      <x v="3"/>
    </i>
    <i>
      <x v="4"/>
    </i>
    <i>
      <x v="5"/>
    </i>
    <i>
      <x v="6"/>
    </i>
    <i>
      <x v="7"/>
    </i>
    <i>
      <x v="8"/>
    </i>
    <i>
      <x v="9"/>
    </i>
    <i>
      <x v="10"/>
    </i>
    <i>
      <x v="11"/>
    </i>
    <i>
      <x v="12"/>
    </i>
    <i>
      <x v="13"/>
    </i>
    <i>
      <x v="14"/>
    </i>
    <i>
      <x v="15"/>
    </i>
    <i>
      <x v="16"/>
    </i>
    <i>
      <x v="18"/>
    </i>
    <i>
      <x v="19"/>
    </i>
    <i t="grand">
      <x/>
    </i>
  </rowItems>
  <colFields count="1">
    <field x="-2"/>
  </colFields>
  <colItems count="3">
    <i>
      <x/>
    </i>
    <i i="1">
      <x v="1"/>
    </i>
    <i i="2">
      <x v="2"/>
    </i>
  </colItems>
  <pageFields count="3">
    <pageField fld="6" hier="-1"/>
    <pageField fld="2" hier="-1"/>
    <pageField fld="19" hier="-1"/>
  </pageFields>
  <dataFields count="3">
    <dataField name="% Water Need coverage" fld="85" baseField="0" baseItem="0" numFmtId="1"/>
    <dataField name="%  Latrine need coverage" fld="86" baseField="0" baseItem="0" numFmtId="1"/>
    <dataField name="% Bathroom need coverage" fld="87" baseField="0" baseItem="0" numFmtId="1"/>
  </dataFields>
  <formats count="26">
    <format dxfId="123">
      <pivotArea outline="0" collapsedLevelsAreSubtotals="1" fieldPosition="0"/>
    </format>
    <format dxfId="122">
      <pivotArea field="0" type="button" dataOnly="0" labelOnly="1" outline="0" axis="axisRow" fieldPosition="0"/>
    </format>
    <format dxfId="121">
      <pivotArea dataOnly="0" labelOnly="1" outline="0" fieldPosition="0">
        <references count="1">
          <reference field="4294967294" count="3">
            <x v="0"/>
            <x v="1"/>
            <x v="2"/>
          </reference>
        </references>
      </pivotArea>
    </format>
    <format dxfId="120">
      <pivotArea collapsedLevelsAreSubtotals="1" fieldPosition="0">
        <references count="1">
          <reference field="0" count="0"/>
        </references>
      </pivotArea>
    </format>
    <format dxfId="119">
      <pivotArea dataOnly="0" labelOnly="1" outline="0" fieldPosition="0">
        <references count="1">
          <reference field="4294967294" count="3">
            <x v="0"/>
            <x v="1"/>
            <x v="2"/>
          </reference>
        </references>
      </pivotArea>
    </format>
    <format dxfId="118">
      <pivotArea grandRow="1" outline="0" collapsedLevelsAreSubtotals="1" fieldPosition="0"/>
    </format>
    <format dxfId="117">
      <pivotArea dataOnly="0" labelOnly="1" fieldPosition="0">
        <references count="1">
          <reference field="0" count="1">
            <x v="15"/>
          </reference>
        </references>
      </pivotArea>
    </format>
    <format dxfId="116">
      <pivotArea dataOnly="0" labelOnly="1" fieldPosition="0">
        <references count="1">
          <reference field="0" count="1">
            <x v="5"/>
          </reference>
        </references>
      </pivotArea>
    </format>
    <format dxfId="115">
      <pivotArea dataOnly="0" labelOnly="1" fieldPosition="0">
        <references count="1">
          <reference field="0" count="1">
            <x v="3"/>
          </reference>
        </references>
      </pivotArea>
    </format>
    <format dxfId="114">
      <pivotArea dataOnly="0" labelOnly="1" fieldPosition="0">
        <references count="1">
          <reference field="0" count="1">
            <x v="17"/>
          </reference>
        </references>
      </pivotArea>
    </format>
    <format dxfId="113">
      <pivotArea dataOnly="0" labelOnly="1" fieldPosition="0">
        <references count="1">
          <reference field="0" count="1">
            <x v="1"/>
          </reference>
        </references>
      </pivotArea>
    </format>
    <format dxfId="112">
      <pivotArea dataOnly="0" labelOnly="1" fieldPosition="0">
        <references count="1">
          <reference field="0" count="1">
            <x v="18"/>
          </reference>
        </references>
      </pivotArea>
    </format>
    <format dxfId="111">
      <pivotArea dataOnly="0" labelOnly="1" fieldPosition="0">
        <references count="1">
          <reference field="0" count="1">
            <x v="12"/>
          </reference>
        </references>
      </pivotArea>
    </format>
    <format dxfId="110">
      <pivotArea dataOnly="0" labelOnly="1" fieldPosition="0">
        <references count="1">
          <reference field="0" count="1">
            <x v="2"/>
          </reference>
        </references>
      </pivotArea>
    </format>
    <format dxfId="109">
      <pivotArea dataOnly="0" labelOnly="1" fieldPosition="0">
        <references count="1">
          <reference field="0" count="1">
            <x v="8"/>
          </reference>
        </references>
      </pivotArea>
    </format>
    <format dxfId="108">
      <pivotArea dataOnly="0" labelOnly="1" fieldPosition="0">
        <references count="1">
          <reference field="0" count="1">
            <x v="9"/>
          </reference>
        </references>
      </pivotArea>
    </format>
    <format dxfId="107">
      <pivotArea dataOnly="0" labelOnly="1" fieldPosition="0">
        <references count="1">
          <reference field="0" count="1">
            <x v="10"/>
          </reference>
        </references>
      </pivotArea>
    </format>
    <format dxfId="106">
      <pivotArea dataOnly="0" labelOnly="1" fieldPosition="0">
        <references count="1">
          <reference field="0" count="1">
            <x v="16"/>
          </reference>
        </references>
      </pivotArea>
    </format>
    <format dxfId="105">
      <pivotArea dataOnly="0" labelOnly="1" fieldPosition="0">
        <references count="1">
          <reference field="0" count="1">
            <x v="6"/>
          </reference>
        </references>
      </pivotArea>
    </format>
    <format dxfId="104">
      <pivotArea dataOnly="0" labelOnly="1" fieldPosition="0">
        <references count="1">
          <reference field="0" count="1">
            <x v="0"/>
          </reference>
        </references>
      </pivotArea>
    </format>
    <format dxfId="103">
      <pivotArea dataOnly="0" labelOnly="1" fieldPosition="0">
        <references count="1">
          <reference field="0" count="1">
            <x v="11"/>
          </reference>
        </references>
      </pivotArea>
    </format>
    <format dxfId="102">
      <pivotArea dataOnly="0" labelOnly="1" fieldPosition="0">
        <references count="1">
          <reference field="0" count="1">
            <x v="13"/>
          </reference>
        </references>
      </pivotArea>
    </format>
    <format dxfId="101">
      <pivotArea dataOnly="0" labelOnly="1" fieldPosition="0">
        <references count="1">
          <reference field="0" count="1">
            <x v="14"/>
          </reference>
        </references>
      </pivotArea>
    </format>
    <format dxfId="100">
      <pivotArea dataOnly="0" labelOnly="1" fieldPosition="0">
        <references count="1">
          <reference field="0" count="1">
            <x v="7"/>
          </reference>
        </references>
      </pivotArea>
    </format>
    <format dxfId="99">
      <pivotArea dataOnly="0" labelOnly="1" fieldPosition="0">
        <references count="1">
          <reference field="0" count="1">
            <x v="4"/>
          </reference>
        </references>
      </pivotArea>
    </format>
    <format dxfId="98">
      <pivotArea dataOnly="0" labelOnly="1" fieldPosition="0">
        <references count="1">
          <reference field="0" count="0"/>
        </references>
      </pivotArea>
    </format>
  </format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2" format="9" series="1">
      <pivotArea type="data" outline="0" fieldPosition="0">
        <references count="1">
          <reference field="4294967294" count="1" selected="0">
            <x v="0"/>
          </reference>
        </references>
      </pivotArea>
    </chartFormat>
    <chartFormat chart="2" format="10" series="1">
      <pivotArea type="data" outline="0" fieldPosition="0">
        <references count="1">
          <reference field="4294967294" count="1" selected="0">
            <x v="1"/>
          </reference>
        </references>
      </pivotArea>
    </chartFormat>
    <chartFormat chart="2" format="11"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24"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8">
  <location ref="B402:C413" firstHeaderRow="1" firstDataRow="1" firstDataCol="1" rowPageCount="3" colPageCount="1"/>
  <pivotFields count="95">
    <pivotField showAll="0"/>
    <pivotField showAll="0"/>
    <pivotField axis="axisRow" showAll="0">
      <items count="11">
        <item x="1"/>
        <item x="5"/>
        <item x="2"/>
        <item x="6"/>
        <item x="4"/>
        <item x="3"/>
        <item x="7"/>
        <item x="8"/>
        <item x="9"/>
        <item x="0"/>
        <item t="default"/>
      </items>
    </pivotField>
    <pivotField showAll="0"/>
    <pivotField showAll="0"/>
    <pivotField showAll="0"/>
    <pivotField axis="axisPage" multipleItemSelectionAllowed="1" showAll="0">
      <items count="4">
        <item x="0"/>
        <item h="1" x="2"/>
        <item h="1" x="1"/>
        <item t="default"/>
      </items>
    </pivotField>
    <pivotField axis="axisPage"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1">
    <i>
      <x/>
    </i>
    <i>
      <x v="1"/>
    </i>
    <i>
      <x v="2"/>
    </i>
    <i>
      <x v="3"/>
    </i>
    <i>
      <x v="4"/>
    </i>
    <i>
      <x v="5"/>
    </i>
    <i>
      <x v="6"/>
    </i>
    <i>
      <x v="7"/>
    </i>
    <i>
      <x v="8"/>
    </i>
    <i>
      <x v="9"/>
    </i>
    <i t="grand">
      <x/>
    </i>
  </rowItems>
  <colItems count="1">
    <i/>
  </colItems>
  <pageFields count="3">
    <pageField fld="6" hier="-1"/>
    <pageField fld="7" hier="-1"/>
    <pageField fld="19" hier="-1"/>
  </pageFields>
  <dataFields count="1">
    <dataField name="% Coverage Full HK" fld="90" baseField="0" baseItem="0"/>
  </dataFields>
  <formats count="2">
    <format dxfId="241">
      <pivotArea outline="0" collapsedLevelsAreSubtotals="1" fieldPosition="0"/>
    </format>
    <format dxfId="240">
      <pivotArea outline="0" collapsedLevelsAreSubtotals="1" fieldPosition="0"/>
    </format>
  </formats>
  <chartFormats count="2">
    <chartFormat chart="22" format="0" series="1">
      <pivotArea type="data" outline="0" fieldPosition="0">
        <references count="1">
          <reference field="4294967294" count="1" selected="0">
            <x v="0"/>
          </reference>
        </references>
      </pivotArea>
    </chartFormat>
    <chartFormat chart="24"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28"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0">
  <location ref="B681:E685" firstHeaderRow="1" firstDataRow="2" firstDataCol="1" rowPageCount="2" colPageCount="1"/>
  <pivotFields count="95">
    <pivotField showAll="0"/>
    <pivotField showAll="0"/>
    <pivotField axis="axisPage" showAll="0">
      <items count="11">
        <item x="1"/>
        <item x="0"/>
        <item x="5"/>
        <item x="2"/>
        <item x="6"/>
        <item x="4"/>
        <item x="3"/>
        <item x="7"/>
        <item x="8"/>
        <item x="9"/>
        <item t="default"/>
      </items>
    </pivotField>
    <pivotField showAll="0"/>
    <pivotField showAll="0"/>
    <pivotField showAll="0"/>
    <pivotField axis="axisPage" multipleItemSelectionAllowed="1" showAll="0">
      <items count="4">
        <item x="0"/>
        <item x="2"/>
        <item x="1"/>
        <item t="default"/>
      </items>
    </pivotField>
    <pivotField axis="axisRow"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Col" dataField="1"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19"/>
  </colFields>
  <colItems count="3">
    <i>
      <x/>
    </i>
    <i>
      <x v="1"/>
    </i>
    <i t="grand">
      <x/>
    </i>
  </colItems>
  <pageFields count="2">
    <pageField fld="6" hier="-1"/>
    <pageField fld="2" hier="-1"/>
  </pageFields>
  <dataFields count="1">
    <dataField name="Count of Documented" fld="19" subtotal="count" baseField="0" baseItem="0"/>
  </dataFields>
  <formats count="3">
    <format dxfId="244">
      <pivotArea outline="0" collapsedLevelsAreSubtotals="1" fieldPosition="0"/>
    </format>
    <format dxfId="243">
      <pivotArea outline="0" collapsedLevelsAreSubtotals="1" fieldPosition="0"/>
    </format>
    <format dxfId="242">
      <pivotArea outline="0" collapsedLevelsAreSubtotals="1" fieldPosition="0"/>
    </format>
  </formats>
  <chartFormats count="2">
    <chartFormat chart="48" format="0" series="1">
      <pivotArea type="data" outline="0" fieldPosition="0">
        <references count="2">
          <reference field="4294967294" count="1" selected="0">
            <x v="0"/>
          </reference>
          <reference field="19" count="1" selected="0">
            <x v="0"/>
          </reference>
        </references>
      </pivotArea>
    </chartFormat>
    <chartFormat chart="48" format="1" series="1">
      <pivotArea type="data" outline="0" fieldPosition="0">
        <references count="2">
          <reference field="4294967294" count="1" selected="0">
            <x v="0"/>
          </reference>
          <reference field="1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19"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2">
  <location ref="B282:D293" firstHeaderRow="0" firstDataRow="1" firstDataCol="1" rowPageCount="2" colPageCount="1"/>
  <pivotFields count="95">
    <pivotField showAll="0"/>
    <pivotField showAll="0"/>
    <pivotField axis="axisRow" showAll="0">
      <items count="11">
        <item x="1"/>
        <item x="5"/>
        <item x="2"/>
        <item x="6"/>
        <item x="4"/>
        <item x="3"/>
        <item x="7"/>
        <item x="8"/>
        <item x="9"/>
        <item x="0"/>
        <item t="default"/>
      </items>
    </pivotField>
    <pivotField showAll="0"/>
    <pivotField showAll="0"/>
    <pivotField showAll="0"/>
    <pivotField axis="axisPage" multipleItemSelectionAllowed="1" showAll="0">
      <items count="4">
        <item x="0"/>
        <item h="1" x="2"/>
        <item h="1" x="1"/>
        <item t="default"/>
      </items>
    </pivotField>
    <pivotField showAll="0"/>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1">
    <i>
      <x/>
    </i>
    <i>
      <x v="1"/>
    </i>
    <i>
      <x v="2"/>
    </i>
    <i>
      <x v="3"/>
    </i>
    <i>
      <x v="4"/>
    </i>
    <i>
      <x v="5"/>
    </i>
    <i>
      <x v="6"/>
    </i>
    <i>
      <x v="7"/>
    </i>
    <i>
      <x v="8"/>
    </i>
    <i>
      <x v="9"/>
    </i>
    <i t="grand">
      <x/>
    </i>
  </rowItems>
  <colFields count="1">
    <field x="-2"/>
  </colFields>
  <colItems count="2">
    <i>
      <x/>
    </i>
    <i i="1">
      <x v="1"/>
    </i>
  </colItems>
  <pageFields count="2">
    <pageField fld="6" hier="-1"/>
    <pageField fld="19" hier="-1"/>
  </pageFields>
  <dataFields count="2">
    <dataField name="% Coverage Permanent Latrine" fld="88" baseField="0" baseItem="0" numFmtId="9"/>
    <dataField name="%  Coverage Emergency latrine" fld="89" baseField="0" baseItem="0" numFmtId="1"/>
  </dataFields>
  <formats count="5">
    <format dxfId="249">
      <pivotArea outline="0" collapsedLevelsAreSubtotals="1" fieldPosition="0"/>
    </format>
    <format dxfId="248">
      <pivotArea field="2" type="button" dataOnly="0" labelOnly="1" outline="0" axis="axisRow" fieldPosition="0"/>
    </format>
    <format dxfId="247">
      <pivotArea dataOnly="0" labelOnly="1" outline="0" fieldPosition="0">
        <references count="1">
          <reference field="4294967294" count="2">
            <x v="0"/>
            <x v="1"/>
          </reference>
        </references>
      </pivotArea>
    </format>
    <format dxfId="246">
      <pivotArea outline="0" collapsedLevelsAreSubtotals="1" fieldPosition="0"/>
    </format>
    <format dxfId="245">
      <pivotArea dataOnly="0" labelOnly="1" outline="0" fieldPosition="0">
        <references count="1">
          <reference field="4294967294" count="2">
            <x v="0"/>
            <x v="1"/>
          </reference>
        </references>
      </pivotArea>
    </format>
  </formats>
  <chartFormats count="8">
    <chartFormat chart="12" format="0" series="1">
      <pivotArea type="data" outline="0" fieldPosition="0">
        <references count="1">
          <reference field="4294967294" count="1" selected="0">
            <x v="0"/>
          </reference>
        </references>
      </pivotArea>
    </chartFormat>
    <chartFormat chart="12" format="1" series="1">
      <pivotArea type="data" outline="0" fieldPosition="0">
        <references count="1">
          <reference field="4294967294" count="1" selected="0">
            <x v="1"/>
          </reference>
        </references>
      </pivotArea>
    </chartFormat>
    <chartFormat chart="16" format="0" series="1">
      <pivotArea type="data" outline="0" fieldPosition="0">
        <references count="1">
          <reference field="4294967294" count="1" selected="0">
            <x v="0"/>
          </reference>
        </references>
      </pivotArea>
    </chartFormat>
    <chartFormat chart="16" format="1" series="1">
      <pivotArea type="data" outline="0" fieldPosition="0">
        <references count="1">
          <reference field="4294967294" count="1" selected="0">
            <x v="1"/>
          </reference>
        </references>
      </pivotArea>
    </chartFormat>
    <chartFormat chart="18" format="0" series="1">
      <pivotArea type="data" outline="0" fieldPosition="0">
        <references count="1">
          <reference field="4294967294" count="1" selected="0">
            <x v="0"/>
          </reference>
        </references>
      </pivotArea>
    </chartFormat>
    <chartFormat chart="18" format="1" series="1">
      <pivotArea type="data" outline="0" fieldPosition="0">
        <references count="1">
          <reference field="4294967294" count="1" selected="0">
            <x v="1"/>
          </reference>
        </references>
      </pivotArea>
    </chartFormat>
    <chartFormat chart="20" format="0" series="1">
      <pivotArea type="data" outline="0" fieldPosition="0">
        <references count="1">
          <reference field="4294967294" count="1" selected="0">
            <x v="0"/>
          </reference>
        </references>
      </pivotArea>
    </chartFormat>
    <chartFormat chart="20"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16"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8">
  <location ref="B221:M225" firstHeaderRow="1" firstDataRow="2" firstDataCol="1" rowPageCount="2" colPageCount="1"/>
  <pivotFields count="95">
    <pivotField showAll="0"/>
    <pivotField showAll="0"/>
    <pivotField axis="axisCol" showAll="0">
      <items count="11">
        <item x="1"/>
        <item x="0"/>
        <item x="5"/>
        <item x="2"/>
        <item x="6"/>
        <item x="4"/>
        <item x="3"/>
        <item x="7"/>
        <item x="8"/>
        <item x="9"/>
        <item t="default"/>
      </items>
    </pivotField>
    <pivotField showAll="0"/>
    <pivotField showAll="0"/>
    <pivotField showAll="0"/>
    <pivotField axis="axisPage" multipleItemSelectionAllowed="1" showAll="0">
      <items count="4">
        <item x="0"/>
        <item x="2"/>
        <item x="1"/>
        <item t="default"/>
      </items>
    </pivotField>
    <pivotField axis="axisRow"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dataField="1"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11">
    <i>
      <x/>
    </i>
    <i>
      <x v="1"/>
    </i>
    <i>
      <x v="2"/>
    </i>
    <i>
      <x v="3"/>
    </i>
    <i>
      <x v="4"/>
    </i>
    <i>
      <x v="5"/>
    </i>
    <i>
      <x v="6"/>
    </i>
    <i>
      <x v="7"/>
    </i>
    <i>
      <x v="8"/>
    </i>
    <i>
      <x v="9"/>
    </i>
    <i t="grand">
      <x/>
    </i>
  </colItems>
  <pageFields count="2">
    <pageField fld="6" hier="-1"/>
    <pageField fld="19" hier="-1"/>
  </pageFields>
  <dataFields count="1">
    <dataField name="Sum of # Semi permanent latrines missing" fld="56" baseField="0" baseItem="0" numFmtId="1"/>
  </dataFields>
  <formats count="4">
    <format dxfId="253">
      <pivotArea outline="0" collapsedLevelsAreSubtotals="1" fieldPosition="0"/>
    </format>
    <format dxfId="252">
      <pivotArea outline="0" collapsedLevelsAreSubtotals="1" fieldPosition="0"/>
    </format>
    <format dxfId="251">
      <pivotArea dataOnly="0" labelOnly="1" fieldPosition="0">
        <references count="1">
          <reference field="2" count="0"/>
        </references>
      </pivotArea>
    </format>
    <format dxfId="250">
      <pivotArea dataOnly="0" labelOnly="1" grandCol="1" outline="0" fieldPosition="0"/>
    </format>
  </formats>
  <chartFormats count="24">
    <chartFormat chart="8" format="0" series="1">
      <pivotArea type="data" outline="0" fieldPosition="0">
        <references count="2">
          <reference field="4294967294" count="1" selected="0">
            <x v="0"/>
          </reference>
          <reference field="7" count="1" selected="0">
            <x v="0"/>
          </reference>
        </references>
      </pivotArea>
    </chartFormat>
    <chartFormat chart="8" format="1" series="1">
      <pivotArea type="data" outline="0" fieldPosition="0">
        <references count="2">
          <reference field="4294967294" count="1" selected="0">
            <x v="0"/>
          </reference>
          <reference field="7" count="1" selected="0">
            <x v="1"/>
          </reference>
        </references>
      </pivotArea>
    </chartFormat>
    <chartFormat chart="10" format="0" series="1">
      <pivotArea type="data" outline="0" fieldPosition="0">
        <references count="2">
          <reference field="4294967294" count="1" selected="0">
            <x v="0"/>
          </reference>
          <reference field="7" count="1" selected="0">
            <x v="0"/>
          </reference>
        </references>
      </pivotArea>
    </chartFormat>
    <chartFormat chart="10" format="1" series="1">
      <pivotArea type="data" outline="0" fieldPosition="0">
        <references count="2">
          <reference field="4294967294" count="1" selected="0">
            <x v="0"/>
          </reference>
          <reference field="7" count="1" selected="0">
            <x v="1"/>
          </reference>
        </references>
      </pivotArea>
    </chartFormat>
    <chartFormat chart="14" format="0" series="1">
      <pivotArea type="data" outline="0" fieldPosition="0">
        <references count="2">
          <reference field="4294967294" count="1" selected="0">
            <x v="0"/>
          </reference>
          <reference field="2" count="1" selected="0">
            <x v="0"/>
          </reference>
        </references>
      </pivotArea>
    </chartFormat>
    <chartFormat chart="14" format="1" series="1">
      <pivotArea type="data" outline="0" fieldPosition="0">
        <references count="2">
          <reference field="4294967294" count="1" selected="0">
            <x v="0"/>
          </reference>
          <reference field="2" count="1" selected="0">
            <x v="1"/>
          </reference>
        </references>
      </pivotArea>
    </chartFormat>
    <chartFormat chart="14" format="2" series="1">
      <pivotArea type="data" outline="0" fieldPosition="0">
        <references count="2">
          <reference field="4294967294" count="1" selected="0">
            <x v="0"/>
          </reference>
          <reference field="2" count="1" selected="0">
            <x v="2"/>
          </reference>
        </references>
      </pivotArea>
    </chartFormat>
    <chartFormat chart="14" format="3" series="1">
      <pivotArea type="data" outline="0" fieldPosition="0">
        <references count="2">
          <reference field="4294967294" count="1" selected="0">
            <x v="0"/>
          </reference>
          <reference field="2" count="1" selected="0">
            <x v="3"/>
          </reference>
        </references>
      </pivotArea>
    </chartFormat>
    <chartFormat chart="14" format="4" series="1">
      <pivotArea type="data" outline="0" fieldPosition="0">
        <references count="2">
          <reference field="4294967294" count="1" selected="0">
            <x v="0"/>
          </reference>
          <reference field="2" count="1" selected="0">
            <x v="4"/>
          </reference>
        </references>
      </pivotArea>
    </chartFormat>
    <chartFormat chart="14" format="5" series="1">
      <pivotArea type="data" outline="0" fieldPosition="0">
        <references count="2">
          <reference field="4294967294" count="1" selected="0">
            <x v="0"/>
          </reference>
          <reference field="2" count="1" selected="0">
            <x v="5"/>
          </reference>
        </references>
      </pivotArea>
    </chartFormat>
    <chartFormat chart="14" format="6" series="1">
      <pivotArea type="data" outline="0" fieldPosition="0">
        <references count="2">
          <reference field="4294967294" count="1" selected="0">
            <x v="0"/>
          </reference>
          <reference field="2" count="1" selected="0">
            <x v="6"/>
          </reference>
        </references>
      </pivotArea>
    </chartFormat>
    <chartFormat chart="14" format="7" series="1">
      <pivotArea type="data" outline="0" fieldPosition="0">
        <references count="2">
          <reference field="4294967294" count="1" selected="0">
            <x v="0"/>
          </reference>
          <reference field="2" count="1" selected="0">
            <x v="7"/>
          </reference>
        </references>
      </pivotArea>
    </chartFormat>
    <chartFormat chart="14" format="8" series="1">
      <pivotArea type="data" outline="0" fieldPosition="0">
        <references count="2">
          <reference field="4294967294" count="1" selected="0">
            <x v="0"/>
          </reference>
          <reference field="2" count="1" selected="0">
            <x v="8"/>
          </reference>
        </references>
      </pivotArea>
    </chartFormat>
    <chartFormat chart="14" format="9" series="1">
      <pivotArea type="data" outline="0" fieldPosition="0">
        <references count="2">
          <reference field="4294967294" count="1" selected="0">
            <x v="0"/>
          </reference>
          <reference field="2" count="1" selected="0">
            <x v="9"/>
          </reference>
        </references>
      </pivotArea>
    </chartFormat>
    <chartFormat chart="16" format="0" series="1">
      <pivotArea type="data" outline="0" fieldPosition="0">
        <references count="2">
          <reference field="4294967294" count="1" selected="0">
            <x v="0"/>
          </reference>
          <reference field="2" count="1" selected="0">
            <x v="0"/>
          </reference>
        </references>
      </pivotArea>
    </chartFormat>
    <chartFormat chart="16" format="1" series="1">
      <pivotArea type="data" outline="0" fieldPosition="0">
        <references count="2">
          <reference field="4294967294" count="1" selected="0">
            <x v="0"/>
          </reference>
          <reference field="2" count="1" selected="0">
            <x v="1"/>
          </reference>
        </references>
      </pivotArea>
    </chartFormat>
    <chartFormat chart="16" format="2" series="1">
      <pivotArea type="data" outline="0" fieldPosition="0">
        <references count="2">
          <reference field="4294967294" count="1" selected="0">
            <x v="0"/>
          </reference>
          <reference field="2" count="1" selected="0">
            <x v="2"/>
          </reference>
        </references>
      </pivotArea>
    </chartFormat>
    <chartFormat chart="16" format="3" series="1">
      <pivotArea type="data" outline="0" fieldPosition="0">
        <references count="2">
          <reference field="4294967294" count="1" selected="0">
            <x v="0"/>
          </reference>
          <reference field="2" count="1" selected="0">
            <x v="3"/>
          </reference>
        </references>
      </pivotArea>
    </chartFormat>
    <chartFormat chart="16" format="4" series="1">
      <pivotArea type="data" outline="0" fieldPosition="0">
        <references count="2">
          <reference field="4294967294" count="1" selected="0">
            <x v="0"/>
          </reference>
          <reference field="2" count="1" selected="0">
            <x v="4"/>
          </reference>
        </references>
      </pivotArea>
    </chartFormat>
    <chartFormat chart="16" format="5" series="1">
      <pivotArea type="data" outline="0" fieldPosition="0">
        <references count="2">
          <reference field="4294967294" count="1" selected="0">
            <x v="0"/>
          </reference>
          <reference field="2" count="1" selected="0">
            <x v="5"/>
          </reference>
        </references>
      </pivotArea>
    </chartFormat>
    <chartFormat chart="16" format="6" series="1">
      <pivotArea type="data" outline="0" fieldPosition="0">
        <references count="2">
          <reference field="4294967294" count="1" selected="0">
            <x v="0"/>
          </reference>
          <reference field="2" count="1" selected="0">
            <x v="6"/>
          </reference>
        </references>
      </pivotArea>
    </chartFormat>
    <chartFormat chart="16" format="7" series="1">
      <pivotArea type="data" outline="0" fieldPosition="0">
        <references count="2">
          <reference field="4294967294" count="1" selected="0">
            <x v="0"/>
          </reference>
          <reference field="2" count="1" selected="0">
            <x v="7"/>
          </reference>
        </references>
      </pivotArea>
    </chartFormat>
    <chartFormat chart="16" format="8" series="1">
      <pivotArea type="data" outline="0" fieldPosition="0">
        <references count="2">
          <reference field="4294967294" count="1" selected="0">
            <x v="0"/>
          </reference>
          <reference field="2" count="1" selected="0">
            <x v="8"/>
          </reference>
        </references>
      </pivotArea>
    </chartFormat>
    <chartFormat chart="16" format="9" series="1">
      <pivotArea type="data" outline="0" fieldPosition="0">
        <references count="2">
          <reference field="4294967294" count="1" selected="0">
            <x v="0"/>
          </reference>
          <reference field="2" count="1" selected="0">
            <x v="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15"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8">
  <location ref="B194:E215" firstHeaderRow="1" firstDataRow="2" firstDataCol="1" rowPageCount="2" colPageCount="1"/>
  <pivotFields count="95">
    <pivotField axis="axisRow" showAll="0">
      <items count="21">
        <item x="11"/>
        <item x="0"/>
        <item x="1"/>
        <item x="2"/>
        <item x="15"/>
        <item x="3"/>
        <item x="10"/>
        <item x="18"/>
        <item x="4"/>
        <item x="5"/>
        <item x="6"/>
        <item x="13"/>
        <item x="7"/>
        <item x="14"/>
        <item x="17"/>
        <item x="8"/>
        <item x="12"/>
        <item m="1" x="19"/>
        <item x="9"/>
        <item x="16"/>
        <item t="default"/>
      </items>
    </pivotField>
    <pivotField showAll="0"/>
    <pivotField showAll="0"/>
    <pivotField showAll="0"/>
    <pivotField showAll="0"/>
    <pivotField showAll="0"/>
    <pivotField axis="axisPage" multipleItemSelectionAllowed="1" showAll="0">
      <items count="4">
        <item x="0"/>
        <item x="2"/>
        <item x="1"/>
        <item t="default"/>
      </items>
    </pivotField>
    <pivotField axis="axisCol"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dataField="1"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20">
    <i>
      <x/>
    </i>
    <i>
      <x v="1"/>
    </i>
    <i>
      <x v="2"/>
    </i>
    <i>
      <x v="3"/>
    </i>
    <i>
      <x v="4"/>
    </i>
    <i>
      <x v="5"/>
    </i>
    <i>
      <x v="6"/>
    </i>
    <i>
      <x v="7"/>
    </i>
    <i>
      <x v="8"/>
    </i>
    <i>
      <x v="9"/>
    </i>
    <i>
      <x v="10"/>
    </i>
    <i>
      <x v="11"/>
    </i>
    <i>
      <x v="12"/>
    </i>
    <i>
      <x v="13"/>
    </i>
    <i>
      <x v="14"/>
    </i>
    <i>
      <x v="15"/>
    </i>
    <i>
      <x v="16"/>
    </i>
    <i>
      <x v="18"/>
    </i>
    <i>
      <x v="19"/>
    </i>
    <i t="grand">
      <x/>
    </i>
  </rowItems>
  <colFields count="1">
    <field x="7"/>
  </colFields>
  <colItems count="3">
    <i>
      <x/>
    </i>
    <i>
      <x v="1"/>
    </i>
    <i t="grand">
      <x/>
    </i>
  </colItems>
  <pageFields count="2">
    <pageField fld="6" hier="-1"/>
    <pageField fld="19" hier="-1"/>
  </pageFields>
  <dataFields count="1">
    <dataField name="Sum of # Semi permanent latrines missing" fld="56" baseField="0" baseItem="0" numFmtId="1"/>
  </dataFields>
  <formats count="4">
    <format dxfId="257">
      <pivotArea outline="0" collapsedLevelsAreSubtotals="1" fieldPosition="0"/>
    </format>
    <format dxfId="256">
      <pivotArea outline="0" collapsedLevelsAreSubtotals="1" fieldPosition="0"/>
    </format>
    <format dxfId="255">
      <pivotArea dataOnly="0" labelOnly="1" fieldPosition="0">
        <references count="1">
          <reference field="7" count="0"/>
        </references>
      </pivotArea>
    </format>
    <format dxfId="254">
      <pivotArea dataOnly="0" labelOnly="1" grandCol="1" outline="0" fieldPosition="0"/>
    </format>
  </formats>
  <chartFormats count="10">
    <chartFormat chart="10" format="0" series="1">
      <pivotArea type="data" outline="0" fieldPosition="0">
        <references count="2">
          <reference field="4294967294" count="1" selected="0">
            <x v="0"/>
          </reference>
          <reference field="7" count="1" selected="0">
            <x v="0"/>
          </reference>
        </references>
      </pivotArea>
    </chartFormat>
    <chartFormat chart="10" format="1" series="1">
      <pivotArea type="data" outline="0" fieldPosition="0">
        <references count="2">
          <reference field="4294967294" count="1" selected="0">
            <x v="0"/>
          </reference>
          <reference field="7" count="1" selected="0">
            <x v="1"/>
          </reference>
        </references>
      </pivotArea>
    </chartFormat>
    <chartFormat chart="12" format="2" series="1">
      <pivotArea type="data" outline="0" fieldPosition="0">
        <references count="2">
          <reference field="4294967294" count="1" selected="0">
            <x v="0"/>
          </reference>
          <reference field="7" count="1" selected="0">
            <x v="0"/>
          </reference>
        </references>
      </pivotArea>
    </chartFormat>
    <chartFormat chart="12" format="3" series="1">
      <pivotArea type="data" outline="0" fieldPosition="0">
        <references count="2">
          <reference field="4294967294" count="1" selected="0">
            <x v="0"/>
          </reference>
          <reference field="7" count="1" selected="0">
            <x v="1"/>
          </reference>
        </references>
      </pivotArea>
    </chartFormat>
    <chartFormat chart="13" format="4" series="1">
      <pivotArea type="data" outline="0" fieldPosition="0">
        <references count="2">
          <reference field="4294967294" count="1" selected="0">
            <x v="0"/>
          </reference>
          <reference field="7" count="1" selected="0">
            <x v="0"/>
          </reference>
        </references>
      </pivotArea>
    </chartFormat>
    <chartFormat chart="13" format="5" series="1">
      <pivotArea type="data" outline="0" fieldPosition="0">
        <references count="2">
          <reference field="4294967294" count="1" selected="0">
            <x v="0"/>
          </reference>
          <reference field="7" count="1" selected="0">
            <x v="1"/>
          </reference>
        </references>
      </pivotArea>
    </chartFormat>
    <chartFormat chart="14" format="2" series="1">
      <pivotArea type="data" outline="0" fieldPosition="0">
        <references count="2">
          <reference field="4294967294" count="1" selected="0">
            <x v="0"/>
          </reference>
          <reference field="7" count="1" selected="0">
            <x v="0"/>
          </reference>
        </references>
      </pivotArea>
    </chartFormat>
    <chartFormat chart="14" format="3" series="1">
      <pivotArea type="data" outline="0" fieldPosition="0">
        <references count="2">
          <reference field="4294967294" count="1" selected="0">
            <x v="0"/>
          </reference>
          <reference field="7" count="1" selected="0">
            <x v="1"/>
          </reference>
        </references>
      </pivotArea>
    </chartFormat>
    <chartFormat chart="16" format="0" series="1">
      <pivotArea type="data" outline="0" fieldPosition="0">
        <references count="2">
          <reference field="4294967294" count="1" selected="0">
            <x v="0"/>
          </reference>
          <reference field="7" count="1" selected="0">
            <x v="0"/>
          </reference>
        </references>
      </pivotArea>
    </chartFormat>
    <chartFormat chart="16" format="1" series="1">
      <pivotArea type="data" outline="0" fieldPosition="0">
        <references count="2">
          <reference field="4294967294" count="1" selected="0">
            <x v="0"/>
          </reference>
          <reference field="7"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1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6">
  <location ref="B118:E125" firstHeaderRow="0" firstDataRow="1" firstDataCol="1" rowPageCount="3" colPageCount="1"/>
  <pivotFields count="95">
    <pivotField showAll="0"/>
    <pivotField showAll="0"/>
    <pivotField showAll="0"/>
    <pivotField showAll="0"/>
    <pivotField showAll="0"/>
    <pivotField showAll="0"/>
    <pivotField axis="axisPage" multipleItemSelectionAllowed="1" showAll="0">
      <items count="4">
        <item x="0"/>
        <item h="1" x="2"/>
        <item h="1" x="1"/>
        <item t="default"/>
      </items>
    </pivotField>
    <pivotField axis="axisPage" showAll="0">
      <items count="3">
        <item x="0"/>
        <item x="1"/>
        <item t="default"/>
      </items>
    </pivotField>
    <pivotField showAll="0"/>
    <pivotField showAll="0"/>
    <pivotField showAll="0"/>
    <pivotField axis="axisRow" showAll="0">
      <items count="7">
        <item x="1"/>
        <item x="0"/>
        <item x="2"/>
        <item x="3"/>
        <item x="4"/>
        <item x="5"/>
        <item t="default"/>
      </items>
    </pivotField>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1"/>
  </rowFields>
  <rowItems count="7">
    <i>
      <x/>
    </i>
    <i>
      <x v="1"/>
    </i>
    <i>
      <x v="2"/>
    </i>
    <i>
      <x v="3"/>
    </i>
    <i>
      <x v="4"/>
    </i>
    <i>
      <x v="5"/>
    </i>
    <i t="grand">
      <x/>
    </i>
  </rowItems>
  <colFields count="1">
    <field x="-2"/>
  </colFields>
  <colItems count="3">
    <i>
      <x/>
    </i>
    <i i="1">
      <x v="1"/>
    </i>
    <i i="2">
      <x v="2"/>
    </i>
  </colItems>
  <pageFields count="3">
    <pageField fld="6" hier="-1"/>
    <pageField fld="7" hier="-1"/>
    <pageField fld="19" hier="-1"/>
  </pageFields>
  <dataFields count="3">
    <dataField name="% Water Need coverage" fld="85" baseField="0" baseItem="0" numFmtId="1"/>
    <dataField name="% Latrine need coverage" fld="86" baseField="0" baseItem="0" numFmtId="1"/>
    <dataField name="% Bathroom need coverage" fld="87" baseField="0" baseItem="0" numFmtId="1"/>
  </dataFields>
  <formats count="6">
    <format dxfId="263">
      <pivotArea outline="0" collapsedLevelsAreSubtotals="1" fieldPosition="0"/>
    </format>
    <format dxfId="262">
      <pivotArea field="11" type="button" dataOnly="0" labelOnly="1" outline="0" axis="axisRow" fieldPosition="0"/>
    </format>
    <format dxfId="261">
      <pivotArea dataOnly="0" labelOnly="1" outline="0" fieldPosition="0">
        <references count="1">
          <reference field="4294967294" count="3">
            <x v="0"/>
            <x v="1"/>
            <x v="2"/>
          </reference>
        </references>
      </pivotArea>
    </format>
    <format dxfId="260">
      <pivotArea outline="0" collapsedLevelsAreSubtotals="1" fieldPosition="0"/>
    </format>
    <format dxfId="259">
      <pivotArea dataOnly="0" labelOnly="1" outline="0" fieldPosition="0">
        <references count="1">
          <reference field="4294967294" count="3">
            <x v="0"/>
            <x v="1"/>
            <x v="2"/>
          </reference>
        </references>
      </pivotArea>
    </format>
    <format dxfId="258">
      <pivotArea dataOnly="0" outline="0" fieldPosition="0">
        <references count="1">
          <reference field="4294967294" count="3">
            <x v="0"/>
            <x v="1"/>
            <x v="2"/>
          </reference>
        </references>
      </pivotArea>
    </format>
  </formats>
  <chartFormats count="9">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2" format="2" series="1">
      <pivotArea type="data" outline="0" fieldPosition="0">
        <references count="1">
          <reference field="4294967294" count="1" selected="0">
            <x v="2"/>
          </reference>
        </references>
      </pivotArea>
    </chartFormat>
    <chartFormat chart="4" format="18" series="1">
      <pivotArea type="data" outline="0" fieldPosition="0">
        <references count="1">
          <reference field="4294967294" count="1" selected="0">
            <x v="0"/>
          </reference>
        </references>
      </pivotArea>
    </chartFormat>
    <chartFormat chart="4" format="19" series="1">
      <pivotArea type="data" outline="0" fieldPosition="0">
        <references count="1">
          <reference field="4294967294" count="1" selected="0">
            <x v="1"/>
          </reference>
        </references>
      </pivotArea>
    </chartFormat>
    <chartFormat chart="4" format="20"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8"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6">
  <location ref="B63:E74" firstHeaderRow="0" firstDataRow="1" firstDataCol="1" rowPageCount="3" colPageCount="1"/>
  <pivotFields count="95">
    <pivotField showAll="0"/>
    <pivotField showAll="0"/>
    <pivotField axis="axisRow" showAll="0">
      <items count="11">
        <item x="1"/>
        <item x="0"/>
        <item x="5"/>
        <item x="2"/>
        <item x="6"/>
        <item x="4"/>
        <item x="3"/>
        <item x="7"/>
        <item x="8"/>
        <item x="9"/>
        <item t="default"/>
      </items>
    </pivotField>
    <pivotField showAll="0"/>
    <pivotField showAll="0"/>
    <pivotField showAll="0"/>
    <pivotField axis="axisPage" multipleItemSelectionAllowed="1" showAll="0">
      <items count="4">
        <item x="0"/>
        <item h="1" x="2"/>
        <item h="1" x="1"/>
        <item t="default"/>
      </items>
    </pivotField>
    <pivotField axis="axisPage"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1">
    <i>
      <x/>
    </i>
    <i>
      <x v="1"/>
    </i>
    <i>
      <x v="2"/>
    </i>
    <i>
      <x v="3"/>
    </i>
    <i>
      <x v="4"/>
    </i>
    <i>
      <x v="5"/>
    </i>
    <i>
      <x v="6"/>
    </i>
    <i>
      <x v="7"/>
    </i>
    <i>
      <x v="8"/>
    </i>
    <i>
      <x v="9"/>
    </i>
    <i t="grand">
      <x/>
    </i>
  </rowItems>
  <colFields count="1">
    <field x="-2"/>
  </colFields>
  <colItems count="3">
    <i>
      <x/>
    </i>
    <i i="1">
      <x v="1"/>
    </i>
    <i i="2">
      <x v="2"/>
    </i>
  </colItems>
  <pageFields count="3">
    <pageField fld="6" hier="-1"/>
    <pageField fld="7" hier="-1"/>
    <pageField fld="19" hier="-1"/>
  </pageFields>
  <dataFields count="3">
    <dataField name="% Water Need coverage" fld="85" baseField="0" baseItem="0" numFmtId="1"/>
    <dataField name="% Latrine need coverage" fld="86" baseField="0" baseItem="0" numFmtId="1"/>
    <dataField name="% Bathroom need coverage" fld="87" baseField="0" baseItem="0" numFmtId="1"/>
  </dataFields>
  <formats count="5">
    <format dxfId="268">
      <pivotArea outline="0" collapsedLevelsAreSubtotals="1" fieldPosition="0"/>
    </format>
    <format dxfId="267">
      <pivotArea field="2" type="button" dataOnly="0" labelOnly="1" outline="0" axis="axisRow" fieldPosition="0"/>
    </format>
    <format dxfId="266">
      <pivotArea dataOnly="0" labelOnly="1" outline="0" fieldPosition="0">
        <references count="1">
          <reference field="4294967294" count="3">
            <x v="0"/>
            <x v="1"/>
            <x v="2"/>
          </reference>
        </references>
      </pivotArea>
    </format>
    <format dxfId="265">
      <pivotArea outline="0" collapsedLevelsAreSubtotals="1" fieldPosition="0"/>
    </format>
    <format dxfId="264">
      <pivotArea dataOnly="0" labelOnly="1" outline="0" fieldPosition="0">
        <references count="1">
          <reference field="4294967294" count="3">
            <x v="0"/>
            <x v="1"/>
            <x v="2"/>
          </reference>
        </references>
      </pivotArea>
    </format>
  </formats>
  <chartFormats count="9">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2" format="18" series="1">
      <pivotArea type="data" outline="0" fieldPosition="0">
        <references count="1">
          <reference field="4294967294" count="1" selected="0">
            <x v="0"/>
          </reference>
        </references>
      </pivotArea>
    </chartFormat>
    <chartFormat chart="2" format="19" series="1">
      <pivotArea type="data" outline="0" fieldPosition="0">
        <references count="1">
          <reference field="4294967294" count="1" selected="0">
            <x v="1"/>
          </reference>
        </references>
      </pivotArea>
    </chartFormat>
    <chartFormat chart="2" format="20" series="1">
      <pivotArea type="data" outline="0" fieldPosition="0">
        <references count="1">
          <reference field="4294967294" count="1" selected="0">
            <x v="2"/>
          </reference>
        </references>
      </pivotArea>
    </chartFormat>
    <chartFormat chart="5" format="24" series="1">
      <pivotArea type="data" outline="0" fieldPosition="0">
        <references count="1">
          <reference field="4294967294" count="1" selected="0">
            <x v="0"/>
          </reference>
        </references>
      </pivotArea>
    </chartFormat>
    <chartFormat chart="5" format="25" series="1">
      <pivotArea type="data" outline="0" fieldPosition="0">
        <references count="1">
          <reference field="4294967294" count="1" selected="0">
            <x v="1"/>
          </reference>
        </references>
      </pivotArea>
    </chartFormat>
    <chartFormat chart="5" format="26"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38">
  <location ref="B178:D181" firstHeaderRow="0" firstDataRow="1" firstDataCol="1" rowPageCount="2" colPageCount="1"/>
  <pivotFields count="95">
    <pivotField showAll="0"/>
    <pivotField showAll="0"/>
    <pivotField showAll="0"/>
    <pivotField showAll="0"/>
    <pivotField showAll="0"/>
    <pivotField showAll="0"/>
    <pivotField axis="axisPage" multipleItemSelectionAllowed="1" showAll="0">
      <items count="4">
        <item x="0"/>
        <item h="1" x="2"/>
        <item h="1" x="1"/>
        <item t="default"/>
      </items>
    </pivotField>
    <pivotField axis="axisRow"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2">
    <i>
      <x/>
    </i>
    <i i="1">
      <x v="1"/>
    </i>
  </colItems>
  <pageFields count="2">
    <pageField fld="6" hier="-1"/>
    <pageField fld="19" hier="-1"/>
  </pageFields>
  <dataFields count="2">
    <dataField name="% Water Need coverage" fld="85" baseField="0" baseItem="0" numFmtId="1"/>
    <dataField name="% Coverage projection end of project" fld="92" baseField="0" baseItem="0"/>
  </dataFields>
  <formats count="7">
    <format dxfId="275">
      <pivotArea outline="0" collapsedLevelsAreSubtotals="1" fieldPosition="0"/>
    </format>
    <format dxfId="274">
      <pivotArea field="7" type="button" dataOnly="0" labelOnly="1" outline="0" axis="axisRow" fieldPosition="0"/>
    </format>
    <format dxfId="273">
      <pivotArea dataOnly="0" labelOnly="1" outline="0" fieldPosition="0">
        <references count="1">
          <reference field="4294967294" count="2">
            <x v="0"/>
            <x v="1"/>
          </reference>
        </references>
      </pivotArea>
    </format>
    <format dxfId="272">
      <pivotArea outline="0" collapsedLevelsAreSubtotals="1" fieldPosition="0"/>
    </format>
    <format dxfId="271">
      <pivotArea dataOnly="0" labelOnly="1" outline="0" fieldPosition="0">
        <references count="1">
          <reference field="4294967294" count="2">
            <x v="0"/>
            <x v="1"/>
          </reference>
        </references>
      </pivotArea>
    </format>
    <format dxfId="270">
      <pivotArea outline="0" collapsedLevelsAreSubtotals="1" fieldPosition="0"/>
    </format>
    <format dxfId="269">
      <pivotArea dataOnly="0" labelOnly="1" outline="0" fieldPosition="0">
        <references count="1">
          <reference field="4294967294" count="2">
            <x v="0"/>
            <x v="1"/>
          </reference>
        </references>
      </pivotArea>
    </format>
  </formats>
  <chartFormats count="2">
    <chartFormat chart="34" format="0" series="1">
      <pivotArea type="data" outline="0" fieldPosition="0">
        <references count="1">
          <reference field="4294967294" count="1" selected="0">
            <x v="0"/>
          </reference>
        </references>
      </pivotArea>
    </chartFormat>
    <chartFormat chart="34"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17"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0">
  <location ref="B630:E634" firstHeaderRow="1" firstDataRow="2" firstDataCol="1" rowPageCount="2" colPageCount="1"/>
  <pivotFields count="95">
    <pivotField showAll="0"/>
    <pivotField showAll="0"/>
    <pivotField axis="axisPage" showAll="0">
      <items count="11">
        <item x="1"/>
        <item x="0"/>
        <item x="5"/>
        <item x="2"/>
        <item x="6"/>
        <item x="4"/>
        <item x="3"/>
        <item x="7"/>
        <item x="8"/>
        <item x="9"/>
        <item t="default"/>
      </items>
    </pivotField>
    <pivotField showAll="0"/>
    <pivotField showAll="0"/>
    <pivotField showAll="0"/>
    <pivotField axis="axisPage" multipleItemSelectionAllowed="1" showAll="0">
      <items count="4">
        <item x="0"/>
        <item x="2"/>
        <item x="1"/>
        <item t="default"/>
      </items>
    </pivotField>
    <pivotField axis="axisRow" showAll="0">
      <items count="3">
        <item x="0"/>
        <item x="1"/>
        <item t="default"/>
      </items>
    </pivotField>
    <pivotField showAll="0"/>
    <pivotField showAll="0"/>
    <pivotField dataField="1" showAll="0"/>
    <pivotField showAll="0"/>
    <pivotField showAll="0"/>
    <pivotField showAll="0"/>
    <pivotField axis="axisCol" showAll="0" defaultSubtotal="0">
      <items count="2">
        <item x="0"/>
        <item x="1"/>
      </items>
    </pivotField>
    <pivotField showAll="0"/>
    <pivotField showAll="0"/>
    <pivotField showAll="0"/>
    <pivotField showAll="0"/>
    <pivotField showAll="0" defaultSubtotal="0"/>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14"/>
  </colFields>
  <colItems count="3">
    <i>
      <x/>
    </i>
    <i>
      <x v="1"/>
    </i>
    <i t="grand">
      <x/>
    </i>
  </colItems>
  <pageFields count="2">
    <pageField fld="6" hier="-1"/>
    <pageField fld="2" hier="-1"/>
  </pageFields>
  <dataFields count="1">
    <dataField name="Sum of Total PoP" fld="10" baseField="0" baseItem="0" numFmtId="1"/>
  </dataFields>
  <formats count="3">
    <format dxfId="278">
      <pivotArea outline="0" collapsedLevelsAreSubtotals="1" fieldPosition="0"/>
    </format>
    <format dxfId="277">
      <pivotArea outline="0" collapsedLevelsAreSubtotals="1" fieldPosition="0"/>
    </format>
    <format dxfId="276">
      <pivotArea outline="0" collapsedLevelsAreSubtotals="1" fieldPosition="0"/>
    </format>
  </formats>
  <chartFormats count="6">
    <chartFormat chart="44" format="0" series="1">
      <pivotArea type="data" outline="0" fieldPosition="0">
        <references count="2">
          <reference field="4294967294" count="1" selected="0">
            <x v="0"/>
          </reference>
          <reference field="14" count="1" selected="0">
            <x v="0"/>
          </reference>
        </references>
      </pivotArea>
    </chartFormat>
    <chartFormat chart="44" format="1" series="1">
      <pivotArea type="data" outline="0" fieldPosition="0">
        <references count="2">
          <reference field="4294967294" count="1" selected="0">
            <x v="0"/>
          </reference>
          <reference field="14" count="1" selected="0">
            <x v="1"/>
          </reference>
        </references>
      </pivotArea>
    </chartFormat>
    <chartFormat chart="47" format="4" series="1">
      <pivotArea type="data" outline="0" fieldPosition="0">
        <references count="2">
          <reference field="4294967294" count="1" selected="0">
            <x v="0"/>
          </reference>
          <reference field="14" count="1" selected="0">
            <x v="0"/>
          </reference>
        </references>
      </pivotArea>
    </chartFormat>
    <chartFormat chart="47" format="5" series="1">
      <pivotArea type="data" outline="0" fieldPosition="0">
        <references count="2">
          <reference field="4294967294" count="1" selected="0">
            <x v="0"/>
          </reference>
          <reference field="14" count="1" selected="0">
            <x v="1"/>
          </reference>
        </references>
      </pivotArea>
    </chartFormat>
    <chartFormat chart="49" format="4" series="1">
      <pivotArea type="data" outline="0" fieldPosition="0">
        <references count="2">
          <reference field="4294967294" count="1" selected="0">
            <x v="0"/>
          </reference>
          <reference field="14" count="1" selected="0">
            <x v="0"/>
          </reference>
        </references>
      </pivotArea>
    </chartFormat>
    <chartFormat chart="49" format="5" series="1">
      <pivotArea type="data" outline="0" fieldPosition="0">
        <references count="2">
          <reference field="4294967294" count="1" selected="0">
            <x v="0"/>
          </reference>
          <reference field="1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9"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6">
  <location ref="B322:D325" firstHeaderRow="0" firstDataRow="1" firstDataCol="1" rowPageCount="2" colPageCount="1"/>
  <pivotFields count="95">
    <pivotField showAll="0"/>
    <pivotField showAll="0"/>
    <pivotField showAll="0"/>
    <pivotField showAll="0"/>
    <pivotField showAll="0"/>
    <pivotField showAll="0"/>
    <pivotField axis="axisPage" multipleItemSelectionAllowed="1" showAll="0">
      <items count="4">
        <item x="0"/>
        <item h="1" x="2"/>
        <item h="1" x="1"/>
        <item t="default"/>
      </items>
    </pivotField>
    <pivotField axis="axisRow"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2">
    <i>
      <x/>
    </i>
    <i i="1">
      <x v="1"/>
    </i>
  </colItems>
  <pageFields count="2">
    <pageField fld="6" hier="-1"/>
    <pageField fld="19" hier="-1"/>
  </pageFields>
  <dataFields count="2">
    <dataField name="% Latrine need coverage" fld="86" baseField="0" baseItem="0" numFmtId="1"/>
    <dataField name="% Projection latrine need coverage EOP" fld="93" baseField="0" baseItem="0" numFmtId="1"/>
  </dataFields>
  <formats count="4">
    <format dxfId="282">
      <pivotArea outline="0" collapsedLevelsAreSubtotals="1" fieldPosition="0"/>
    </format>
    <format dxfId="281">
      <pivotArea outline="0" collapsedLevelsAreSubtotals="1" fieldPosition="0"/>
    </format>
    <format dxfId="280">
      <pivotArea field="7" type="button" dataOnly="0" labelOnly="1" outline="0" axis="axisRow" fieldPosition="0"/>
    </format>
    <format dxfId="279">
      <pivotArea dataOnly="0" labelOnly="1" outline="0" fieldPosition="0">
        <references count="1">
          <reference field="4294967294" count="2">
            <x v="0"/>
            <x v="1"/>
          </reference>
        </references>
      </pivotArea>
    </format>
  </formats>
  <chartFormats count="2">
    <chartFormat chart="36" format="6" series="1">
      <pivotArea type="data" outline="0" fieldPosition="0">
        <references count="1">
          <reference field="4294967294" count="1" selected="0">
            <x v="0"/>
          </reference>
        </references>
      </pivotArea>
    </chartFormat>
    <chartFormat chart="36" format="7"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5"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28">
  <location ref="B425:C428" firstHeaderRow="1" firstDataRow="1" firstDataCol="1" rowPageCount="3" colPageCount="1"/>
  <pivotFields count="95">
    <pivotField showAll="0"/>
    <pivotField showAll="0"/>
    <pivotField axis="axisPage" showAll="0">
      <items count="11">
        <item x="1"/>
        <item x="5"/>
        <item x="2"/>
        <item x="6"/>
        <item x="4"/>
        <item x="3"/>
        <item x="7"/>
        <item x="8"/>
        <item x="9"/>
        <item x="0"/>
        <item t="default"/>
      </items>
    </pivotField>
    <pivotField showAll="0"/>
    <pivotField showAll="0"/>
    <pivotField showAll="0"/>
    <pivotField axis="axisPage" multipleItemSelectionAllowed="1" showAll="0">
      <items count="4">
        <item x="0"/>
        <item x="2"/>
        <item x="1"/>
        <item t="default"/>
      </items>
    </pivotField>
    <pivotField axis="axisRow"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Items count="1">
    <i/>
  </colItems>
  <pageFields count="3">
    <pageField fld="6" hier="-1"/>
    <pageField fld="2" hier="-1"/>
    <pageField fld="19" hier="-1"/>
  </pageFields>
  <dataFields count="1">
    <dataField name="% Coverage HP session at HH level" fld="91" baseField="0" baseItem="0" numFmtId="3"/>
  </dataFields>
  <formats count="2">
    <format dxfId="125">
      <pivotArea outline="0" collapsedLevelsAreSubtotals="1" fieldPosition="0"/>
    </format>
    <format dxfId="124">
      <pivotArea outline="0" collapsedLevelsAreSubtotals="1" fieldPosition="0"/>
    </format>
  </formats>
  <chartFormats count="1">
    <chartFormat chart="26"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1"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7">
  <location ref="B124:C126" firstHeaderRow="1" firstDataRow="1" firstDataCol="1" rowPageCount="1" colPageCount="1"/>
  <pivotFields count="32">
    <pivotField compact="0" outline="0" subtotalTop="0" showAll="0" includeNewItemsInFilter="1">
      <items count="16">
        <item x="9"/>
        <item x="14"/>
        <item x="3"/>
        <item x="4"/>
        <item x="6"/>
        <item x="0"/>
        <item x="1"/>
        <item x="2"/>
        <item x="5"/>
        <item x="7"/>
        <item x="8"/>
        <item x="11"/>
        <item x="13"/>
        <item x="10"/>
        <item x="1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howAll="0" defaultSubtotal="0">
      <items count="3">
        <item x="0"/>
        <item x="1"/>
        <item x="2"/>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2">
    <i>
      <x/>
    </i>
    <i i="1">
      <x v="1"/>
    </i>
  </rowItems>
  <colItems count="1">
    <i/>
  </colItems>
  <pageFields count="1">
    <pageField fld="8" hier="-1"/>
  </pageFields>
  <dataFields count="2">
    <dataField name="Average of Approximate % of beneficiaries in host community" fld="16" subtotal="average" baseField="0" baseItem="29047"/>
    <dataField name="Average of Approximate % of beneficiaries in camps" fld="15" subtotal="average" baseField="0" baseItem="29047"/>
  </dataFields>
  <formats count="9">
    <format dxfId="8">
      <pivotArea outline="0" fieldPosition="0"/>
    </format>
    <format dxfId="7">
      <pivotArea field="0" type="button" dataOnly="0" labelOnly="1" outline="0"/>
    </format>
    <format dxfId="6">
      <pivotArea field="-2" type="button" dataOnly="0" labelOnly="1" outline="0" axis="axisRow" fieldPosition="0"/>
    </format>
    <format dxfId="5">
      <pivotArea dataOnly="0" labelOnly="1" outline="0" fieldPosition="0">
        <references count="1">
          <reference field="4294967294" count="2">
            <x v="0"/>
            <x v="1"/>
          </reference>
        </references>
      </pivotArea>
    </format>
    <format dxfId="4">
      <pivotArea outline="0" fieldPosition="0"/>
    </format>
    <format dxfId="3">
      <pivotArea type="all" dataOnly="0" outline="0" fieldPosition="0"/>
    </format>
    <format dxfId="2">
      <pivotArea outline="0" collapsedLevelsAreSubtotals="1" fieldPosition="0"/>
    </format>
    <format dxfId="1">
      <pivotArea field="-2" type="button" dataOnly="0" labelOnly="1" outline="0" axis="axisRow" fieldPosition="0"/>
    </format>
    <format dxfId="0">
      <pivotArea dataOnly="0" labelOnly="1" outline="0" fieldPosition="0">
        <references count="1">
          <reference field="4294967294" count="2">
            <x v="0"/>
            <x v="1"/>
          </reference>
        </references>
      </pivotArea>
    </format>
  </formats>
  <chartFormats count="5">
    <chartFormat chart="2" format="3" series="1">
      <pivotArea type="data" outline="0" fieldPosition="0">
        <references count="1">
          <reference field="4294967294" count="1" selected="0">
            <x v="0"/>
          </reference>
        </references>
      </pivotArea>
    </chartFormat>
    <chartFormat chart="5" format="4" series="1">
      <pivotArea type="data" outline="0" fieldPosition="0">
        <references count="1">
          <reference field="4294967294" count="1" selected="0">
            <x v="0"/>
          </reference>
        </references>
      </pivotArea>
    </chartFormat>
    <chartFormat chart="5" format="5">
      <pivotArea type="data" outline="0" fieldPosition="0">
        <references count="1">
          <reference field="4294967294" count="1" selected="0">
            <x v="0"/>
          </reference>
        </references>
      </pivotArea>
    </chartFormat>
    <chartFormat chart="6" format="7" series="1">
      <pivotArea type="data" outline="0" fieldPosition="0">
        <references count="1">
          <reference field="4294967294" count="1" selected="0">
            <x v="0"/>
          </reference>
        </references>
      </pivotArea>
    </chartFormat>
    <chartFormat chart="6" format="8">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31.xml><?xml version="1.0" encoding="utf-8"?>
<pivotTableDefinition xmlns="http://schemas.openxmlformats.org/spreadsheetml/2006/main" name="PivotTable7"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
  <location ref="B169:F173" firstHeaderRow="1" firstDataRow="2" firstDataCol="1" rowPageCount="1" colPageCount="1"/>
  <pivotFields count="32">
    <pivotField axis="axisPage" compact="0" outline="0" subtotalTop="0" showAll="0" includeNewItemsInFilter="1">
      <items count="16">
        <item x="9"/>
        <item x="14"/>
        <item x="3"/>
        <item x="4"/>
        <item x="6"/>
        <item x="0"/>
        <item x="1"/>
        <item x="2"/>
        <item x="5"/>
        <item x="7"/>
        <item x="8"/>
        <item x="11"/>
        <item x="13"/>
        <item x="10"/>
        <item x="1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howAll="0" defaultSubtotal="0">
      <items count="3">
        <item x="0"/>
        <item x="1"/>
        <item x="2"/>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Fields count="1">
    <field x="8"/>
  </colFields>
  <colItems count="4">
    <i>
      <x/>
    </i>
    <i>
      <x v="1"/>
    </i>
    <i>
      <x v="2"/>
    </i>
    <i t="grand">
      <x/>
    </i>
  </colItems>
  <pageFields count="1">
    <pageField fld="0" hier="0"/>
  </pageFields>
  <dataFields count="3">
    <dataField name=" Nb of sanitation beneficiaries" fld="20" baseField="0" baseItem="3207800"/>
    <dataField name="Nb of water access beneficiaries" fld="21" baseField="0" baseItem="3207800"/>
    <dataField name="Nb of beneficiairies for HE in host" fld="22" baseField="0" baseItem="3207800"/>
  </dataFields>
  <formats count="11">
    <format dxfId="19">
      <pivotArea outline="0" fieldPosition="0"/>
    </format>
    <format dxfId="18">
      <pivotArea field="0" type="button" dataOnly="0" labelOnly="1" outline="0" axis="axisPage" fieldPosition="0"/>
    </format>
    <format dxfId="17">
      <pivotArea field="-2" type="button" dataOnly="0" labelOnly="1" outline="0" axis="axisRow" fieldPosition="0"/>
    </format>
    <format dxfId="16">
      <pivotArea outline="0" fieldPosition="0"/>
    </format>
    <format dxfId="15">
      <pivotArea dataOnly="0" labelOnly="1" outline="0" fieldPosition="0">
        <references count="1">
          <reference field="0" count="0"/>
        </references>
      </pivotArea>
    </format>
    <format dxfId="14">
      <pivotArea outline="0" collapsedLevelsAreSubtotals="1" fieldPosition="0"/>
    </format>
    <format dxfId="13">
      <pivotArea type="all" dataOnly="0" outline="0" fieldPosition="0"/>
    </format>
    <format dxfId="12">
      <pivotArea outline="0" collapsedLevelsAreSubtotals="1" fieldPosition="0"/>
    </format>
    <format dxfId="11">
      <pivotArea dataOnly="0" labelOnly="1" outline="0" fieldPosition="0">
        <references count="1">
          <reference field="4294967294" count="3">
            <x v="0"/>
            <x v="1"/>
            <x v="2"/>
          </reference>
        </references>
      </pivotArea>
    </format>
    <format dxfId="10">
      <pivotArea dataOnly="0" labelOnly="1" outline="0" fieldPosition="0">
        <references count="1">
          <reference field="8" count="0"/>
        </references>
      </pivotArea>
    </format>
    <format dxfId="9">
      <pivotArea dataOnly="0" labelOnly="1" grandCol="1" outline="0" fieldPosition="0"/>
    </format>
  </formats>
  <chartFormats count="4">
    <chartFormat chart="2" format="0" series="1">
      <pivotArea type="data" outline="0" fieldPosition="0">
        <references count="1">
          <reference field="4294967294" count="1" selected="0">
            <x v="0"/>
          </reference>
        </references>
      </pivotArea>
    </chartFormat>
    <chartFormat chart="3" format="1" series="1">
      <pivotArea type="data" outline="0" fieldPosition="0">
        <references count="2">
          <reference field="4294967294" count="1" selected="0">
            <x v="0"/>
          </reference>
          <reference field="8" count="1" selected="0">
            <x v="0"/>
          </reference>
        </references>
      </pivotArea>
    </chartFormat>
    <chartFormat chart="3" format="2" series="1">
      <pivotArea type="data" outline="0" fieldPosition="0">
        <references count="2">
          <reference field="4294967294" count="1" selected="0">
            <x v="0"/>
          </reference>
          <reference field="8" count="1" selected="0">
            <x v="1"/>
          </reference>
        </references>
      </pivotArea>
    </chartFormat>
    <chartFormat chart="3" format="3" series="1">
      <pivotArea type="data" outline="0" fieldPosition="0">
        <references count="2">
          <reference field="4294967294" count="1" selected="0">
            <x v="0"/>
          </reference>
          <reference field="8" count="1" selected="0">
            <x v="2"/>
          </reference>
        </references>
      </pivotArea>
    </chartFormat>
  </chartFormats>
  <pivotTableStyleInfo showRowHeaders="1" showColHeaders="1" showRowStripes="0" showColStripes="0" showLastColumn="1"/>
</pivotTableDefinition>
</file>

<file path=xl/pivotTables/pivotTable32.xml><?xml version="1.0" encoding="utf-8"?>
<pivotTableDefinition xmlns="http://schemas.openxmlformats.org/spreadsheetml/2006/main" name="PivotTable10"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59">
  <location ref="B33:C45" firstHeaderRow="2" firstDataRow="2" firstDataCol="1" rowPageCount="1" colPageCount="1"/>
  <pivotFields count="32">
    <pivotField compact="0" outline="0" subtotalTop="0" showAll="0" includeNewItemsInFilter="1"/>
    <pivotField compact="0" outline="0" subtotalTop="0" showAll="0" includeNewItemsInFilter="1"/>
    <pivotField axis="axisRow" compact="0" outline="0" subtotalTop="0" showAll="0" includeNewItemsInFilter="1">
      <items count="20">
        <item x="1"/>
        <item x="2"/>
        <item x="10"/>
        <item x="11"/>
        <item h="1" x="0"/>
        <item x="16"/>
        <item x="7"/>
        <item x="17"/>
        <item x="3"/>
        <item x="4"/>
        <item x="5"/>
        <item x="6"/>
        <item m="1" x="18"/>
        <item x="9"/>
        <item x="12"/>
        <item x="13"/>
        <item x="14"/>
        <item x="15"/>
        <item x="8"/>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multipleItemSelectionAllowed="1"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howAll="0" defaultSubtotal="0"/>
    <pivotField axis="axisPage" dataField="1" compact="0" outline="0" multipleItemSelectionAllowed="1" showAll="0" defaultSubtotal="0">
      <items count="39">
        <item h="1" x="0"/>
        <item x="28"/>
        <item m="1" x="33"/>
        <item x="1"/>
        <item m="1" x="35"/>
        <item x="5"/>
        <item m="1" x="32"/>
        <item x="8"/>
        <item x="9"/>
        <item x="10"/>
        <item x="11"/>
        <item m="1" x="30"/>
        <item x="13"/>
        <item x="14"/>
        <item m="1" x="34"/>
        <item x="16"/>
        <item x="17"/>
        <item x="19"/>
        <item x="21"/>
        <item m="1" x="38"/>
        <item x="24"/>
        <item x="25"/>
        <item x="26"/>
        <item x="29"/>
        <item h="1" m="1" x="37"/>
        <item h="1" x="4"/>
        <item h="1" x="6"/>
        <item h="1" m="1" x="31"/>
        <item h="1" m="1" x="36"/>
        <item h="1" x="3"/>
        <item h="1" x="7"/>
        <item h="1" x="12"/>
        <item h="1" x="15"/>
        <item h="1" x="22"/>
        <item h="1" x="23"/>
        <item h="1" x="27"/>
        <item h="1" x="18"/>
        <item h="1" x="20"/>
        <item h="1" x="2"/>
      </items>
    </pivotField>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11">
    <i>
      <x/>
    </i>
    <i>
      <x v="2"/>
    </i>
    <i>
      <x v="5"/>
    </i>
    <i>
      <x v="6"/>
    </i>
    <i>
      <x v="10"/>
    </i>
    <i>
      <x v="11"/>
    </i>
    <i>
      <x v="13"/>
    </i>
    <i>
      <x v="15"/>
    </i>
    <i>
      <x v="16"/>
    </i>
    <i>
      <x v="17"/>
    </i>
    <i t="grand">
      <x/>
    </i>
  </rowItems>
  <colItems count="1">
    <i/>
  </colItems>
  <pageFields count="1">
    <pageField fld="25" hier="-1"/>
  </pageFields>
  <dataFields count="1">
    <dataField name="Sum of Approximate fund 2014 regarding project date implementation" fld="25" baseField="0" baseItem="0" numFmtId="165"/>
  </dataFields>
  <formats count="7">
    <format dxfId="26">
      <pivotArea outline="0" fieldPosition="0"/>
    </format>
    <format dxfId="25">
      <pivotArea type="origin" dataOnly="0" labelOnly="1" outline="0" fieldPosition="0"/>
    </format>
    <format dxfId="24">
      <pivotArea field="2" type="button" dataOnly="0" labelOnly="1" outline="0" axis="axisRow" fieldPosition="0"/>
    </format>
    <format dxfId="23">
      <pivotArea dataOnly="0" labelOnly="1" grandRow="1" outline="0" fieldPosition="0"/>
    </format>
    <format dxfId="22">
      <pivotArea outline="0" fieldPosition="0"/>
    </format>
    <format dxfId="21">
      <pivotArea type="topRight" dataOnly="0" labelOnly="1" outline="0" fieldPosition="0"/>
    </format>
    <format dxfId="20">
      <pivotArea outline="0" collapsedLevelsAreSubtotals="1" fieldPosition="0"/>
    </format>
  </formats>
  <chartFormats count="7">
    <chartFormat chart="56" format="38" series="1">
      <pivotArea type="data" outline="0" fieldPosition="0">
        <references count="1">
          <reference field="4294967294" count="1" selected="0">
            <x v="0"/>
          </reference>
        </references>
      </pivotArea>
    </chartFormat>
    <chartFormat chart="57" format="40" series="1">
      <pivotArea type="data" outline="0" fieldPosition="0">
        <references count="1">
          <reference field="4294967294" count="1" selected="0">
            <x v="0"/>
          </reference>
        </references>
      </pivotArea>
    </chartFormat>
    <chartFormat chart="57" format="41">
      <pivotArea type="data" outline="0" fieldPosition="0">
        <references count="2">
          <reference field="4294967294" count="1" selected="0">
            <x v="0"/>
          </reference>
          <reference field="2" count="1" selected="0">
            <x v="11"/>
          </reference>
        </references>
      </pivotArea>
    </chartFormat>
    <chartFormat chart="57" format="42">
      <pivotArea type="data" outline="0" fieldPosition="0">
        <references count="2">
          <reference field="4294967294" count="1" selected="0">
            <x v="0"/>
          </reference>
          <reference field="2" count="1" selected="0">
            <x v="15"/>
          </reference>
        </references>
      </pivotArea>
    </chartFormat>
    <chartFormat chart="57" format="43">
      <pivotArea type="data" outline="0" fieldPosition="0">
        <references count="2">
          <reference field="4294967294" count="1" selected="0">
            <x v="0"/>
          </reference>
          <reference field="2" count="1" selected="0">
            <x v="17"/>
          </reference>
        </references>
      </pivotArea>
    </chartFormat>
    <chartFormat chart="57" format="44">
      <pivotArea type="data" outline="0" fieldPosition="0">
        <references count="2">
          <reference field="4294967294" count="1" selected="0">
            <x v="0"/>
          </reference>
          <reference field="2" count="1" selected="0">
            <x v="16"/>
          </reference>
        </references>
      </pivotArea>
    </chartFormat>
    <chartFormat chart="57" format="45">
      <pivotArea type="data" outline="0" fieldPosition="0">
        <references count="2">
          <reference field="4294967294" count="1" selected="0">
            <x v="0"/>
          </reference>
          <reference field="2" count="1" selected="0">
            <x v="10"/>
          </reference>
        </references>
      </pivotArea>
    </chartFormat>
  </chartFormats>
  <pivotTableStyleInfo showRowHeaders="1" showColHeaders="1" showRowStripes="0" showColStripes="0" showLastColumn="1"/>
</pivotTableDefinition>
</file>

<file path=xl/pivotTables/pivotTable33.xml><?xml version="1.0" encoding="utf-8"?>
<pivotTableDefinition xmlns="http://schemas.openxmlformats.org/spreadsheetml/2006/main" name="PivotTable8"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6">
  <location ref="B94:C97" firstHeaderRow="1" firstDataRow="1" firstDataCol="1" rowPageCount="1" colPageCount="1"/>
  <pivotFields count="32">
    <pivotField compact="0" outline="0" subtotalTop="0" showAll="0" includeNewItemsInFilter="1">
      <items count="16">
        <item x="9"/>
        <item x="14"/>
        <item x="3"/>
        <item x="4"/>
        <item x="6"/>
        <item x="0"/>
        <item x="1"/>
        <item x="2"/>
        <item x="5"/>
        <item x="7"/>
        <item x="8"/>
        <item x="11"/>
        <item x="13"/>
        <item x="10"/>
        <item x="1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multipleItemSelectionAllowed="1" showAll="0" defaultSubtotal="0">
      <items count="3">
        <item x="0"/>
        <item x="1"/>
        <item x="2"/>
      </items>
    </pivotField>
    <pivotField compact="0" outline="0" subtotalTop="0" showAll="0" includeNewItemsInFilter="1"/>
    <pivotField compact="0" outline="0" showAll="0" defaultSubtotal="0"/>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Items count="1">
    <i/>
  </colItems>
  <pageFields count="1">
    <pageField fld="8" hier="-1"/>
  </pageFields>
  <dataFields count="3">
    <dataField name="% fund attributed for Northern Shan" fld="12" subtotal="average" baseField="0" baseItem="3075528"/>
    <dataField name=" % fund attributed for South Kachin" fld="13" subtotal="average" baseField="0" baseItem="3075528"/>
    <dataField name=" % funds attributed for North kachin" fld="14" subtotal="average" baseField="0" baseItem="3075528"/>
  </dataFields>
  <formats count="8">
    <format dxfId="34">
      <pivotArea outline="0" fieldPosition="0"/>
    </format>
    <format dxfId="33">
      <pivotArea field="0" type="button" dataOnly="0" labelOnly="1" outline="0"/>
    </format>
    <format dxfId="32">
      <pivotArea field="-2" type="button" dataOnly="0" labelOnly="1" outline="0" axis="axisRow" fieldPosition="0"/>
    </format>
    <format dxfId="31">
      <pivotArea outline="0" fieldPosition="0"/>
    </format>
    <format dxfId="30">
      <pivotArea type="all" dataOnly="0" outline="0" fieldPosition="0"/>
    </format>
    <format dxfId="29">
      <pivotArea outline="0" collapsedLevelsAreSubtotals="1" fieldPosition="0"/>
    </format>
    <format dxfId="28">
      <pivotArea field="-2" type="button" dataOnly="0" labelOnly="1" outline="0" axis="axisRow" fieldPosition="0"/>
    </format>
    <format dxfId="27">
      <pivotArea dataOnly="0" labelOnly="1" outline="0" fieldPosition="0">
        <references count="1">
          <reference field="4294967294" count="3">
            <x v="0"/>
            <x v="1"/>
            <x v="2"/>
          </reference>
        </references>
      </pivotArea>
    </format>
  </formats>
  <chartFormats count="5">
    <chartFormat chart="3" format="5"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 chart="4" format="7">
      <pivotArea type="data" outline="0" fieldPosition="0">
        <references count="1">
          <reference field="4294967294" count="1" selected="0">
            <x v="1"/>
          </reference>
        </references>
      </pivotArea>
    </chartFormat>
    <chartFormat chart="4" format="8">
      <pivotArea type="data" outline="0" fieldPosition="0">
        <references count="1">
          <reference field="4294967294" count="1" selected="0">
            <x v="2"/>
          </reference>
        </references>
      </pivotArea>
    </chartFormat>
    <chartFormat chart="4" format="9">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34.xml><?xml version="1.0" encoding="utf-8"?>
<pivotTableDefinition xmlns="http://schemas.openxmlformats.org/spreadsheetml/2006/main" name="PivotTable4"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16">
  <location ref="B56:C61" firstHeaderRow="2" firstDataRow="2" firstDataCol="1" rowPageCount="1" colPageCount="1"/>
  <pivotFields count="32">
    <pivotField compact="0" outline="0" subtotalTop="0" showAll="0" includeNewItemsInFilter="1"/>
    <pivotField compact="0" outline="0" subtotalTop="0" showAll="0" includeNewItemsInFilter="1"/>
    <pivotField axis="axisPage" compact="0" outline="0" subtotalTop="0" multipleItemSelectionAllowed="1" showAll="0" includeNewItemsInFilter="1">
      <items count="20">
        <item x="1"/>
        <item x="2"/>
        <item x="13"/>
        <item x="10"/>
        <item h="1" x="0"/>
        <item x="16"/>
        <item x="3"/>
        <item h="1" x="4"/>
        <item x="6"/>
        <item x="12"/>
        <item x="14"/>
        <item x="15"/>
        <item x="7"/>
        <item x="17"/>
        <item x="9"/>
        <item x="11"/>
        <item x="5"/>
        <item m="1" x="18"/>
        <item x="8"/>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howAll="0" defaultSubtotal="0">
      <items count="3">
        <item x="0"/>
        <item x="1"/>
        <item x="2"/>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8"/>
  </rowFields>
  <rowItems count="4">
    <i>
      <x/>
    </i>
    <i>
      <x v="1"/>
    </i>
    <i>
      <x v="2"/>
    </i>
    <i t="grand">
      <x/>
    </i>
  </rowItems>
  <colItems count="1">
    <i/>
  </colItems>
  <pageFields count="1">
    <pageField fld="2" hier="-1"/>
  </pageFields>
  <dataFields count="1">
    <dataField name="Sum of Total budget of the project US$. For only WASH related cost (including related support costs)" fld="23" baseField="0" baseItem="0" numFmtId="3"/>
  </dataFields>
  <formats count="12">
    <format dxfId="46">
      <pivotArea outline="0" fieldPosition="0">
        <references count="1">
          <reference field="4294967294" count="1">
            <x v="0"/>
          </reference>
        </references>
      </pivotArea>
    </format>
    <format dxfId="45">
      <pivotArea outline="0" fieldPosition="0"/>
    </format>
    <format dxfId="44">
      <pivotArea type="origin" dataOnly="0" labelOnly="1" outline="0" fieldPosition="0"/>
    </format>
    <format dxfId="43">
      <pivotArea field="2" type="button" dataOnly="0" labelOnly="1" outline="0" axis="axisPage" fieldPosition="0"/>
    </format>
    <format dxfId="42">
      <pivotArea dataOnly="0" labelOnly="1" grandRow="1" outline="0" fieldPosition="0"/>
    </format>
    <format dxfId="41">
      <pivotArea outline="0" fieldPosition="0"/>
    </format>
    <format dxfId="40">
      <pivotArea type="topRight" dataOnly="0" labelOnly="1" outline="0" fieldPosition="0"/>
    </format>
    <format dxfId="39">
      <pivotArea type="all" dataOnly="0" outline="0" fieldPosition="0"/>
    </format>
    <format dxfId="38">
      <pivotArea outline="0" collapsedLevelsAreSubtotals="1" fieldPosition="0"/>
    </format>
    <format dxfId="37">
      <pivotArea type="topRight" dataOnly="0" labelOnly="1" outline="0" fieldPosition="0"/>
    </format>
    <format dxfId="36">
      <pivotArea dataOnly="0" labelOnly="1" outline="0" fieldPosition="0">
        <references count="1">
          <reference field="8" count="0"/>
        </references>
      </pivotArea>
    </format>
    <format dxfId="35">
      <pivotArea dataOnly="0" labelOnly="1" grandRow="1" outline="0" fieldPosition="0"/>
    </format>
  </formats>
  <chartFormats count="6">
    <chartFormat chart="0" format="0" series="1">
      <pivotArea type="data" outline="0" fieldPosition="0">
        <references count="1">
          <reference field="4294967294" count="1" selected="0">
            <x v="0"/>
          </reference>
        </references>
      </pivotArea>
    </chartFormat>
    <chartFormat chart="2" format="12" series="1">
      <pivotArea type="data" outline="0" fieldPosition="0">
        <references count="1">
          <reference field="4294967294" count="1" selected="0">
            <x v="0"/>
          </reference>
        </references>
      </pivotArea>
    </chartFormat>
    <chartFormat chart="3" format="13" series="1">
      <pivotArea type="data" outline="0" fieldPosition="0">
        <references count="1">
          <reference field="4294967294" count="1" selected="0">
            <x v="0"/>
          </reference>
        </references>
      </pivotArea>
    </chartFormat>
    <chartFormat chart="4" format="12"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11" format="1" series="1">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35.xml><?xml version="1.0" encoding="utf-8"?>
<pivotTableDefinition xmlns="http://schemas.openxmlformats.org/spreadsheetml/2006/main" name="PivotTable5"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17">
  <location ref="B69:S73" firstHeaderRow="1" firstDataRow="2" firstDataCol="1"/>
  <pivotFields count="32">
    <pivotField compact="0" outline="0" subtotalTop="0" showAll="0" includeNewItemsInFilter="1"/>
    <pivotField compact="0" outline="0" subtotalTop="0" showAll="0" includeNewItemsInFilter="1"/>
    <pivotField axis="axisCol" compact="0" outline="0" subtotalTop="0" multipleItemSelectionAllowed="1" showAll="0" includeNewItemsInFilter="1">
      <items count="20">
        <item x="1"/>
        <item x="2"/>
        <item x="13"/>
        <item x="10"/>
        <item h="1" x="0"/>
        <item x="16"/>
        <item x="3"/>
        <item h="1" x="4"/>
        <item x="6"/>
        <item x="12"/>
        <item x="14"/>
        <item x="15"/>
        <item x="7"/>
        <item x="17"/>
        <item x="9"/>
        <item x="11"/>
        <item x="5"/>
        <item m="1" x="18"/>
        <item x="8"/>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dataField="1" compact="0" numFmtId="3" outline="0" showAll="0" defaultSubtotal="0"/>
    <pivotField dataField="1" compact="0" numFmtId="3" outline="0" showAll="0" defaultSubtotal="0"/>
    <pivotField dataField="1"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Fields count="1">
    <field x="2"/>
  </colFields>
  <colItems count="17">
    <i>
      <x/>
    </i>
    <i>
      <x v="1"/>
    </i>
    <i>
      <x v="2"/>
    </i>
    <i>
      <x v="3"/>
    </i>
    <i>
      <x v="5"/>
    </i>
    <i>
      <x v="6"/>
    </i>
    <i>
      <x v="8"/>
    </i>
    <i>
      <x v="9"/>
    </i>
    <i>
      <x v="10"/>
    </i>
    <i>
      <x v="11"/>
    </i>
    <i>
      <x v="12"/>
    </i>
    <i>
      <x v="13"/>
    </i>
    <i>
      <x v="14"/>
    </i>
    <i>
      <x v="15"/>
    </i>
    <i>
      <x v="16"/>
    </i>
    <i>
      <x v="18"/>
    </i>
    <i t="grand">
      <x/>
    </i>
  </colItems>
  <dataFields count="3">
    <dataField name="Before 2014" fld="24" baseField="0" baseItem="0"/>
    <dataField name="2014" fld="25" baseField="0" baseItem="0"/>
    <dataField name="2015" fld="26" baseField="0" baseItem="0"/>
  </dataFields>
  <formats count="10">
    <format dxfId="56">
      <pivotArea outline="0" fieldPosition="0"/>
    </format>
    <format dxfId="55">
      <pivotArea type="origin" dataOnly="0" labelOnly="1" outline="0" fieldPosition="0"/>
    </format>
    <format dxfId="54">
      <pivotArea field="2" type="button" dataOnly="0" labelOnly="1" outline="0" axis="axisCol" fieldPosition="0"/>
    </format>
    <format dxfId="53">
      <pivotArea dataOnly="0" labelOnly="1" grandRow="1" outline="0" fieldPosition="0"/>
    </format>
    <format dxfId="52">
      <pivotArea outline="0" fieldPosition="0"/>
    </format>
    <format dxfId="51">
      <pivotArea type="topRight" dataOnly="0" labelOnly="1" outline="0" fieldPosition="0"/>
    </format>
    <format dxfId="50">
      <pivotArea type="all" dataOnly="0" outline="0" fieldPosition="0"/>
    </format>
    <format dxfId="49">
      <pivotArea outline="0" collapsedLevelsAreSubtotals="1" fieldPosition="0"/>
    </format>
    <format dxfId="48">
      <pivotArea field="-2" type="button" dataOnly="0" labelOnly="1" outline="0" axis="axisRow" fieldPosition="0"/>
    </format>
    <format dxfId="47">
      <pivotArea dataOnly="0" labelOnly="1" outline="0" fieldPosition="0">
        <references count="1">
          <reference field="4294967294" count="2">
            <x v="0"/>
            <x v="1"/>
          </reference>
        </references>
      </pivotArea>
    </format>
  </formats>
  <chartFormats count="34">
    <chartFormat chart="7"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0"/>
          </reference>
        </references>
      </pivotArea>
    </chartFormat>
    <chartFormat chart="15" format="2" series="1">
      <pivotArea type="data" outline="0" fieldPosition="0">
        <references count="2">
          <reference field="4294967294" count="1" selected="0">
            <x v="0"/>
          </reference>
          <reference field="2" count="1" selected="0">
            <x v="0"/>
          </reference>
        </references>
      </pivotArea>
    </chartFormat>
    <chartFormat chart="15" format="3" series="1">
      <pivotArea type="data" outline="0" fieldPosition="0">
        <references count="2">
          <reference field="4294967294" count="1" selected="0">
            <x v="0"/>
          </reference>
          <reference field="2" count="1" selected="0">
            <x v="1"/>
          </reference>
        </references>
      </pivotArea>
    </chartFormat>
    <chartFormat chart="15" format="4" series="1">
      <pivotArea type="data" outline="0" fieldPosition="0">
        <references count="2">
          <reference field="4294967294" count="1" selected="0">
            <x v="0"/>
          </reference>
          <reference field="2" count="1" selected="0">
            <x v="2"/>
          </reference>
        </references>
      </pivotArea>
    </chartFormat>
    <chartFormat chart="15" format="5" series="1">
      <pivotArea type="data" outline="0" fieldPosition="0">
        <references count="2">
          <reference field="4294967294" count="1" selected="0">
            <x v="0"/>
          </reference>
          <reference field="2" count="1" selected="0">
            <x v="3"/>
          </reference>
        </references>
      </pivotArea>
    </chartFormat>
    <chartFormat chart="15" format="6" series="1">
      <pivotArea type="data" outline="0" fieldPosition="0">
        <references count="2">
          <reference field="4294967294" count="1" selected="0">
            <x v="0"/>
          </reference>
          <reference field="2" count="1" selected="0">
            <x v="5"/>
          </reference>
        </references>
      </pivotArea>
    </chartFormat>
    <chartFormat chart="15" format="7" series="1">
      <pivotArea type="data" outline="0" fieldPosition="0">
        <references count="2">
          <reference field="4294967294" count="1" selected="0">
            <x v="0"/>
          </reference>
          <reference field="2" count="1" selected="0">
            <x v="6"/>
          </reference>
        </references>
      </pivotArea>
    </chartFormat>
    <chartFormat chart="15" format="8" series="1">
      <pivotArea type="data" outline="0" fieldPosition="0">
        <references count="2">
          <reference field="4294967294" count="1" selected="0">
            <x v="0"/>
          </reference>
          <reference field="2" count="1" selected="0">
            <x v="8"/>
          </reference>
        </references>
      </pivotArea>
    </chartFormat>
    <chartFormat chart="15" format="9" series="1">
      <pivotArea type="data" outline="0" fieldPosition="0">
        <references count="2">
          <reference field="4294967294" count="1" selected="0">
            <x v="0"/>
          </reference>
          <reference field="2" count="1" selected="0">
            <x v="9"/>
          </reference>
        </references>
      </pivotArea>
    </chartFormat>
    <chartFormat chart="15" format="10" series="1">
      <pivotArea type="data" outline="0" fieldPosition="0">
        <references count="2">
          <reference field="4294967294" count="1" selected="0">
            <x v="0"/>
          </reference>
          <reference field="2" count="1" selected="0">
            <x v="10"/>
          </reference>
        </references>
      </pivotArea>
    </chartFormat>
    <chartFormat chart="15" format="11" series="1">
      <pivotArea type="data" outline="0" fieldPosition="0">
        <references count="2">
          <reference field="4294967294" count="1" selected="0">
            <x v="0"/>
          </reference>
          <reference field="2" count="1" selected="0">
            <x v="11"/>
          </reference>
        </references>
      </pivotArea>
    </chartFormat>
    <chartFormat chart="15" format="12" series="1">
      <pivotArea type="data" outline="0" fieldPosition="0">
        <references count="2">
          <reference field="4294967294" count="1" selected="0">
            <x v="0"/>
          </reference>
          <reference field="2" count="1" selected="0">
            <x v="12"/>
          </reference>
        </references>
      </pivotArea>
    </chartFormat>
    <chartFormat chart="15" format="13" series="1">
      <pivotArea type="data" outline="0" fieldPosition="0">
        <references count="2">
          <reference field="4294967294" count="1" selected="0">
            <x v="0"/>
          </reference>
          <reference field="2" count="1" selected="0">
            <x v="13"/>
          </reference>
        </references>
      </pivotArea>
    </chartFormat>
    <chartFormat chart="15" format="14" series="1">
      <pivotArea type="data" outline="0" fieldPosition="0">
        <references count="2">
          <reference field="4294967294" count="1" selected="0">
            <x v="0"/>
          </reference>
          <reference field="2" count="1" selected="0">
            <x v="14"/>
          </reference>
        </references>
      </pivotArea>
    </chartFormat>
    <chartFormat chart="15" format="15" series="1">
      <pivotArea type="data" outline="0" fieldPosition="0">
        <references count="2">
          <reference field="4294967294" count="1" selected="0">
            <x v="0"/>
          </reference>
          <reference field="2" count="1" selected="0">
            <x v="15"/>
          </reference>
        </references>
      </pivotArea>
    </chartFormat>
    <chartFormat chart="15" format="16" series="1">
      <pivotArea type="data" outline="0" fieldPosition="0">
        <references count="2">
          <reference field="4294967294" count="1" selected="0">
            <x v="0"/>
          </reference>
          <reference field="2" count="1" selected="0">
            <x v="16"/>
          </reference>
        </references>
      </pivotArea>
    </chartFormat>
    <chartFormat chart="15" format="17" series="1">
      <pivotArea type="data" outline="0" fieldPosition="0">
        <references count="2">
          <reference field="4294967294" count="1" selected="0">
            <x v="0"/>
          </reference>
          <reference field="2" count="1" selected="0">
            <x v="18"/>
          </reference>
        </references>
      </pivotArea>
    </chartFormat>
    <chartFormat chart="16" format="18" series="1">
      <pivotArea type="data" outline="0" fieldPosition="0">
        <references count="2">
          <reference field="4294967294" count="1" selected="0">
            <x v="0"/>
          </reference>
          <reference field="2" count="1" selected="0">
            <x v="0"/>
          </reference>
        </references>
      </pivotArea>
    </chartFormat>
    <chartFormat chart="16" format="19" series="1">
      <pivotArea type="data" outline="0" fieldPosition="0">
        <references count="2">
          <reference field="4294967294" count="1" selected="0">
            <x v="0"/>
          </reference>
          <reference field="2" count="1" selected="0">
            <x v="1"/>
          </reference>
        </references>
      </pivotArea>
    </chartFormat>
    <chartFormat chart="16" format="20" series="1">
      <pivotArea type="data" outline="0" fieldPosition="0">
        <references count="2">
          <reference field="4294967294" count="1" selected="0">
            <x v="0"/>
          </reference>
          <reference field="2" count="1" selected="0">
            <x v="2"/>
          </reference>
        </references>
      </pivotArea>
    </chartFormat>
    <chartFormat chart="16" format="21" series="1">
      <pivotArea type="data" outline="0" fieldPosition="0">
        <references count="2">
          <reference field="4294967294" count="1" selected="0">
            <x v="0"/>
          </reference>
          <reference field="2" count="1" selected="0">
            <x v="3"/>
          </reference>
        </references>
      </pivotArea>
    </chartFormat>
    <chartFormat chart="16" format="22" series="1">
      <pivotArea type="data" outline="0" fieldPosition="0">
        <references count="2">
          <reference field="4294967294" count="1" selected="0">
            <x v="0"/>
          </reference>
          <reference field="2" count="1" selected="0">
            <x v="5"/>
          </reference>
        </references>
      </pivotArea>
    </chartFormat>
    <chartFormat chart="16" format="23" series="1">
      <pivotArea type="data" outline="0" fieldPosition="0">
        <references count="2">
          <reference field="4294967294" count="1" selected="0">
            <x v="0"/>
          </reference>
          <reference field="2" count="1" selected="0">
            <x v="6"/>
          </reference>
        </references>
      </pivotArea>
    </chartFormat>
    <chartFormat chart="16" format="24" series="1">
      <pivotArea type="data" outline="0" fieldPosition="0">
        <references count="2">
          <reference field="4294967294" count="1" selected="0">
            <x v="0"/>
          </reference>
          <reference field="2" count="1" selected="0">
            <x v="8"/>
          </reference>
        </references>
      </pivotArea>
    </chartFormat>
    <chartFormat chart="16" format="25" series="1">
      <pivotArea type="data" outline="0" fieldPosition="0">
        <references count="2">
          <reference field="4294967294" count="1" selected="0">
            <x v="0"/>
          </reference>
          <reference field="2" count="1" selected="0">
            <x v="9"/>
          </reference>
        </references>
      </pivotArea>
    </chartFormat>
    <chartFormat chart="16" format="26" series="1">
      <pivotArea type="data" outline="0" fieldPosition="0">
        <references count="2">
          <reference field="4294967294" count="1" selected="0">
            <x v="0"/>
          </reference>
          <reference field="2" count="1" selected="0">
            <x v="10"/>
          </reference>
        </references>
      </pivotArea>
    </chartFormat>
    <chartFormat chart="16" format="27" series="1">
      <pivotArea type="data" outline="0" fieldPosition="0">
        <references count="2">
          <reference field="4294967294" count="1" selected="0">
            <x v="0"/>
          </reference>
          <reference field="2" count="1" selected="0">
            <x v="11"/>
          </reference>
        </references>
      </pivotArea>
    </chartFormat>
    <chartFormat chart="16" format="28" series="1">
      <pivotArea type="data" outline="0" fieldPosition="0">
        <references count="2">
          <reference field="4294967294" count="1" selected="0">
            <x v="0"/>
          </reference>
          <reference field="2" count="1" selected="0">
            <x v="12"/>
          </reference>
        </references>
      </pivotArea>
    </chartFormat>
    <chartFormat chart="16" format="29" series="1">
      <pivotArea type="data" outline="0" fieldPosition="0">
        <references count="2">
          <reference field="4294967294" count="1" selected="0">
            <x v="0"/>
          </reference>
          <reference field="2" count="1" selected="0">
            <x v="13"/>
          </reference>
        </references>
      </pivotArea>
    </chartFormat>
    <chartFormat chart="16" format="30" series="1">
      <pivotArea type="data" outline="0" fieldPosition="0">
        <references count="2">
          <reference field="4294967294" count="1" selected="0">
            <x v="0"/>
          </reference>
          <reference field="2" count="1" selected="0">
            <x v="14"/>
          </reference>
        </references>
      </pivotArea>
    </chartFormat>
    <chartFormat chart="16" format="31" series="1">
      <pivotArea type="data" outline="0" fieldPosition="0">
        <references count="2">
          <reference field="4294967294" count="1" selected="0">
            <x v="0"/>
          </reference>
          <reference field="2" count="1" selected="0">
            <x v="15"/>
          </reference>
        </references>
      </pivotArea>
    </chartFormat>
    <chartFormat chart="16" format="32" series="1">
      <pivotArea type="data" outline="0" fieldPosition="0">
        <references count="2">
          <reference field="4294967294" count="1" selected="0">
            <x v="0"/>
          </reference>
          <reference field="2" count="1" selected="0">
            <x v="16"/>
          </reference>
        </references>
      </pivotArea>
    </chartFormat>
    <chartFormat chart="16" format="33" series="1">
      <pivotArea type="data" outline="0" fieldPosition="0">
        <references count="2">
          <reference field="4294967294" count="1" selected="0">
            <x v="0"/>
          </reference>
          <reference field="2" count="1" selected="0">
            <x v="18"/>
          </reference>
        </references>
      </pivotArea>
    </chartFormat>
  </chartFormats>
  <pivotTableStyleInfo showRowHeaders="1" showColHeaders="1" showRowStripes="0" showColStripes="0" showLastColumn="1"/>
</pivotTableDefinition>
</file>

<file path=xl/pivotTables/pivotTable36.xml><?xml version="1.0" encoding="utf-8"?>
<pivotTableDefinition xmlns="http://schemas.openxmlformats.org/spreadsheetml/2006/main" name="PivotTable9"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0">
  <location ref="B108:C110" firstHeaderRow="1" firstDataRow="1" firstDataCol="1" rowPageCount="1" colPageCount="1"/>
  <pivotFields count="32">
    <pivotField compact="0" outline="0" subtotalTop="0" showAll="0" includeNewItemsInFilter="1">
      <items count="16">
        <item x="9"/>
        <item x="14"/>
        <item x="3"/>
        <item x="4"/>
        <item x="6"/>
        <item x="0"/>
        <item x="1"/>
        <item x="2"/>
        <item x="5"/>
        <item x="7"/>
        <item x="8"/>
        <item x="11"/>
        <item x="13"/>
        <item x="10"/>
        <item x="1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multipleItemSelectionAllowed="1" showAll="0" defaultSubtotal="0">
      <items count="3">
        <item x="0"/>
        <item x="1"/>
        <item x="2"/>
      </items>
    </pivotField>
    <pivotField compact="0" outline="0" subtotalTop="0" showAll="0" includeNewItemsInFilter="1"/>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2">
    <i>
      <x/>
    </i>
    <i i="1">
      <x v="1"/>
    </i>
  </rowItems>
  <colItems count="1">
    <i/>
  </colItems>
  <pageFields count="1">
    <pageField fld="8" hier="-1"/>
  </pageFields>
  <dataFields count="2">
    <dataField name="Average of Approximative % of NGCA beneficiaries" fld="10" subtotal="average" baseField="0" baseItem="3075528"/>
    <dataField name="Average of Approximative % of GCA beneficiaries" fld="11" subtotal="average" baseField="0" baseItem="3075528"/>
  </dataFields>
  <formats count="8">
    <format dxfId="64">
      <pivotArea outline="0" fieldPosition="0"/>
    </format>
    <format dxfId="63">
      <pivotArea field="0" type="button" dataOnly="0" labelOnly="1" outline="0"/>
    </format>
    <format dxfId="62">
      <pivotArea field="-2" type="button" dataOnly="0" labelOnly="1" outline="0" axis="axisRow" fieldPosition="0"/>
    </format>
    <format dxfId="61">
      <pivotArea outline="0" fieldPosition="0"/>
    </format>
    <format dxfId="60">
      <pivotArea type="all" dataOnly="0" outline="0" fieldPosition="0"/>
    </format>
    <format dxfId="59">
      <pivotArea outline="0" collapsedLevelsAreSubtotals="1" fieldPosition="0"/>
    </format>
    <format dxfId="58">
      <pivotArea field="-2" type="button" dataOnly="0" labelOnly="1" outline="0" axis="axisRow" fieldPosition="0"/>
    </format>
    <format dxfId="57">
      <pivotArea dataOnly="0" labelOnly="1" outline="0" fieldPosition="0">
        <references count="1">
          <reference field="4294967294" count="2">
            <x v="0"/>
            <x v="1"/>
          </reference>
        </references>
      </pivotArea>
    </format>
  </formats>
  <chartFormats count="4">
    <chartFormat chart="15" format="4" series="1">
      <pivotArea type="data" outline="0" fieldPosition="0">
        <references count="1">
          <reference field="4294967294" count="1" selected="0">
            <x v="0"/>
          </reference>
        </references>
      </pivotArea>
    </chartFormat>
    <chartFormat chart="15" format="5">
      <pivotArea type="data" outline="0" fieldPosition="0">
        <references count="1">
          <reference field="4294967294" count="1" selected="0">
            <x v="0"/>
          </reference>
        </references>
      </pivotArea>
    </chartFormat>
    <chartFormat chart="18" format="6" series="1">
      <pivotArea type="data" outline="0" fieldPosition="0">
        <references count="1">
          <reference field="4294967294" count="1" selected="0">
            <x v="0"/>
          </reference>
        </references>
      </pivotArea>
    </chartFormat>
    <chartFormat chart="18" format="7">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37.xml><?xml version="1.0" encoding="utf-8"?>
<pivotTableDefinition xmlns="http://schemas.openxmlformats.org/spreadsheetml/2006/main" name="PivotTable3"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
  <location ref="B140:C143" firstHeaderRow="1" firstDataRow="1" firstDataCol="1" rowPageCount="1" colPageCount="1"/>
  <pivotFields count="32">
    <pivotField compact="0" outline="0" subtotalTop="0" showAll="0" includeNewItemsInFilter="1">
      <items count="16">
        <item x="9"/>
        <item x="14"/>
        <item x="3"/>
        <item x="4"/>
        <item x="6"/>
        <item x="0"/>
        <item x="1"/>
        <item x="2"/>
        <item x="5"/>
        <item x="7"/>
        <item x="8"/>
        <item x="11"/>
        <item x="13"/>
        <item x="10"/>
        <item x="1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howAll="0" defaultSubtotal="0">
      <items count="3">
        <item x="0"/>
        <item x="1"/>
        <item x="2"/>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s>
  <rowFields count="1">
    <field x="-2"/>
  </rowFields>
  <rowItems count="3">
    <i>
      <x/>
    </i>
    <i i="1">
      <x v="1"/>
    </i>
    <i i="2">
      <x v="2"/>
    </i>
  </rowItems>
  <colItems count="1">
    <i/>
  </colItems>
  <pageFields count="1">
    <pageField fld="8" hier="-1"/>
  </pageFields>
  <dataFields count="3">
    <dataField name="Average of Approximate % of fund dedicated to sanitation" fld="28" subtotal="average" baseField="0" baseItem="29047"/>
    <dataField name="Average of Approximate % fund dedicated to Water access" fld="29" subtotal="average" baseField="0" baseItem="29047"/>
    <dataField name="Average of Approximate % of fund dedicated to HP" fld="30" subtotal="average" baseField="0" baseItem="29047"/>
  </dataFields>
  <formats count="9">
    <format dxfId="73">
      <pivotArea outline="0" fieldPosition="0"/>
    </format>
    <format dxfId="72">
      <pivotArea field="0" type="button" dataOnly="0" labelOnly="1" outline="0"/>
    </format>
    <format dxfId="71">
      <pivotArea field="-2" type="button" dataOnly="0" labelOnly="1" outline="0" axis="axisRow" fieldPosition="0"/>
    </format>
    <format dxfId="70">
      <pivotArea dataOnly="0" labelOnly="1" outline="0" fieldPosition="0">
        <references count="1">
          <reference field="4294967294" count="3">
            <x v="0"/>
            <x v="1"/>
            <x v="2"/>
          </reference>
        </references>
      </pivotArea>
    </format>
    <format dxfId="69">
      <pivotArea outline="0" fieldPosition="0"/>
    </format>
    <format dxfId="68">
      <pivotArea type="all" dataOnly="0" outline="0" fieldPosition="0"/>
    </format>
    <format dxfId="67">
      <pivotArea outline="0" collapsedLevelsAreSubtotals="1" fieldPosition="0"/>
    </format>
    <format dxfId="66">
      <pivotArea field="-2" type="button" dataOnly="0" labelOnly="1" outline="0" axis="axisRow" fieldPosition="0"/>
    </format>
    <format dxfId="65">
      <pivotArea dataOnly="0" labelOnly="1" outline="0" fieldPosition="0">
        <references count="1">
          <reference field="4294967294" count="3">
            <x v="0"/>
            <x v="1"/>
            <x v="2"/>
          </reference>
        </references>
      </pivotArea>
    </format>
  </formats>
  <chartFormats count="8">
    <chartFormat chart="0" format="2">
      <pivotArea type="data" outline="0" fieldPosition="0">
        <references count="1">
          <reference field="4294967294" count="1" selected="0">
            <x v="0"/>
          </reference>
        </references>
      </pivotArea>
    </chartFormat>
    <chartFormat chart="0" format="3">
      <pivotArea type="data" outline="0" fieldPosition="0">
        <references count="1">
          <reference field="4294967294" count="1" selected="0">
            <x v="1"/>
          </reference>
        </references>
      </pivotArea>
    </chartFormat>
    <chartFormat chart="0" format="4">
      <pivotArea type="data" outline="0" fieldPosition="0">
        <references count="1">
          <reference field="4294967294" count="1" selected="0">
            <x v="2"/>
          </reference>
        </references>
      </pivotArea>
    </chartFormat>
    <chartFormat chart="0" format="5"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0"/>
          </reference>
        </references>
      </pivotArea>
    </chartFormat>
    <chartFormat chart="3" format="7">
      <pivotArea type="data" outline="0" fieldPosition="0">
        <references count="1">
          <reference field="4294967294" count="1" selected="0">
            <x v="0"/>
          </reference>
        </references>
      </pivotArea>
    </chartFormat>
    <chartFormat chart="3" format="8">
      <pivotArea type="data" outline="0" fieldPosition="0">
        <references count="1">
          <reference field="4294967294" count="1" selected="0">
            <x v="1"/>
          </reference>
        </references>
      </pivotArea>
    </chartFormat>
    <chartFormat chart="3" format="9">
      <pivotArea type="data" outline="0" fieldPosition="0">
        <references count="1">
          <reference field="4294967294" count="1" selected="0">
            <x v="2"/>
          </reference>
        </references>
      </pivotArea>
    </chartFormat>
  </chartFormats>
  <pivotTableStyleInfo showRowHeaders="1" showColHeaders="1" showRowStripes="0" showColStripes="0" showLastColumn="1"/>
</pivotTableDefinition>
</file>

<file path=xl/pivotTables/pivotTable38.xml><?xml version="1.0" encoding="utf-8"?>
<pivotTableDefinition xmlns="http://schemas.openxmlformats.org/spreadsheetml/2006/main" name="PivotTable6"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3">
  <location ref="B153:F157" firstHeaderRow="1" firstDataRow="2" firstDataCol="1"/>
  <pivotFields count="32">
    <pivotField compact="0" outline="0" subtotalTop="0" showAll="0" includeNewItemsInFilter="1">
      <items count="16">
        <item x="9"/>
        <item x="14"/>
        <item x="3"/>
        <item x="4"/>
        <item x="6"/>
        <item x="0"/>
        <item x="1"/>
        <item x="2"/>
        <item x="5"/>
        <item x="7"/>
        <item x="8"/>
        <item x="11"/>
        <item x="13"/>
        <item x="10"/>
        <item x="12"/>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howAll="0" defaultSubtotal="0">
      <items count="3">
        <item x="0"/>
        <item x="1"/>
        <item x="2"/>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Fields count="1">
    <field x="8"/>
  </colFields>
  <colItems count="4">
    <i>
      <x/>
    </i>
    <i>
      <x v="1"/>
    </i>
    <i>
      <x v="2"/>
    </i>
    <i t="grand">
      <x/>
    </i>
  </colItems>
  <dataFields count="3">
    <dataField name="Number of sanitation beneficiaries" fld="17" baseField="0" baseItem="3207800"/>
    <dataField name="Number of water access beneficiaries" fld="18" baseField="0" baseItem="3207800"/>
    <dataField name=" Number of beneficiairies for HE" fld="19" baseField="0" baseItem="3207800"/>
  </dataFields>
  <formats count="10">
    <format dxfId="83">
      <pivotArea outline="0" fieldPosition="0"/>
    </format>
    <format dxfId="82">
      <pivotArea field="0" type="button" dataOnly="0" labelOnly="1" outline="0"/>
    </format>
    <format dxfId="81">
      <pivotArea field="-2" type="button" dataOnly="0" labelOnly="1" outline="0" axis="axisRow" fieldPosition="0"/>
    </format>
    <format dxfId="80">
      <pivotArea outline="0" fieldPosition="0"/>
    </format>
    <format dxfId="79">
      <pivotArea outline="0" collapsedLevelsAreSubtotals="1" fieldPosition="0"/>
    </format>
    <format dxfId="78">
      <pivotArea type="all" dataOnly="0" outline="0" fieldPosition="0"/>
    </format>
    <format dxfId="77">
      <pivotArea outline="0" collapsedLevelsAreSubtotals="1" fieldPosition="0"/>
    </format>
    <format dxfId="76">
      <pivotArea dataOnly="0" labelOnly="1" outline="0" fieldPosition="0">
        <references count="1">
          <reference field="4294967294" count="3">
            <x v="0"/>
            <x v="1"/>
            <x v="2"/>
          </reference>
        </references>
      </pivotArea>
    </format>
    <format dxfId="75">
      <pivotArea dataOnly="0" labelOnly="1" outline="0" fieldPosition="0">
        <references count="1">
          <reference field="8" count="0"/>
        </references>
      </pivotArea>
    </format>
    <format dxfId="74">
      <pivotArea dataOnly="0" labelOnly="1" grandCol="1" outline="0" fieldPosition="0"/>
    </format>
  </formats>
  <chartFormats count="4">
    <chartFormat chart="1" format="0" series="1">
      <pivotArea type="data" outline="0" fieldPosition="0">
        <references count="1">
          <reference field="4294967294" count="1" selected="0">
            <x v="0"/>
          </reference>
        </references>
      </pivotArea>
    </chartFormat>
    <chartFormat chart="2" format="1" series="1">
      <pivotArea type="data" outline="0" fieldPosition="0">
        <references count="2">
          <reference field="4294967294" count="1" selected="0">
            <x v="0"/>
          </reference>
          <reference field="8" count="1" selected="0">
            <x v="0"/>
          </reference>
        </references>
      </pivotArea>
    </chartFormat>
    <chartFormat chart="2" format="2" series="1">
      <pivotArea type="data" outline="0" fieldPosition="0">
        <references count="2">
          <reference field="4294967294" count="1" selected="0">
            <x v="0"/>
          </reference>
          <reference field="8" count="1" selected="0">
            <x v="1"/>
          </reference>
        </references>
      </pivotArea>
    </chartFormat>
    <chartFormat chart="2" format="3" series="1">
      <pivotArea type="data" outline="0" fieldPosition="0">
        <references count="2">
          <reference field="4294967294" count="1" selected="0">
            <x v="0"/>
          </reference>
          <reference field="8" count="1" selected="0">
            <x v="2"/>
          </reference>
        </references>
      </pivotArea>
    </chartFormat>
  </chartFormats>
  <pivotTableStyleInfo showRowHeaders="1" showColHeaders="1" showRowStripes="0" showColStripes="0" showLastColumn="1"/>
</pivotTableDefinition>
</file>

<file path=xl/pivotTables/pivotTable39.xml><?xml version="1.0" encoding="utf-8"?>
<pivotTableDefinition xmlns="http://schemas.openxmlformats.org/spreadsheetml/2006/main" name="PivotTable2"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10">
  <location ref="B8:C26" firstHeaderRow="2" firstDataRow="2" firstDataCol="1" rowPageCount="1" colPageCount="1"/>
  <pivotFields count="32">
    <pivotField compact="0" outline="0" subtotalTop="0" showAll="0" includeNewItemsInFilter="1"/>
    <pivotField compact="0" outline="0" subtotalTop="0" showAll="0" includeNewItemsInFilter="1"/>
    <pivotField axis="axisRow" compact="0" outline="0" subtotalTop="0" showAll="0" includeNewItemsInFilter="1">
      <items count="20">
        <item x="1"/>
        <item x="2"/>
        <item x="13"/>
        <item x="10"/>
        <item h="1" x="0"/>
        <item x="16"/>
        <item x="3"/>
        <item h="1" x="4"/>
        <item x="6"/>
        <item x="12"/>
        <item x="14"/>
        <item x="15"/>
        <item x="7"/>
        <item x="17"/>
        <item x="9"/>
        <item x="11"/>
        <item x="5"/>
        <item m="1" x="18"/>
        <item x="8"/>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multipleItemSelectionAllowed="1" showAll="0" defaultSubtotal="0">
      <items count="3">
        <item x="0"/>
        <item x="1"/>
        <item x="2"/>
      </items>
    </pivotField>
    <pivotField compact="0"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ubtotalTop="0" showAll="0" includeNewItemsInFilter="1"/>
    <pivotField compact="0" numFmtId="3" outline="0" showAll="0" defaultSubtotal="0"/>
    <pivotField compact="0" numFmtId="3"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17">
    <i>
      <x/>
    </i>
    <i>
      <x v="1"/>
    </i>
    <i>
      <x v="2"/>
    </i>
    <i>
      <x v="3"/>
    </i>
    <i>
      <x v="5"/>
    </i>
    <i>
      <x v="6"/>
    </i>
    <i>
      <x v="8"/>
    </i>
    <i>
      <x v="9"/>
    </i>
    <i>
      <x v="10"/>
    </i>
    <i>
      <x v="11"/>
    </i>
    <i>
      <x v="12"/>
    </i>
    <i>
      <x v="13"/>
    </i>
    <i>
      <x v="14"/>
    </i>
    <i>
      <x v="15"/>
    </i>
    <i>
      <x v="16"/>
    </i>
    <i>
      <x v="18"/>
    </i>
    <i t="grand">
      <x/>
    </i>
  </rowItems>
  <colItems count="1">
    <i/>
  </colItems>
  <pageFields count="1">
    <pageField fld="8" hier="-1"/>
  </pageFields>
  <dataFields count="1">
    <dataField name="Sum of Total budget of the project US$. For only WASH related cost (including related support costs)" fld="23" baseField="2" baseItem="5" numFmtId="3"/>
  </dataFields>
  <formats count="12">
    <format dxfId="95">
      <pivotArea outline="0" fieldPosition="0">
        <references count="1">
          <reference field="4294967294" count="1">
            <x v="0"/>
          </reference>
        </references>
      </pivotArea>
    </format>
    <format dxfId="94">
      <pivotArea outline="0" fieldPosition="0"/>
    </format>
    <format dxfId="93">
      <pivotArea type="origin" dataOnly="0" labelOnly="1" outline="0" fieldPosition="0"/>
    </format>
    <format dxfId="92">
      <pivotArea field="2" type="button" dataOnly="0" labelOnly="1" outline="0" axis="axisRow" fieldPosition="0"/>
    </format>
    <format dxfId="91">
      <pivotArea dataOnly="0" labelOnly="1" grandRow="1" outline="0" fieldPosition="0"/>
    </format>
    <format dxfId="90">
      <pivotArea outline="0" fieldPosition="0"/>
    </format>
    <format dxfId="89">
      <pivotArea type="topRight" dataOnly="0" labelOnly="1" outline="0" fieldPosition="0"/>
    </format>
    <format dxfId="88">
      <pivotArea type="all" dataOnly="0" outline="0" fieldPosition="0"/>
    </format>
    <format dxfId="87">
      <pivotArea outline="0" collapsedLevelsAreSubtotals="1" fieldPosition="0"/>
    </format>
    <format dxfId="86">
      <pivotArea type="topRight" dataOnly="0" labelOnly="1" outline="0" fieldPosition="0"/>
    </format>
    <format dxfId="85">
      <pivotArea dataOnly="0" labelOnly="1" outline="0" fieldPosition="0">
        <references count="1">
          <reference field="2" count="0"/>
        </references>
      </pivotArea>
    </format>
    <format dxfId="84">
      <pivotArea dataOnly="0" labelOnly="1" grandRow="1" outline="0" fieldPosition="0"/>
    </format>
  </formats>
  <chartFormats count="23">
    <chartFormat chart="0" format="0" series="1">
      <pivotArea type="data" outline="0" fieldPosition="0">
        <references count="1">
          <reference field="4294967294" count="1" selected="0">
            <x v="0"/>
          </reference>
        </references>
      </pivotArea>
    </chartFormat>
    <chartFormat chart="2" format="12" series="1">
      <pivotArea type="data" outline="0" fieldPosition="0">
        <references count="1">
          <reference field="4294967294" count="1" selected="0">
            <x v="0"/>
          </reference>
        </references>
      </pivotArea>
    </chartFormat>
    <chartFormat chart="3" format="13" series="1">
      <pivotArea type="data" outline="0" fieldPosition="0">
        <references count="1">
          <reference field="4294967294" count="1" selected="0">
            <x v="0"/>
          </reference>
        </references>
      </pivotArea>
    </chartFormat>
    <chartFormat chart="4" format="12" series="1">
      <pivotArea type="data" outline="0" fieldPosition="0">
        <references count="1">
          <reference field="4294967294" count="1" selected="0">
            <x v="0"/>
          </reference>
        </references>
      </pivotArea>
    </chartFormat>
    <chartFormat chart="0" format="12">
      <pivotArea type="data" outline="0" fieldPosition="0">
        <references count="2">
          <reference field="4294967294" count="1" selected="0">
            <x v="0"/>
          </reference>
          <reference field="2" count="1" selected="0">
            <x v="1"/>
          </reference>
        </references>
      </pivotArea>
    </chartFormat>
    <chartFormat chart="0" format="13">
      <pivotArea type="data" outline="0" fieldPosition="0">
        <references count="2">
          <reference field="4294967294" count="1" selected="0">
            <x v="0"/>
          </reference>
          <reference field="2" count="1" selected="0">
            <x v="12"/>
          </reference>
        </references>
      </pivotArea>
    </chartFormat>
    <chartFormat chart="8" format="14" series="1">
      <pivotArea type="data" outline="0" fieldPosition="0">
        <references count="1">
          <reference field="4294967294" count="1" selected="0">
            <x v="0"/>
          </reference>
        </references>
      </pivotArea>
    </chartFormat>
    <chartFormat chart="8" format="15">
      <pivotArea type="data" outline="0" fieldPosition="0">
        <references count="2">
          <reference field="4294967294" count="1" selected="0">
            <x v="0"/>
          </reference>
          <reference field="2" count="1" selected="0">
            <x v="1"/>
          </reference>
        </references>
      </pivotArea>
    </chartFormat>
    <chartFormat chart="8" format="16">
      <pivotArea type="data" outline="0" fieldPosition="0">
        <references count="2">
          <reference field="4294967294" count="1" selected="0">
            <x v="0"/>
          </reference>
          <reference field="2" count="1" selected="0">
            <x v="12"/>
          </reference>
        </references>
      </pivotArea>
    </chartFormat>
    <chartFormat chart="8" format="17">
      <pivotArea type="data" outline="0" fieldPosition="0">
        <references count="2">
          <reference field="4294967294" count="1" selected="0">
            <x v="0"/>
          </reference>
          <reference field="2" count="1" selected="0">
            <x v="16"/>
          </reference>
        </references>
      </pivotArea>
    </chartFormat>
    <chartFormat chart="8" format="18">
      <pivotArea type="data" outline="0" fieldPosition="0">
        <references count="2">
          <reference field="4294967294" count="1" selected="0">
            <x v="0"/>
          </reference>
          <reference field="2" count="1" selected="0">
            <x v="2"/>
          </reference>
        </references>
      </pivotArea>
    </chartFormat>
    <chartFormat chart="8" format="19">
      <pivotArea type="data" outline="0" fieldPosition="0">
        <references count="2">
          <reference field="4294967294" count="1" selected="0">
            <x v="0"/>
          </reference>
          <reference field="2" count="1" selected="0">
            <x v="6"/>
          </reference>
        </references>
      </pivotArea>
    </chartFormat>
    <chartFormat chart="8" format="20">
      <pivotArea type="data" outline="0" fieldPosition="0">
        <references count="2">
          <reference field="4294967294" count="1" selected="0">
            <x v="0"/>
          </reference>
          <reference field="2" count="1" selected="0">
            <x v="8"/>
          </reference>
        </references>
      </pivotArea>
    </chartFormat>
    <chartFormat chart="8" format="21">
      <pivotArea type="data" outline="0" fieldPosition="0">
        <references count="2">
          <reference field="4294967294" count="1" selected="0">
            <x v="0"/>
          </reference>
          <reference field="2" count="1" selected="0">
            <x v="17"/>
          </reference>
        </references>
      </pivotArea>
    </chartFormat>
    <chartFormat chart="8" format="22">
      <pivotArea type="data" outline="0" fieldPosition="0">
        <references count="2">
          <reference field="4294967294" count="1" selected="0">
            <x v="0"/>
          </reference>
          <reference field="2" count="1" selected="0">
            <x v="13"/>
          </reference>
        </references>
      </pivotArea>
    </chartFormat>
    <chartFormat chart="8" format="23">
      <pivotArea type="data" outline="0" fieldPosition="0">
        <references count="2">
          <reference field="4294967294" count="1" selected="0">
            <x v="0"/>
          </reference>
          <reference field="2" count="1" selected="0">
            <x v="9"/>
          </reference>
        </references>
      </pivotArea>
    </chartFormat>
    <chartFormat chart="8" format="24">
      <pivotArea type="data" outline="0" fieldPosition="0">
        <references count="2">
          <reference field="4294967294" count="1" selected="0">
            <x v="0"/>
          </reference>
          <reference field="2" count="1" selected="0">
            <x v="11"/>
          </reference>
        </references>
      </pivotArea>
    </chartFormat>
    <chartFormat chart="8" format="25">
      <pivotArea type="data" outline="0" fieldPosition="0">
        <references count="2">
          <reference field="4294967294" count="1" selected="0">
            <x v="0"/>
          </reference>
          <reference field="2" count="1" selected="0">
            <x v="15"/>
          </reference>
        </references>
      </pivotArea>
    </chartFormat>
    <chartFormat chart="8" format="26">
      <pivotArea type="data" outline="0" fieldPosition="0">
        <references count="2">
          <reference field="4294967294" count="1" selected="0">
            <x v="0"/>
          </reference>
          <reference field="2" count="1" selected="0">
            <x v="3"/>
          </reference>
        </references>
      </pivotArea>
    </chartFormat>
    <chartFormat chart="8" format="27">
      <pivotArea type="data" outline="0" fieldPosition="0">
        <references count="2">
          <reference field="4294967294" count="1" selected="0">
            <x v="0"/>
          </reference>
          <reference field="2" count="1" selected="0">
            <x v="5"/>
          </reference>
        </references>
      </pivotArea>
    </chartFormat>
    <chartFormat chart="8" format="28">
      <pivotArea type="data" outline="0" fieldPosition="0">
        <references count="2">
          <reference field="4294967294" count="1" selected="0">
            <x v="0"/>
          </reference>
          <reference field="2" count="1" selected="0">
            <x v="14"/>
          </reference>
        </references>
      </pivotArea>
    </chartFormat>
    <chartFormat chart="8" format="29">
      <pivotArea type="data" outline="0" fieldPosition="0">
        <references count="2">
          <reference field="4294967294" count="1" selected="0">
            <x v="0"/>
          </reference>
          <reference field="2" count="1" selected="0">
            <x v="0"/>
          </reference>
        </references>
      </pivotArea>
    </chartFormat>
    <chartFormat chart="8" format="30">
      <pivotArea type="data" outline="0" fieldPosition="0">
        <references count="2">
          <reference field="4294967294" count="1" selected="0">
            <x v="0"/>
          </reference>
          <reference field="2" count="1" selected="0">
            <x v="10"/>
          </reference>
        </references>
      </pivotArea>
    </chartFormat>
  </chart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34">
  <location ref="B482:C489" firstHeaderRow="1" firstDataRow="1" firstDataCol="1" rowPageCount="3" colPageCount="1"/>
  <pivotFields count="95">
    <pivotField showAll="0"/>
    <pivotField showAll="0"/>
    <pivotField showAll="0"/>
    <pivotField showAll="0"/>
    <pivotField showAll="0"/>
    <pivotField showAll="0"/>
    <pivotField axis="axisPage" multipleItemSelectionAllowed="1" showAll="0">
      <items count="4">
        <item x="0"/>
        <item h="1" x="2"/>
        <item h="1" x="1"/>
        <item t="default"/>
      </items>
    </pivotField>
    <pivotField axis="axisPage"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axis="axisRow" dataField="1" showAll="0">
      <items count="10">
        <item x="3"/>
        <item m="1" x="6"/>
        <item x="1"/>
        <item x="2"/>
        <item x="0"/>
        <item m="1" x="8"/>
        <item x="4"/>
        <item m="1" x="7"/>
        <item x="5"/>
        <item t="default"/>
      </items>
    </pivotField>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58"/>
  </rowFields>
  <rowItems count="7">
    <i>
      <x/>
    </i>
    <i>
      <x v="2"/>
    </i>
    <i>
      <x v="3"/>
    </i>
    <i>
      <x v="4"/>
    </i>
    <i>
      <x v="6"/>
    </i>
    <i>
      <x v="8"/>
    </i>
    <i t="grand">
      <x/>
    </i>
  </rowItems>
  <colItems count="1">
    <i/>
  </colItems>
  <pageFields count="3">
    <pageField fld="6" hier="-1"/>
    <pageField fld="7" hier="-1"/>
    <pageField fld="19" hier="-1"/>
  </pageFields>
  <dataFields count="1">
    <dataField name="Count of Bathing space gender sperated" fld="58" subtotal="count" baseField="0" baseItem="0" numFmtId="1"/>
  </dataFields>
  <formats count="6">
    <format dxfId="131">
      <pivotArea outline="0" collapsedLevelsAreSubtotals="1" fieldPosition="0"/>
    </format>
    <format dxfId="130">
      <pivotArea outline="0" fieldPosition="0">
        <references count="1">
          <reference field="4294967294" count="1">
            <x v="0"/>
          </reference>
        </references>
      </pivotArea>
    </format>
    <format dxfId="129">
      <pivotArea field="58" type="button" dataOnly="0" labelOnly="1" outline="0" axis="axisRow" fieldPosition="0"/>
    </format>
    <format dxfId="128">
      <pivotArea dataOnly="0" labelOnly="1" outline="0" axis="axisValues" fieldPosition="0"/>
    </format>
    <format dxfId="127">
      <pivotArea outline="0" collapsedLevelsAreSubtotals="1" fieldPosition="0"/>
    </format>
    <format dxfId="126">
      <pivotArea dataOnly="0" labelOnly="1" outline="0" axis="axisValues" fieldPosition="0"/>
    </format>
  </formats>
  <chartFormats count="7">
    <chartFormat chart="32" format="15" series="1">
      <pivotArea type="data" outline="0" fieldPosition="0">
        <references count="1">
          <reference field="4294967294" count="1" selected="0">
            <x v="0"/>
          </reference>
        </references>
      </pivotArea>
    </chartFormat>
    <chartFormat chart="32" format="16">
      <pivotArea type="data" outline="0" fieldPosition="0">
        <references count="2">
          <reference field="4294967294" count="1" selected="0">
            <x v="0"/>
          </reference>
          <reference field="58" count="1" selected="0">
            <x v="0"/>
          </reference>
        </references>
      </pivotArea>
    </chartFormat>
    <chartFormat chart="32" format="17">
      <pivotArea type="data" outline="0" fieldPosition="0">
        <references count="2">
          <reference field="4294967294" count="1" selected="0">
            <x v="0"/>
          </reference>
          <reference field="58" count="1" selected="0">
            <x v="2"/>
          </reference>
        </references>
      </pivotArea>
    </chartFormat>
    <chartFormat chart="32" format="18">
      <pivotArea type="data" outline="0" fieldPosition="0">
        <references count="2">
          <reference field="4294967294" count="1" selected="0">
            <x v="0"/>
          </reference>
          <reference field="58" count="1" selected="0">
            <x v="3"/>
          </reference>
        </references>
      </pivotArea>
    </chartFormat>
    <chartFormat chart="32" format="19">
      <pivotArea type="data" outline="0" fieldPosition="0">
        <references count="2">
          <reference field="4294967294" count="1" selected="0">
            <x v="0"/>
          </reference>
          <reference field="58" count="1" selected="0">
            <x v="4"/>
          </reference>
        </references>
      </pivotArea>
    </chartFormat>
    <chartFormat chart="32" format="20">
      <pivotArea type="data" outline="0" fieldPosition="0">
        <references count="2">
          <reference field="4294967294" count="1" selected="0">
            <x v="0"/>
          </reference>
          <reference field="58" count="1" selected="0">
            <x v="8"/>
          </reference>
        </references>
      </pivotArea>
    </chartFormat>
    <chartFormat chart="32" format="21">
      <pivotArea type="data" outline="0" fieldPosition="0">
        <references count="2">
          <reference field="4294967294" count="1" selected="0">
            <x v="0"/>
          </reference>
          <reference field="58" count="1" selected="0">
            <x v="6"/>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4"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2">
  <location ref="B610:E622" firstHeaderRow="1" firstDataRow="2" firstDataCol="1" rowPageCount="2" colPageCount="1"/>
  <pivotFields count="95">
    <pivotField showAll="0"/>
    <pivotField showAll="0"/>
    <pivotField axis="axisRow" showAll="0">
      <items count="11">
        <item x="1"/>
        <item x="5"/>
        <item x="2"/>
        <item x="6"/>
        <item x="4"/>
        <item x="3"/>
        <item x="7"/>
        <item x="8"/>
        <item x="9"/>
        <item x="0"/>
        <item t="default"/>
      </items>
    </pivotField>
    <pivotField showAll="0"/>
    <pivotField showAll="0"/>
    <pivotField showAll="0"/>
    <pivotField axis="axisPage" multipleItemSelectionAllowed="1" showAll="0">
      <items count="4">
        <item x="0"/>
        <item h="1" x="2"/>
        <item x="1"/>
        <item t="default"/>
      </items>
    </pivotField>
    <pivotField axis="axisPage" showAll="0">
      <items count="3">
        <item x="0"/>
        <item x="1"/>
        <item t="default"/>
      </items>
    </pivotField>
    <pivotField showAll="0"/>
    <pivotField showAll="0"/>
    <pivotField showAll="0"/>
    <pivotField showAll="0"/>
    <pivotField showAll="0"/>
    <pivotField showAll="0"/>
    <pivotField axis="axisCol" dataField="1" showAll="0" defaultSubtotal="0">
      <items count="2">
        <item x="0"/>
        <item x="1"/>
      </items>
    </pivotField>
    <pivotField showAll="0"/>
    <pivotField showAll="0"/>
    <pivotField showAll="0"/>
    <pivotField showAll="0"/>
    <pivotField showAll="0" defaultSubtotal="0"/>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1">
    <i>
      <x/>
    </i>
    <i>
      <x v="1"/>
    </i>
    <i>
      <x v="2"/>
    </i>
    <i>
      <x v="3"/>
    </i>
    <i>
      <x v="4"/>
    </i>
    <i>
      <x v="5"/>
    </i>
    <i>
      <x v="6"/>
    </i>
    <i>
      <x v="7"/>
    </i>
    <i>
      <x v="8"/>
    </i>
    <i>
      <x v="9"/>
    </i>
    <i t="grand">
      <x/>
    </i>
  </rowItems>
  <colFields count="1">
    <field x="14"/>
  </colFields>
  <colItems count="3">
    <i>
      <x/>
    </i>
    <i>
      <x v="1"/>
    </i>
    <i t="grand">
      <x/>
    </i>
  </colItems>
  <pageFields count="2">
    <pageField fld="6" hier="-1"/>
    <pageField fld="7" hier="-1"/>
  </pageFields>
  <dataFields count="1">
    <dataField name="Count of Targetted" fld="14" subtotal="count" baseField="0" baseItem="0" numFmtId="1"/>
  </dataFields>
  <formats count="3">
    <format dxfId="134">
      <pivotArea outline="0" collapsedLevelsAreSubtotals="1" fieldPosition="0"/>
    </format>
    <format dxfId="133">
      <pivotArea outline="0" collapsedLevelsAreSubtotals="1" fieldPosition="0"/>
    </format>
    <format dxfId="132">
      <pivotArea outline="0" fieldPosition="0">
        <references count="1">
          <reference field="4294967294" count="1">
            <x v="0"/>
          </reference>
        </references>
      </pivotArea>
    </format>
  </formats>
  <chartFormats count="4">
    <chartFormat chart="38" format="0" series="1">
      <pivotArea type="data" outline="0" fieldPosition="0">
        <references count="2">
          <reference field="4294967294" count="1" selected="0">
            <x v="0"/>
          </reference>
          <reference field="14" count="1" selected="0">
            <x v="0"/>
          </reference>
        </references>
      </pivotArea>
    </chartFormat>
    <chartFormat chart="38" format="1" series="1">
      <pivotArea type="data" outline="0" fieldPosition="0">
        <references count="2">
          <reference field="4294967294" count="1" selected="0">
            <x v="0"/>
          </reference>
          <reference field="14" count="1" selected="0">
            <x v="1"/>
          </reference>
        </references>
      </pivotArea>
    </chartFormat>
    <chartFormat chart="40" format="0" series="1">
      <pivotArea type="data" outline="0" fieldPosition="0">
        <references count="2">
          <reference field="4294967294" count="1" selected="0">
            <x v="0"/>
          </reference>
          <reference field="14" count="1" selected="0">
            <x v="0"/>
          </reference>
        </references>
      </pivotArea>
    </chartFormat>
    <chartFormat chart="40" format="1" series="1">
      <pivotArea type="data" outline="0" fieldPosition="0">
        <references count="2">
          <reference field="4294967294" count="1" selected="0">
            <x v="0"/>
          </reference>
          <reference field="1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10"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4">
  <location ref="B334:D337" firstHeaderRow="0" firstDataRow="1" firstDataCol="1" rowPageCount="2" colPageCount="1"/>
  <pivotFields count="95">
    <pivotField showAll="0"/>
    <pivotField showAll="0"/>
    <pivotField showAll="0"/>
    <pivotField showAll="0"/>
    <pivotField showAll="0"/>
    <pivotField showAll="0"/>
    <pivotField axis="axisPage" multipleItemSelectionAllowed="1" showAll="0">
      <items count="4">
        <item x="0"/>
        <item x="2"/>
        <item x="1"/>
        <item t="default"/>
      </items>
    </pivotField>
    <pivotField axis="axisRow"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s>
  <rowFields count="1">
    <field x="7"/>
  </rowFields>
  <rowItems count="3">
    <i>
      <x/>
    </i>
    <i>
      <x v="1"/>
    </i>
    <i t="grand">
      <x/>
    </i>
  </rowItems>
  <colFields count="1">
    <field x="-2"/>
  </colFields>
  <colItems count="2">
    <i>
      <x/>
    </i>
    <i i="1">
      <x v="1"/>
    </i>
  </colItems>
  <pageFields count="2">
    <pageField fld="6" hier="-1"/>
    <pageField fld="19" hier="-1"/>
  </pageFields>
  <dataFields count="2">
    <dataField name="% Bathroom need coverage" fld="87" baseField="0" baseItem="0" numFmtId="1"/>
    <dataField name="% Projection Bathrrom coverage EOP" fld="94" baseField="0" baseItem="0"/>
  </dataFields>
  <formats count="5">
    <format dxfId="139">
      <pivotArea outline="0" collapsedLevelsAreSubtotals="1" fieldPosition="0"/>
    </format>
    <format dxfId="138">
      <pivotArea field="7" type="button" dataOnly="0" labelOnly="1" outline="0" axis="axisRow" fieldPosition="0"/>
    </format>
    <format dxfId="137">
      <pivotArea dataOnly="0" labelOnly="1" outline="0" fieldPosition="0">
        <references count="1">
          <reference field="4294967294" count="2">
            <x v="0"/>
            <x v="1"/>
          </reference>
        </references>
      </pivotArea>
    </format>
    <format dxfId="136">
      <pivotArea outline="0" collapsedLevelsAreSubtotals="1" fieldPosition="0"/>
    </format>
    <format dxfId="135">
      <pivotArea dataOnly="0" labelOnly="1" outline="0" fieldPosition="0">
        <references count="1">
          <reference field="4294967294" count="2">
            <x v="0"/>
            <x v="1"/>
          </reference>
        </references>
      </pivotArea>
    </format>
  </formats>
  <chartFormats count="6">
    <chartFormat chart="38" format="0" series="1">
      <pivotArea type="data" outline="0" fieldPosition="0">
        <references count="1">
          <reference field="4294967294" count="1" selected="0">
            <x v="0"/>
          </reference>
        </references>
      </pivotArea>
    </chartFormat>
    <chartFormat chart="38" format="1" series="1">
      <pivotArea type="data" outline="0" fieldPosition="0">
        <references count="1">
          <reference field="4294967294" count="1" selected="0">
            <x v="1"/>
          </reference>
        </references>
      </pivotArea>
    </chartFormat>
    <chartFormat chart="40" format="0" series="1">
      <pivotArea type="data" outline="0" fieldPosition="0">
        <references count="1">
          <reference field="4294967294" count="1" selected="0">
            <x v="0"/>
          </reference>
        </references>
      </pivotArea>
    </chartFormat>
    <chartFormat chart="40" format="1" series="1">
      <pivotArea type="data" outline="0" fieldPosition="0">
        <references count="1">
          <reference field="4294967294" count="1" selected="0">
            <x v="1"/>
          </reference>
        </references>
      </pivotArea>
    </chartFormat>
    <chartFormat chart="42" format="0" series="1">
      <pivotArea type="data" outline="0" fieldPosition="0">
        <references count="1">
          <reference field="4294967294" count="1" selected="0">
            <x v="0"/>
          </reference>
        </references>
      </pivotArea>
    </chartFormat>
    <chartFormat chart="42"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29"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2">
  <location ref="B698:E710" firstHeaderRow="1" firstDataRow="2" firstDataCol="1" rowPageCount="2" colPageCount="1"/>
  <pivotFields count="95">
    <pivotField showAll="0"/>
    <pivotField showAll="0"/>
    <pivotField axis="axisRow" showAll="0">
      <items count="11">
        <item x="1"/>
        <item x="5"/>
        <item x="2"/>
        <item x="6"/>
        <item x="4"/>
        <item x="3"/>
        <item x="7"/>
        <item x="8"/>
        <item x="9"/>
        <item x="0"/>
        <item t="default"/>
      </items>
    </pivotField>
    <pivotField showAll="0"/>
    <pivotField showAll="0"/>
    <pivotField showAll="0"/>
    <pivotField axis="axisPage" multipleItemSelectionAllowed="1" showAll="0">
      <items count="4">
        <item x="0"/>
        <item x="2"/>
        <item x="1"/>
        <item t="default"/>
      </items>
    </pivotField>
    <pivotField axis="axisPage"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Col" dataField="1"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2"/>
  </rowFields>
  <rowItems count="11">
    <i>
      <x/>
    </i>
    <i>
      <x v="1"/>
    </i>
    <i>
      <x v="2"/>
    </i>
    <i>
      <x v="3"/>
    </i>
    <i>
      <x v="4"/>
    </i>
    <i>
      <x v="5"/>
    </i>
    <i>
      <x v="6"/>
    </i>
    <i>
      <x v="7"/>
    </i>
    <i>
      <x v="8"/>
    </i>
    <i>
      <x v="9"/>
    </i>
    <i t="grand">
      <x/>
    </i>
  </rowItems>
  <colFields count="1">
    <field x="19"/>
  </colFields>
  <colItems count="3">
    <i>
      <x/>
    </i>
    <i>
      <x v="1"/>
    </i>
    <i t="grand">
      <x/>
    </i>
  </colItems>
  <pageFields count="2">
    <pageField fld="6" hier="-1"/>
    <pageField fld="7" hier="-1"/>
  </pageFields>
  <dataFields count="1">
    <dataField name="Count of Documented" fld="19" subtotal="count" baseField="0" baseItem="0"/>
  </dataFields>
  <formats count="3">
    <format dxfId="142">
      <pivotArea outline="0" collapsedLevelsAreSubtotals="1" fieldPosition="0"/>
    </format>
    <format dxfId="141">
      <pivotArea outline="0" collapsedLevelsAreSubtotals="1" fieldPosition="0"/>
    </format>
    <format dxfId="140">
      <pivotArea outline="0" collapsedLevelsAreSubtotals="1" fieldPosition="0"/>
    </format>
  </formats>
  <chartFormats count="4">
    <chartFormat chart="48" format="0" series="1">
      <pivotArea type="data" outline="0" fieldPosition="0">
        <references count="2">
          <reference field="4294967294" count="1" selected="0">
            <x v="0"/>
          </reference>
          <reference field="19" count="1" selected="0">
            <x v="0"/>
          </reference>
        </references>
      </pivotArea>
    </chartFormat>
    <chartFormat chart="48" format="1" series="1">
      <pivotArea type="data" outline="0" fieldPosition="0">
        <references count="2">
          <reference field="4294967294" count="1" selected="0">
            <x v="0"/>
          </reference>
          <reference field="19" count="1" selected="0">
            <x v="1"/>
          </reference>
        </references>
      </pivotArea>
    </chartFormat>
    <chartFormat chart="50" format="0" series="1">
      <pivotArea type="data" outline="0" fieldPosition="0">
        <references count="2">
          <reference field="4294967294" count="1" selected="0">
            <x v="0"/>
          </reference>
          <reference field="19" count="1" selected="0">
            <x v="0"/>
          </reference>
        </references>
      </pivotArea>
    </chartFormat>
    <chartFormat chart="50" format="1" series="1">
      <pivotArea type="data" outline="0" fieldPosition="0">
        <references count="2">
          <reference field="4294967294" count="1" selected="0">
            <x v="0"/>
          </reference>
          <reference field="19"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22"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48">
  <location ref="B646:E667" firstHeaderRow="1" firstDataRow="2" firstDataCol="1" rowPageCount="3" colPageCount="1"/>
  <pivotFields count="95">
    <pivotField axis="axisRow" showAll="0">
      <items count="21">
        <item x="11"/>
        <item x="0"/>
        <item x="1"/>
        <item x="2"/>
        <item x="15"/>
        <item x="3"/>
        <item x="10"/>
        <item x="18"/>
        <item x="4"/>
        <item x="5"/>
        <item x="6"/>
        <item x="13"/>
        <item x="7"/>
        <item x="14"/>
        <item x="17"/>
        <item x="8"/>
        <item x="12"/>
        <item m="1" x="19"/>
        <item x="9"/>
        <item x="16"/>
        <item t="default"/>
      </items>
    </pivotField>
    <pivotField showAll="0"/>
    <pivotField axis="axisPage" showAll="0">
      <items count="11">
        <item x="1"/>
        <item x="0"/>
        <item x="5"/>
        <item x="2"/>
        <item x="6"/>
        <item x="4"/>
        <item x="3"/>
        <item x="7"/>
        <item x="8"/>
        <item x="9"/>
        <item t="default"/>
      </items>
    </pivotField>
    <pivotField showAll="0"/>
    <pivotField showAll="0"/>
    <pivotField showAll="0"/>
    <pivotField axis="axisPage" multipleItemSelectionAllowed="1" showAll="0">
      <items count="4">
        <item x="0"/>
        <item x="2"/>
        <item x="1"/>
        <item t="default"/>
      </items>
    </pivotField>
    <pivotField axis="axisPage" showAll="0">
      <items count="3">
        <item x="0"/>
        <item x="1"/>
        <item t="default"/>
      </items>
    </pivotField>
    <pivotField showAll="0"/>
    <pivotField showAll="0"/>
    <pivotField dataField="1" showAll="0"/>
    <pivotField showAll="0"/>
    <pivotField showAll="0"/>
    <pivotField showAll="0"/>
    <pivotField axis="axisCol" showAll="0" defaultSubtotal="0">
      <items count="2">
        <item x="0"/>
        <item x="1"/>
      </items>
    </pivotField>
    <pivotField showAll="0"/>
    <pivotField showAll="0"/>
    <pivotField showAll="0"/>
    <pivotField showAll="0"/>
    <pivotField showAll="0" defaultSubtotal="0"/>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20">
    <i>
      <x/>
    </i>
    <i>
      <x v="1"/>
    </i>
    <i>
      <x v="2"/>
    </i>
    <i>
      <x v="3"/>
    </i>
    <i>
      <x v="4"/>
    </i>
    <i>
      <x v="5"/>
    </i>
    <i>
      <x v="6"/>
    </i>
    <i>
      <x v="7"/>
    </i>
    <i>
      <x v="8"/>
    </i>
    <i>
      <x v="9"/>
    </i>
    <i>
      <x v="10"/>
    </i>
    <i>
      <x v="11"/>
    </i>
    <i>
      <x v="12"/>
    </i>
    <i>
      <x v="13"/>
    </i>
    <i>
      <x v="14"/>
    </i>
    <i>
      <x v="15"/>
    </i>
    <i>
      <x v="16"/>
    </i>
    <i>
      <x v="18"/>
    </i>
    <i>
      <x v="19"/>
    </i>
    <i t="grand">
      <x/>
    </i>
  </rowItems>
  <colFields count="1">
    <field x="14"/>
  </colFields>
  <colItems count="3">
    <i>
      <x/>
    </i>
    <i>
      <x v="1"/>
    </i>
    <i t="grand">
      <x/>
    </i>
  </colItems>
  <pageFields count="3">
    <pageField fld="6" hier="-1"/>
    <pageField fld="2" hier="-1"/>
    <pageField fld="7" hier="-1"/>
  </pageFields>
  <dataFields count="1">
    <dataField name="Sum of Total PoP" fld="10" baseField="0" baseItem="0" numFmtId="1"/>
  </dataFields>
  <formats count="3">
    <format dxfId="145">
      <pivotArea outline="0" collapsedLevelsAreSubtotals="1" fieldPosition="0"/>
    </format>
    <format dxfId="144">
      <pivotArea outline="0" collapsedLevelsAreSubtotals="1" fieldPosition="0"/>
    </format>
    <format dxfId="143">
      <pivotArea outline="0" collapsedLevelsAreSubtotals="1" fieldPosition="0"/>
    </format>
  </formats>
  <chartFormats count="6">
    <chartFormat chart="42" format="0" series="1">
      <pivotArea type="data" outline="0" fieldPosition="0">
        <references count="2">
          <reference field="4294967294" count="1" selected="0">
            <x v="0"/>
          </reference>
          <reference field="14" count="1" selected="0">
            <x v="0"/>
          </reference>
        </references>
      </pivotArea>
    </chartFormat>
    <chartFormat chart="42" format="1" series="1">
      <pivotArea type="data" outline="0" fieldPosition="0">
        <references count="2">
          <reference field="4294967294" count="1" selected="0">
            <x v="0"/>
          </reference>
          <reference field="14" count="1" selected="0">
            <x v="1"/>
          </reference>
        </references>
      </pivotArea>
    </chartFormat>
    <chartFormat chart="44" format="0" series="1">
      <pivotArea type="data" outline="0" fieldPosition="0">
        <references count="2">
          <reference field="4294967294" count="1" selected="0">
            <x v="0"/>
          </reference>
          <reference field="14" count="1" selected="0">
            <x v="0"/>
          </reference>
        </references>
      </pivotArea>
    </chartFormat>
    <chartFormat chart="44" format="1" series="1">
      <pivotArea type="data" outline="0" fieldPosition="0">
        <references count="2">
          <reference field="4294967294" count="1" selected="0">
            <x v="0"/>
          </reference>
          <reference field="14" count="1" selected="0">
            <x v="1"/>
          </reference>
        </references>
      </pivotArea>
    </chartFormat>
    <chartFormat chart="46" format="0" series="1">
      <pivotArea type="data" outline="0" fieldPosition="0">
        <references count="2">
          <reference field="4294967294" count="1" selected="0">
            <x v="0"/>
          </reference>
          <reference field="14" count="1" selected="0">
            <x v="0"/>
          </reference>
        </references>
      </pivotArea>
    </chartFormat>
    <chartFormat chart="46" format="1" series="1">
      <pivotArea type="data" outline="0" fieldPosition="0">
        <references count="2">
          <reference field="4294967294" count="1" selected="0">
            <x v="0"/>
          </reference>
          <reference field="1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26"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36">
  <location ref="B445:C452" firstHeaderRow="1" firstDataRow="1" firstDataCol="1" rowPageCount="3" colPageCount="1"/>
  <pivotFields count="95">
    <pivotField showAll="0"/>
    <pivotField showAll="0"/>
    <pivotField showAll="0"/>
    <pivotField showAll="0"/>
    <pivotField showAll="0"/>
    <pivotField showAll="0"/>
    <pivotField axis="axisPage" multipleItemSelectionAllowed="1" showAll="0">
      <items count="4">
        <item x="0"/>
        <item h="1" x="2"/>
        <item h="1" x="1"/>
        <item t="default"/>
      </items>
    </pivotField>
    <pivotField axis="axisPage" showAll="0">
      <items count="3">
        <item x="0"/>
        <item x="1"/>
        <item t="default"/>
      </items>
    </pivotField>
    <pivotField showAll="0"/>
    <pivotField showAll="0"/>
    <pivotField showAll="0"/>
    <pivotField showAll="0"/>
    <pivotField showAll="0"/>
    <pivotField showAll="0"/>
    <pivotField showAll="0" defaultSubtotal="0"/>
    <pivotField showAll="0"/>
    <pivotField showAll="0"/>
    <pivotField showAll="0"/>
    <pivotField showAll="0"/>
    <pivotField axis="axisPage" showAll="0" defaultSubtotal="0">
      <items count="2">
        <item x="0"/>
        <item x="1"/>
      </items>
    </pivotField>
    <pivotField showAll="0"/>
    <pivotField showAll="0"/>
    <pivotField showAll="0"/>
    <pivotField showAll="0"/>
    <pivotField showAll="0"/>
    <pivotField showAll="0"/>
    <pivotField numFmtId="9" showAll="0"/>
    <pivotField numFmtId="9" showAll="0"/>
    <pivotField numFmtId="9" showAll="0"/>
    <pivotField numFmtId="1" showAll="0"/>
    <pivotField numFmtId="9" showAll="0"/>
    <pivotField numFmtId="1" showAll="0"/>
    <pivotField numFmtId="9" showAll="0"/>
    <pivotField numFmtId="1" showAll="0"/>
    <pivotField showAll="0"/>
    <pivotField numFmtId="9" showAll="0"/>
    <pivotField numFmtId="1" showAll="0"/>
    <pivotField numFmtId="1" showAll="0"/>
    <pivotField numFmtId="1" showAll="0"/>
    <pivotField numFmtId="1" showAll="0"/>
    <pivotField numFmtId="9" showAll="0"/>
    <pivotField showAll="0"/>
    <pivotField showAll="0"/>
    <pivotField showAll="0"/>
    <pivotField showAll="0"/>
    <pivotField showAll="0"/>
    <pivotField showAll="0"/>
    <pivotField showAll="0"/>
    <pivotField numFmtId="1" showAll="0"/>
    <pivotField showAll="0"/>
    <pivotField numFmtId="1" showAll="0"/>
    <pivotField showAll="0"/>
    <pivotField numFmtId="1" showAll="0"/>
    <pivotField showAll="0"/>
    <pivotField numFmtId="9" showAll="0"/>
    <pivotField numFmtId="1" showAll="0"/>
    <pivotField numFmtId="1" showAll="0"/>
    <pivotField showAll="0" defaultSubtotal="0"/>
    <pivotField showAll="0"/>
    <pivotField showAll="0"/>
    <pivotField numFmtId="1"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defaultSubtotal="0"/>
    <pivotField numFmtId="1" showAll="0"/>
    <pivotField showAll="0"/>
    <pivotField showAll="0"/>
    <pivotField axis="axisRow" dataField="1" showAll="0">
      <items count="16">
        <item x="4"/>
        <item m="1" x="10"/>
        <item x="0"/>
        <item m="1" x="9"/>
        <item m="1" x="7"/>
        <item m="1" x="13"/>
        <item m="1" x="11"/>
        <item m="1" x="8"/>
        <item x="3"/>
        <item m="1" x="12"/>
        <item m="1" x="14"/>
        <item x="2"/>
        <item x="1"/>
        <item m="1" x="6"/>
        <item x="5"/>
        <item t="default"/>
      </items>
    </pivotField>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83"/>
  </rowFields>
  <rowItems count="7">
    <i>
      <x/>
    </i>
    <i>
      <x v="2"/>
    </i>
    <i>
      <x v="8"/>
    </i>
    <i>
      <x v="11"/>
    </i>
    <i>
      <x v="12"/>
    </i>
    <i>
      <x v="14"/>
    </i>
    <i t="grand">
      <x/>
    </i>
  </rowItems>
  <colItems count="1">
    <i/>
  </colItems>
  <pageFields count="3">
    <pageField fld="6" hier="-1"/>
    <pageField fld="7" hier="-1"/>
    <pageField fld="19" hier="-1"/>
  </pageFields>
  <dataFields count="1">
    <dataField name="Count of Community management organise and efficient in camps" fld="83" subtotal="count" baseField="0" baseItem="0" numFmtId="3"/>
  </dataFields>
  <formats count="5">
    <format dxfId="150">
      <pivotArea outline="0" collapsedLevelsAreSubtotals="1" fieldPosition="0"/>
    </format>
    <format dxfId="149">
      <pivotArea outline="0" collapsedLevelsAreSubtotals="1" fieldPosition="0"/>
    </format>
    <format dxfId="148">
      <pivotArea outline="0" fieldPosition="0">
        <references count="1">
          <reference field="4294967294" count="1">
            <x v="0"/>
          </reference>
        </references>
      </pivotArea>
    </format>
    <format dxfId="147">
      <pivotArea field="83" type="button" dataOnly="0" labelOnly="1" outline="0" axis="axisRow" fieldPosition="0"/>
    </format>
    <format dxfId="146">
      <pivotArea dataOnly="0" labelOnly="1" outline="0" axis="axisValues" fieldPosition="0"/>
    </format>
  </formats>
  <chartFormats count="18">
    <chartFormat chart="28" format="0" series="1">
      <pivotArea type="data" outline="0" fieldPosition="0">
        <references count="1">
          <reference field="4294967294" count="1" selected="0">
            <x v="0"/>
          </reference>
        </references>
      </pivotArea>
    </chartFormat>
    <chartFormat chart="28" format="1">
      <pivotArea type="data" outline="0" fieldPosition="0">
        <references count="2">
          <reference field="4294967294" count="1" selected="0">
            <x v="0"/>
          </reference>
          <reference field="83" count="1" selected="0">
            <x v="2"/>
          </reference>
        </references>
      </pivotArea>
    </chartFormat>
    <chartFormat chart="28" format="2">
      <pivotArea type="data" outline="0" fieldPosition="0">
        <references count="2">
          <reference field="4294967294" count="1" selected="0">
            <x v="0"/>
          </reference>
          <reference field="83" count="1" selected="0">
            <x v="7"/>
          </reference>
        </references>
      </pivotArea>
    </chartFormat>
    <chartFormat chart="28" format="3">
      <pivotArea type="data" outline="0" fieldPosition="0">
        <references count="2">
          <reference field="4294967294" count="1" selected="0">
            <x v="0"/>
          </reference>
          <reference field="83" count="1" selected="0">
            <x v="11"/>
          </reference>
        </references>
      </pivotArea>
    </chartFormat>
    <chartFormat chart="28" format="4">
      <pivotArea type="data" outline="0" fieldPosition="0">
        <references count="2">
          <reference field="4294967294" count="1" selected="0">
            <x v="0"/>
          </reference>
          <reference field="83" count="1" selected="0">
            <x v="12"/>
          </reference>
        </references>
      </pivotArea>
    </chartFormat>
    <chartFormat chart="28" format="5">
      <pivotArea type="data" outline="0" fieldPosition="0">
        <references count="2">
          <reference field="4294967294" count="1" selected="0">
            <x v="0"/>
          </reference>
          <reference field="83" count="1" selected="0">
            <x v="8"/>
          </reference>
        </references>
      </pivotArea>
    </chartFormat>
    <chartFormat chart="35" format="12" series="1">
      <pivotArea type="data" outline="0" fieldPosition="0">
        <references count="1">
          <reference field="4294967294" count="1" selected="0">
            <x v="0"/>
          </reference>
        </references>
      </pivotArea>
    </chartFormat>
    <chartFormat chart="35" format="13">
      <pivotArea type="data" outline="0" fieldPosition="0">
        <references count="2">
          <reference field="4294967294" count="1" selected="0">
            <x v="0"/>
          </reference>
          <reference field="83" count="1" selected="0">
            <x v="2"/>
          </reference>
        </references>
      </pivotArea>
    </chartFormat>
    <chartFormat chart="35" format="14">
      <pivotArea type="data" outline="0" fieldPosition="0">
        <references count="2">
          <reference field="4294967294" count="1" selected="0">
            <x v="0"/>
          </reference>
          <reference field="83" count="1" selected="0">
            <x v="7"/>
          </reference>
        </references>
      </pivotArea>
    </chartFormat>
    <chartFormat chart="35" format="15">
      <pivotArea type="data" outline="0" fieldPosition="0">
        <references count="2">
          <reference field="4294967294" count="1" selected="0">
            <x v="0"/>
          </reference>
          <reference field="83" count="1" selected="0">
            <x v="8"/>
          </reference>
        </references>
      </pivotArea>
    </chartFormat>
    <chartFormat chart="35" format="16">
      <pivotArea type="data" outline="0" fieldPosition="0">
        <references count="2">
          <reference field="4294967294" count="1" selected="0">
            <x v="0"/>
          </reference>
          <reference field="83" count="1" selected="0">
            <x v="11"/>
          </reference>
        </references>
      </pivotArea>
    </chartFormat>
    <chartFormat chart="35" format="17">
      <pivotArea type="data" outline="0" fieldPosition="0">
        <references count="2">
          <reference field="4294967294" count="1" selected="0">
            <x v="0"/>
          </reference>
          <reference field="83" count="1" selected="0">
            <x v="12"/>
          </reference>
        </references>
      </pivotArea>
    </chartFormat>
    <chartFormat chart="35" format="18">
      <pivotArea type="data" outline="0" fieldPosition="0">
        <references count="2">
          <reference field="4294967294" count="1" selected="0">
            <x v="0"/>
          </reference>
          <reference field="83" count="1" selected="0">
            <x v="0"/>
          </reference>
        </references>
      </pivotArea>
    </chartFormat>
    <chartFormat chart="28" format="6">
      <pivotArea type="data" outline="0" fieldPosition="0">
        <references count="2">
          <reference field="4294967294" count="1" selected="0">
            <x v="0"/>
          </reference>
          <reference field="83" count="1" selected="0">
            <x v="0"/>
          </reference>
        </references>
      </pivotArea>
    </chartFormat>
    <chartFormat chart="28" format="7">
      <pivotArea type="data" outline="0" fieldPosition="0">
        <references count="2">
          <reference field="4294967294" count="1" selected="0">
            <x v="0"/>
          </reference>
          <reference field="83" count="1" selected="0">
            <x v="10"/>
          </reference>
        </references>
      </pivotArea>
    </chartFormat>
    <chartFormat chart="35" format="19">
      <pivotArea type="data" outline="0" fieldPosition="0">
        <references count="2">
          <reference field="4294967294" count="1" selected="0">
            <x v="0"/>
          </reference>
          <reference field="83" count="1" selected="0">
            <x v="10"/>
          </reference>
        </references>
      </pivotArea>
    </chartFormat>
    <chartFormat chart="35" format="20">
      <pivotArea type="data" outline="0" fieldPosition="0">
        <references count="2">
          <reference field="4294967294" count="1" selected="0">
            <x v="0"/>
          </reference>
          <reference field="83" count="1" selected="0">
            <x v="14"/>
          </reference>
        </references>
      </pivotArea>
    </chartFormat>
    <chartFormat chart="28" format="8">
      <pivotArea type="data" outline="0" fieldPosition="0">
        <references count="2">
          <reference field="4294967294" count="1" selected="0">
            <x v="0"/>
          </reference>
          <reference field="83" count="1" selected="0">
            <x v="1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26" Type="http://schemas.openxmlformats.org/officeDocument/2006/relationships/pivotTable" Target="../pivotTables/pivotTable26.xml"/><Relationship Id="rId3" Type="http://schemas.openxmlformats.org/officeDocument/2006/relationships/pivotTable" Target="../pivotTables/pivotTable3.xml"/><Relationship Id="rId21" Type="http://schemas.openxmlformats.org/officeDocument/2006/relationships/pivotTable" Target="../pivotTables/pivotTable21.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5" Type="http://schemas.openxmlformats.org/officeDocument/2006/relationships/pivotTable" Target="../pivotTables/pivotTable25.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ivotTable" Target="../pivotTables/pivotTable20.xml"/><Relationship Id="rId29" Type="http://schemas.openxmlformats.org/officeDocument/2006/relationships/pivotTable" Target="../pivotTables/pivotTable29.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24" Type="http://schemas.openxmlformats.org/officeDocument/2006/relationships/pivotTable" Target="../pivotTables/pivotTable24.xml"/><Relationship Id="rId5" Type="http://schemas.openxmlformats.org/officeDocument/2006/relationships/pivotTable" Target="../pivotTables/pivotTable5.xml"/><Relationship Id="rId15" Type="http://schemas.openxmlformats.org/officeDocument/2006/relationships/pivotTable" Target="../pivotTables/pivotTable15.xml"/><Relationship Id="rId23" Type="http://schemas.openxmlformats.org/officeDocument/2006/relationships/pivotTable" Target="../pivotTables/pivotTable23.xml"/><Relationship Id="rId28" Type="http://schemas.openxmlformats.org/officeDocument/2006/relationships/pivotTable" Target="../pivotTables/pivotTable28.xml"/><Relationship Id="rId10" Type="http://schemas.openxmlformats.org/officeDocument/2006/relationships/pivotTable" Target="../pivotTables/pivotTable10.xml"/><Relationship Id="rId19" Type="http://schemas.openxmlformats.org/officeDocument/2006/relationships/pivotTable" Target="../pivotTables/pivotTable19.xml"/><Relationship Id="rId31" Type="http://schemas.openxmlformats.org/officeDocument/2006/relationships/drawing" Target="../drawings/drawing3.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 Id="rId22" Type="http://schemas.openxmlformats.org/officeDocument/2006/relationships/pivotTable" Target="../pivotTables/pivotTable22.xml"/><Relationship Id="rId27" Type="http://schemas.openxmlformats.org/officeDocument/2006/relationships/pivotTable" Target="../pivotTables/pivotTable27.xml"/><Relationship Id="rId30"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37.xml"/><Relationship Id="rId3" Type="http://schemas.openxmlformats.org/officeDocument/2006/relationships/pivotTable" Target="../pivotTables/pivotTable32.xml"/><Relationship Id="rId7" Type="http://schemas.openxmlformats.org/officeDocument/2006/relationships/pivotTable" Target="../pivotTables/pivotTable36.xml"/><Relationship Id="rId12" Type="http://schemas.openxmlformats.org/officeDocument/2006/relationships/drawing" Target="../drawings/drawing4.xml"/><Relationship Id="rId2" Type="http://schemas.openxmlformats.org/officeDocument/2006/relationships/pivotTable" Target="../pivotTables/pivotTable31.xml"/><Relationship Id="rId1" Type="http://schemas.openxmlformats.org/officeDocument/2006/relationships/pivotTable" Target="../pivotTables/pivotTable30.xml"/><Relationship Id="rId6" Type="http://schemas.openxmlformats.org/officeDocument/2006/relationships/pivotTable" Target="../pivotTables/pivotTable35.xml"/><Relationship Id="rId11" Type="http://schemas.openxmlformats.org/officeDocument/2006/relationships/printerSettings" Target="../printerSettings/printerSettings3.bin"/><Relationship Id="rId5" Type="http://schemas.openxmlformats.org/officeDocument/2006/relationships/pivotTable" Target="../pivotTables/pivotTable34.xml"/><Relationship Id="rId10" Type="http://schemas.openxmlformats.org/officeDocument/2006/relationships/pivotTable" Target="../pivotTables/pivotTable39.xml"/><Relationship Id="rId4" Type="http://schemas.openxmlformats.org/officeDocument/2006/relationships/pivotTable" Target="../pivotTables/pivotTable33.xml"/><Relationship Id="rId9" Type="http://schemas.openxmlformats.org/officeDocument/2006/relationships/pivotTable" Target="../pivotTables/pivotTable3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3"/>
  <sheetViews>
    <sheetView zoomScale="75" zoomScaleNormal="75" workbookViewId="0">
      <selection activeCell="A97" sqref="A97"/>
    </sheetView>
  </sheetViews>
  <sheetFormatPr defaultColWidth="8.85546875" defaultRowHeight="15" x14ac:dyDescent="0.25"/>
  <cols>
    <col min="1" max="1" width="8.140625" style="1" customWidth="1"/>
    <col min="2" max="2" width="2.5703125" style="1" customWidth="1"/>
    <col min="3" max="16384" width="8.85546875" style="1"/>
  </cols>
  <sheetData>
    <row r="1" spans="2:20" ht="28.15" customHeight="1" thickBot="1" x14ac:dyDescent="0.3"/>
    <row r="2" spans="2:20" s="9" customFormat="1" ht="35.450000000000003" customHeight="1" thickTop="1" thickBot="1" x14ac:dyDescent="0.3">
      <c r="B2" s="657" t="s">
        <v>72</v>
      </c>
      <c r="C2" s="658"/>
      <c r="D2" s="658"/>
      <c r="E2" s="658"/>
      <c r="F2" s="658"/>
      <c r="G2" s="658"/>
      <c r="H2" s="658"/>
      <c r="I2" s="658"/>
      <c r="J2" s="658"/>
      <c r="K2" s="658"/>
      <c r="L2" s="658"/>
      <c r="M2" s="658"/>
      <c r="N2" s="658"/>
      <c r="O2" s="658"/>
      <c r="P2" s="658"/>
      <c r="Q2" s="658"/>
      <c r="R2" s="658"/>
      <c r="S2" s="658"/>
      <c r="T2" s="659"/>
    </row>
    <row r="3" spans="2:20" ht="15.75" thickTop="1" x14ac:dyDescent="0.25">
      <c r="B3" s="2"/>
      <c r="C3" s="3"/>
      <c r="D3" s="3"/>
      <c r="E3" s="3"/>
      <c r="F3" s="3"/>
      <c r="G3" s="3"/>
      <c r="H3" s="3"/>
      <c r="I3" s="3"/>
      <c r="J3" s="3"/>
      <c r="K3" s="3"/>
      <c r="L3" s="3"/>
      <c r="M3" s="3"/>
      <c r="N3" s="3"/>
      <c r="O3" s="3"/>
      <c r="P3" s="3"/>
      <c r="Q3" s="3"/>
      <c r="R3" s="3"/>
      <c r="S3" s="3"/>
      <c r="T3" s="4"/>
    </row>
    <row r="4" spans="2:20" x14ac:dyDescent="0.25">
      <c r="B4" s="2"/>
      <c r="C4" s="5" t="s">
        <v>34</v>
      </c>
      <c r="D4" s="3"/>
      <c r="E4" s="3"/>
      <c r="F4" s="3"/>
      <c r="G4" s="3"/>
      <c r="H4" s="3"/>
      <c r="I4" s="3"/>
      <c r="J4" s="3"/>
      <c r="K4" s="3"/>
      <c r="L4" s="3"/>
      <c r="M4" s="3"/>
      <c r="N4" s="3"/>
      <c r="O4" s="3"/>
      <c r="P4" s="3"/>
      <c r="Q4" s="3"/>
      <c r="R4" s="3"/>
      <c r="S4" s="3"/>
      <c r="T4" s="4"/>
    </row>
    <row r="5" spans="2:20" x14ac:dyDescent="0.25">
      <c r="B5" s="2"/>
      <c r="C5" s="3"/>
      <c r="D5" s="3" t="s">
        <v>35</v>
      </c>
      <c r="E5" s="3"/>
      <c r="F5" s="3"/>
      <c r="G5" s="3"/>
      <c r="H5" s="3"/>
      <c r="I5" s="3"/>
      <c r="J5" s="3"/>
      <c r="K5" s="3"/>
      <c r="L5" s="3"/>
      <c r="M5" s="3"/>
      <c r="N5" s="3"/>
      <c r="O5" s="3"/>
      <c r="P5" s="3"/>
      <c r="Q5" s="3"/>
      <c r="R5" s="3"/>
      <c r="S5" s="3"/>
      <c r="T5" s="4"/>
    </row>
    <row r="6" spans="2:20" x14ac:dyDescent="0.25">
      <c r="B6" s="2"/>
      <c r="C6" s="3"/>
      <c r="D6" s="3" t="s">
        <v>36</v>
      </c>
      <c r="E6" s="3"/>
      <c r="F6" s="3"/>
      <c r="G6" s="3"/>
      <c r="H6" s="3"/>
      <c r="I6" s="3"/>
      <c r="J6" s="3"/>
      <c r="K6" s="3"/>
      <c r="L6" s="3"/>
      <c r="M6" s="3"/>
      <c r="N6" s="3"/>
      <c r="O6" s="3"/>
      <c r="P6" s="3"/>
      <c r="Q6" s="3"/>
      <c r="R6" s="3"/>
      <c r="S6" s="3"/>
      <c r="T6" s="4"/>
    </row>
    <row r="7" spans="2:20" x14ac:dyDescent="0.25">
      <c r="B7" s="2"/>
      <c r="C7" s="3"/>
      <c r="D7" s="3" t="s">
        <v>37</v>
      </c>
      <c r="E7" s="3"/>
      <c r="F7" s="3"/>
      <c r="G7" s="3"/>
      <c r="H7" s="3"/>
      <c r="I7" s="3"/>
      <c r="J7" s="3"/>
      <c r="K7" s="3"/>
      <c r="L7" s="3"/>
      <c r="M7" s="3"/>
      <c r="N7" s="3"/>
      <c r="O7" s="3"/>
      <c r="P7" s="3"/>
      <c r="Q7" s="3"/>
      <c r="R7" s="3"/>
      <c r="S7" s="3"/>
      <c r="T7" s="4"/>
    </row>
    <row r="8" spans="2:20" x14ac:dyDescent="0.25">
      <c r="B8" s="2"/>
      <c r="C8" s="3"/>
      <c r="D8" s="3" t="s">
        <v>55</v>
      </c>
      <c r="E8" s="3"/>
      <c r="F8" s="3"/>
      <c r="G8" s="3"/>
      <c r="H8" s="3"/>
      <c r="I8" s="3"/>
      <c r="J8" s="3"/>
      <c r="K8" s="3"/>
      <c r="L8" s="3"/>
      <c r="M8" s="3"/>
      <c r="N8" s="3"/>
      <c r="O8" s="3"/>
      <c r="P8" s="3"/>
      <c r="Q8" s="3"/>
      <c r="R8" s="3"/>
      <c r="S8" s="3"/>
      <c r="T8" s="4"/>
    </row>
    <row r="9" spans="2:20" x14ac:dyDescent="0.25">
      <c r="B9" s="2"/>
      <c r="C9" s="3"/>
      <c r="D9" s="3" t="s">
        <v>38</v>
      </c>
      <c r="E9" s="3"/>
      <c r="F9" s="3"/>
      <c r="G9" s="3"/>
      <c r="H9" s="3"/>
      <c r="I9" s="3"/>
      <c r="J9" s="3"/>
      <c r="K9" s="3"/>
      <c r="L9" s="3"/>
      <c r="M9" s="3"/>
      <c r="N9" s="3"/>
      <c r="O9" s="3"/>
      <c r="P9" s="3"/>
      <c r="Q9" s="3"/>
      <c r="R9" s="3"/>
      <c r="S9" s="3"/>
      <c r="T9" s="4"/>
    </row>
    <row r="10" spans="2:20" x14ac:dyDescent="0.25">
      <c r="B10" s="2"/>
      <c r="C10" s="3"/>
      <c r="D10" s="3" t="s">
        <v>39</v>
      </c>
      <c r="E10" s="3"/>
      <c r="F10" s="3"/>
      <c r="G10" s="3"/>
      <c r="H10" s="3"/>
      <c r="I10" s="3"/>
      <c r="J10" s="3"/>
      <c r="K10" s="3"/>
      <c r="L10" s="3"/>
      <c r="M10" s="3"/>
      <c r="N10" s="3"/>
      <c r="O10" s="3"/>
      <c r="P10" s="3"/>
      <c r="Q10" s="3"/>
      <c r="R10" s="3"/>
      <c r="S10" s="3"/>
      <c r="T10" s="4"/>
    </row>
    <row r="11" spans="2:20" x14ac:dyDescent="0.25">
      <c r="B11" s="2"/>
      <c r="C11" s="3"/>
      <c r="D11" s="3" t="s">
        <v>40</v>
      </c>
      <c r="E11" s="3"/>
      <c r="F11" s="3"/>
      <c r="G11" s="3"/>
      <c r="H11" s="3"/>
      <c r="I11" s="3"/>
      <c r="J11" s="3"/>
      <c r="K11" s="3"/>
      <c r="L11" s="3"/>
      <c r="M11" s="3"/>
      <c r="N11" s="3"/>
      <c r="O11" s="3"/>
      <c r="P11" s="3"/>
      <c r="Q11" s="3"/>
      <c r="R11" s="3"/>
      <c r="S11" s="3"/>
      <c r="T11" s="4"/>
    </row>
    <row r="12" spans="2:20" x14ac:dyDescent="0.25">
      <c r="B12" s="2"/>
      <c r="C12" s="3"/>
      <c r="D12" s="3" t="s">
        <v>42</v>
      </c>
      <c r="E12" s="3"/>
      <c r="F12" s="3"/>
      <c r="G12" s="3"/>
      <c r="H12" s="3"/>
      <c r="I12" s="3"/>
      <c r="J12" s="3"/>
      <c r="K12" s="3"/>
      <c r="L12" s="3"/>
      <c r="M12" s="3"/>
      <c r="N12" s="3"/>
      <c r="O12" s="3"/>
      <c r="P12" s="3"/>
      <c r="Q12" s="3"/>
      <c r="R12" s="3"/>
      <c r="S12" s="3"/>
      <c r="T12" s="4"/>
    </row>
    <row r="13" spans="2:20" x14ac:dyDescent="0.25">
      <c r="B13" s="2"/>
      <c r="C13" s="3"/>
      <c r="D13" s="3" t="s">
        <v>43</v>
      </c>
      <c r="E13" s="3"/>
      <c r="F13" s="3"/>
      <c r="G13" s="3"/>
      <c r="H13" s="3"/>
      <c r="I13" s="3"/>
      <c r="J13" s="3"/>
      <c r="K13" s="3"/>
      <c r="L13" s="3"/>
      <c r="M13" s="3"/>
      <c r="N13" s="3"/>
      <c r="O13" s="3"/>
      <c r="P13" s="3"/>
      <c r="Q13" s="3"/>
      <c r="R13" s="3"/>
      <c r="S13" s="3"/>
      <c r="T13" s="4"/>
    </row>
    <row r="14" spans="2:20" x14ac:dyDescent="0.25">
      <c r="B14" s="2"/>
      <c r="C14" s="3"/>
      <c r="D14" s="3"/>
      <c r="E14" s="3"/>
      <c r="F14" s="3"/>
      <c r="G14" s="3"/>
      <c r="H14" s="3"/>
      <c r="I14" s="3"/>
      <c r="J14" s="3"/>
      <c r="K14" s="3"/>
      <c r="L14" s="3"/>
      <c r="M14" s="3"/>
      <c r="N14" s="3"/>
      <c r="O14" s="3"/>
      <c r="P14" s="3"/>
      <c r="Q14" s="3"/>
      <c r="R14" s="3"/>
      <c r="S14" s="3"/>
      <c r="T14" s="4"/>
    </row>
    <row r="15" spans="2:20" x14ac:dyDescent="0.25">
      <c r="B15" s="2"/>
      <c r="C15" s="5" t="s">
        <v>50</v>
      </c>
      <c r="D15" s="3"/>
      <c r="E15" s="3"/>
      <c r="F15" s="3"/>
      <c r="G15" s="3"/>
      <c r="H15" s="3"/>
      <c r="I15" s="3"/>
      <c r="J15" s="3"/>
      <c r="K15" s="3"/>
      <c r="L15" s="3"/>
      <c r="M15" s="3"/>
      <c r="N15" s="3"/>
      <c r="O15" s="3"/>
      <c r="P15" s="3"/>
      <c r="Q15" s="3"/>
      <c r="R15" s="3"/>
      <c r="S15" s="3"/>
      <c r="T15" s="4"/>
    </row>
    <row r="16" spans="2:20" x14ac:dyDescent="0.25">
      <c r="B16" s="2"/>
      <c r="C16" s="3"/>
      <c r="D16" s="3" t="s">
        <v>51</v>
      </c>
      <c r="E16" s="3"/>
      <c r="F16" s="3"/>
      <c r="G16" s="3"/>
      <c r="H16" s="3"/>
      <c r="I16" s="3"/>
      <c r="J16" s="3"/>
      <c r="K16" s="3"/>
      <c r="L16" s="3"/>
      <c r="M16" s="3"/>
      <c r="N16" s="3"/>
      <c r="O16" s="3"/>
      <c r="P16" s="3"/>
      <c r="Q16" s="3"/>
      <c r="R16" s="3"/>
      <c r="S16" s="3"/>
      <c r="T16" s="4"/>
    </row>
    <row r="17" spans="2:20" x14ac:dyDescent="0.25">
      <c r="B17" s="2"/>
      <c r="C17" s="3"/>
      <c r="D17" s="3" t="s">
        <v>52</v>
      </c>
      <c r="E17" s="3"/>
      <c r="F17" s="3"/>
      <c r="G17" s="3"/>
      <c r="H17" s="3"/>
      <c r="I17" s="3"/>
      <c r="J17" s="3"/>
      <c r="K17" s="3"/>
      <c r="L17" s="3"/>
      <c r="M17" s="3"/>
      <c r="N17" s="3"/>
      <c r="O17" s="3"/>
      <c r="P17" s="3"/>
      <c r="Q17" s="3"/>
      <c r="R17" s="3"/>
      <c r="S17" s="3"/>
      <c r="T17" s="4"/>
    </row>
    <row r="18" spans="2:20" x14ac:dyDescent="0.25">
      <c r="B18" s="2"/>
      <c r="C18" s="3"/>
      <c r="D18" s="3" t="s">
        <v>53</v>
      </c>
      <c r="E18" s="3"/>
      <c r="F18" s="3"/>
      <c r="G18" s="3"/>
      <c r="H18" s="3"/>
      <c r="I18" s="3"/>
      <c r="J18" s="3"/>
      <c r="K18" s="3"/>
      <c r="L18" s="3"/>
      <c r="M18" s="3"/>
      <c r="N18" s="3"/>
      <c r="O18" s="3"/>
      <c r="P18" s="3"/>
      <c r="Q18" s="3"/>
      <c r="R18" s="3"/>
      <c r="S18" s="3"/>
      <c r="T18" s="4"/>
    </row>
    <row r="19" spans="2:20" x14ac:dyDescent="0.25">
      <c r="B19" s="2"/>
      <c r="C19" s="3"/>
      <c r="D19" s="3" t="s">
        <v>54</v>
      </c>
      <c r="E19" s="3"/>
      <c r="F19" s="3"/>
      <c r="G19" s="3"/>
      <c r="H19" s="3"/>
      <c r="I19" s="3"/>
      <c r="J19" s="3"/>
      <c r="K19" s="3"/>
      <c r="L19" s="3"/>
      <c r="M19" s="3"/>
      <c r="N19" s="3"/>
      <c r="O19" s="3"/>
      <c r="P19" s="3"/>
      <c r="Q19" s="3"/>
      <c r="R19" s="3"/>
      <c r="S19" s="3"/>
      <c r="T19" s="4"/>
    </row>
    <row r="20" spans="2:20" x14ac:dyDescent="0.25">
      <c r="B20" s="2"/>
      <c r="C20" s="3"/>
      <c r="D20" s="3" t="s">
        <v>57</v>
      </c>
      <c r="E20" s="3"/>
      <c r="F20" s="3"/>
      <c r="G20" s="3"/>
      <c r="H20" s="3"/>
      <c r="I20" s="3"/>
      <c r="J20" s="3"/>
      <c r="K20" s="3"/>
      <c r="L20" s="3"/>
      <c r="M20" s="3"/>
      <c r="N20" s="3"/>
      <c r="O20" s="3"/>
      <c r="P20" s="3"/>
      <c r="Q20" s="3"/>
      <c r="R20" s="3"/>
      <c r="S20" s="3"/>
      <c r="T20" s="4"/>
    </row>
    <row r="21" spans="2:20" x14ac:dyDescent="0.25">
      <c r="B21" s="2"/>
      <c r="C21" s="3"/>
      <c r="D21" s="3" t="s">
        <v>58</v>
      </c>
      <c r="E21" s="3"/>
      <c r="F21" s="3"/>
      <c r="G21" s="3"/>
      <c r="H21" s="3"/>
      <c r="I21" s="3"/>
      <c r="J21" s="3"/>
      <c r="K21" s="3"/>
      <c r="L21" s="3"/>
      <c r="M21" s="3"/>
      <c r="N21" s="3"/>
      <c r="O21" s="3"/>
      <c r="P21" s="3"/>
      <c r="Q21" s="3"/>
      <c r="R21" s="3"/>
      <c r="S21" s="3"/>
      <c r="T21" s="4"/>
    </row>
    <row r="22" spans="2:20" x14ac:dyDescent="0.25">
      <c r="B22" s="2"/>
      <c r="C22" s="3"/>
      <c r="D22" s="3" t="s">
        <v>59</v>
      </c>
      <c r="E22" s="3"/>
      <c r="F22" s="3"/>
      <c r="G22" s="3"/>
      <c r="H22" s="3"/>
      <c r="I22" s="3"/>
      <c r="J22" s="3"/>
      <c r="K22" s="3"/>
      <c r="L22" s="3"/>
      <c r="M22" s="3"/>
      <c r="N22" s="3"/>
      <c r="O22" s="3"/>
      <c r="P22" s="3"/>
      <c r="Q22" s="3"/>
      <c r="R22" s="3"/>
      <c r="S22" s="3"/>
      <c r="T22" s="4"/>
    </row>
    <row r="23" spans="2:20" x14ac:dyDescent="0.25">
      <c r="B23" s="2"/>
      <c r="C23" s="3"/>
      <c r="D23" s="3"/>
      <c r="E23" s="3"/>
      <c r="F23" s="3"/>
      <c r="G23" s="3"/>
      <c r="H23" s="3"/>
      <c r="I23" s="3"/>
      <c r="J23" s="3"/>
      <c r="K23" s="3"/>
      <c r="L23" s="3"/>
      <c r="M23" s="3"/>
      <c r="N23" s="3"/>
      <c r="O23" s="3"/>
      <c r="P23" s="3"/>
      <c r="Q23" s="3"/>
      <c r="R23" s="3"/>
      <c r="S23" s="3"/>
      <c r="T23" s="4"/>
    </row>
    <row r="24" spans="2:20" x14ac:dyDescent="0.25">
      <c r="B24" s="2"/>
      <c r="C24" s="5" t="s">
        <v>27</v>
      </c>
      <c r="D24" s="3"/>
      <c r="E24" s="3"/>
      <c r="F24" s="3"/>
      <c r="G24" s="3"/>
      <c r="H24" s="3"/>
      <c r="I24" s="3"/>
      <c r="J24" s="3"/>
      <c r="K24" s="3"/>
      <c r="L24" s="3"/>
      <c r="M24" s="3"/>
      <c r="N24" s="3"/>
      <c r="O24" s="3"/>
      <c r="P24" s="3"/>
      <c r="Q24" s="3"/>
      <c r="R24" s="3"/>
      <c r="S24" s="3"/>
      <c r="T24" s="4"/>
    </row>
    <row r="25" spans="2:20" x14ac:dyDescent="0.25">
      <c r="B25" s="2"/>
      <c r="C25" s="3"/>
      <c r="D25" s="3" t="s">
        <v>28</v>
      </c>
      <c r="E25" s="3"/>
      <c r="F25" s="3"/>
      <c r="G25" s="3"/>
      <c r="H25" s="3"/>
      <c r="I25" s="3"/>
      <c r="J25" s="3"/>
      <c r="K25" s="3"/>
      <c r="L25" s="3"/>
      <c r="M25" s="3"/>
      <c r="N25" s="3"/>
      <c r="O25" s="3"/>
      <c r="P25" s="3"/>
      <c r="Q25" s="3"/>
      <c r="R25" s="3"/>
      <c r="S25" s="3"/>
      <c r="T25" s="4"/>
    </row>
    <row r="26" spans="2:20" x14ac:dyDescent="0.25">
      <c r="B26" s="2"/>
      <c r="C26" s="3"/>
      <c r="D26" s="3" t="s">
        <v>29</v>
      </c>
      <c r="E26" s="3"/>
      <c r="F26" s="3"/>
      <c r="G26" s="3"/>
      <c r="H26" s="3"/>
      <c r="I26" s="3"/>
      <c r="J26" s="3"/>
      <c r="K26" s="3"/>
      <c r="L26" s="3"/>
      <c r="M26" s="3"/>
      <c r="N26" s="3"/>
      <c r="O26" s="3"/>
      <c r="P26" s="3"/>
      <c r="Q26" s="3"/>
      <c r="R26" s="3"/>
      <c r="S26" s="3"/>
      <c r="T26" s="4"/>
    </row>
    <row r="27" spans="2:20" x14ac:dyDescent="0.25">
      <c r="B27" s="2"/>
      <c r="C27" s="3"/>
      <c r="D27" s="3" t="s">
        <v>30</v>
      </c>
      <c r="E27" s="3"/>
      <c r="F27" s="3"/>
      <c r="G27" s="3"/>
      <c r="H27" s="3"/>
      <c r="I27" s="3"/>
      <c r="J27" s="3"/>
      <c r="K27" s="3"/>
      <c r="L27" s="3"/>
      <c r="M27" s="3"/>
      <c r="N27" s="3"/>
      <c r="O27" s="3"/>
      <c r="P27" s="3"/>
      <c r="Q27" s="3"/>
      <c r="R27" s="3"/>
      <c r="S27" s="3"/>
      <c r="T27" s="4"/>
    </row>
    <row r="28" spans="2:20" x14ac:dyDescent="0.25">
      <c r="B28" s="2"/>
      <c r="C28" s="3"/>
      <c r="D28" s="3" t="s">
        <v>31</v>
      </c>
      <c r="E28" s="3"/>
      <c r="F28" s="3"/>
      <c r="G28" s="3"/>
      <c r="H28" s="3"/>
      <c r="I28" s="3"/>
      <c r="J28" s="3"/>
      <c r="K28" s="3"/>
      <c r="L28" s="3"/>
      <c r="M28" s="3"/>
      <c r="N28" s="3"/>
      <c r="O28" s="3"/>
      <c r="P28" s="3"/>
      <c r="Q28" s="3"/>
      <c r="R28" s="3"/>
      <c r="S28" s="3"/>
      <c r="T28" s="4"/>
    </row>
    <row r="29" spans="2:20" x14ac:dyDescent="0.25">
      <c r="B29" s="2"/>
      <c r="C29" s="3"/>
      <c r="D29" s="3"/>
      <c r="E29" s="3"/>
      <c r="F29" s="3"/>
      <c r="G29" s="3"/>
      <c r="H29" s="3"/>
      <c r="I29" s="3"/>
      <c r="J29" s="3"/>
      <c r="K29" s="3"/>
      <c r="L29" s="3"/>
      <c r="M29" s="3"/>
      <c r="N29" s="3"/>
      <c r="O29" s="3"/>
      <c r="P29" s="3"/>
      <c r="Q29" s="3"/>
      <c r="R29" s="3"/>
      <c r="S29" s="3"/>
      <c r="T29" s="4"/>
    </row>
    <row r="30" spans="2:20" x14ac:dyDescent="0.25">
      <c r="B30" s="2"/>
      <c r="C30" s="5" t="s">
        <v>32</v>
      </c>
      <c r="D30" s="3"/>
      <c r="E30" s="3"/>
      <c r="F30" s="3"/>
      <c r="G30" s="3"/>
      <c r="H30" s="3"/>
      <c r="I30" s="3"/>
      <c r="J30" s="3"/>
      <c r="K30" s="3"/>
      <c r="L30" s="3"/>
      <c r="M30" s="3"/>
      <c r="N30" s="3"/>
      <c r="O30" s="3"/>
      <c r="P30" s="3"/>
      <c r="Q30" s="3"/>
      <c r="R30" s="3"/>
      <c r="S30" s="3"/>
      <c r="T30" s="4"/>
    </row>
    <row r="31" spans="2:20" x14ac:dyDescent="0.25">
      <c r="B31" s="2"/>
      <c r="C31" s="3"/>
      <c r="D31" s="3" t="s">
        <v>33</v>
      </c>
      <c r="E31" s="3"/>
      <c r="F31" s="3"/>
      <c r="G31" s="3"/>
      <c r="H31" s="3"/>
      <c r="I31" s="3"/>
      <c r="J31" s="3"/>
      <c r="K31" s="3"/>
      <c r="L31" s="3"/>
      <c r="M31" s="3"/>
      <c r="N31" s="3"/>
      <c r="O31" s="3"/>
      <c r="P31" s="3"/>
      <c r="Q31" s="3"/>
      <c r="R31" s="3"/>
      <c r="S31" s="3"/>
      <c r="T31" s="4"/>
    </row>
    <row r="32" spans="2:20" x14ac:dyDescent="0.25">
      <c r="B32" s="2"/>
      <c r="C32" s="3"/>
      <c r="D32" s="3" t="s">
        <v>44</v>
      </c>
      <c r="E32" s="3"/>
      <c r="F32" s="3"/>
      <c r="G32" s="3"/>
      <c r="H32" s="3"/>
      <c r="I32" s="3"/>
      <c r="J32" s="3"/>
      <c r="K32" s="3"/>
      <c r="L32" s="3"/>
      <c r="M32" s="3"/>
      <c r="N32" s="3"/>
      <c r="O32" s="3"/>
      <c r="P32" s="3"/>
      <c r="Q32" s="3"/>
      <c r="R32" s="3"/>
      <c r="S32" s="3"/>
      <c r="T32" s="4"/>
    </row>
    <row r="33" spans="2:20" x14ac:dyDescent="0.25">
      <c r="B33" s="2"/>
      <c r="C33" s="3"/>
      <c r="D33" s="3" t="s">
        <v>45</v>
      </c>
      <c r="E33" s="3"/>
      <c r="F33" s="3"/>
      <c r="G33" s="3"/>
      <c r="H33" s="3"/>
      <c r="I33" s="3"/>
      <c r="J33" s="3"/>
      <c r="K33" s="3"/>
      <c r="L33" s="3"/>
      <c r="M33" s="3"/>
      <c r="N33" s="3"/>
      <c r="O33" s="3"/>
      <c r="P33" s="3"/>
      <c r="Q33" s="3"/>
      <c r="R33" s="3"/>
      <c r="S33" s="3"/>
      <c r="T33" s="4"/>
    </row>
    <row r="34" spans="2:20" x14ac:dyDescent="0.25">
      <c r="B34" s="2"/>
      <c r="C34" s="3"/>
      <c r="D34" s="3" t="s">
        <v>46</v>
      </c>
      <c r="E34" s="3"/>
      <c r="F34" s="3"/>
      <c r="G34" s="3"/>
      <c r="H34" s="3"/>
      <c r="I34" s="3"/>
      <c r="J34" s="3"/>
      <c r="K34" s="3"/>
      <c r="L34" s="3"/>
      <c r="M34" s="3"/>
      <c r="N34" s="3"/>
      <c r="O34" s="3"/>
      <c r="P34" s="3"/>
      <c r="Q34" s="3"/>
      <c r="R34" s="3"/>
      <c r="S34" s="3"/>
      <c r="T34" s="4"/>
    </row>
    <row r="35" spans="2:20" x14ac:dyDescent="0.25">
      <c r="B35" s="2"/>
      <c r="C35" s="3"/>
      <c r="D35" s="3"/>
      <c r="E35" s="3"/>
      <c r="F35" s="3"/>
      <c r="G35" s="3"/>
      <c r="H35" s="3"/>
      <c r="I35" s="3"/>
      <c r="J35" s="3"/>
      <c r="K35" s="3"/>
      <c r="L35" s="3"/>
      <c r="M35" s="3"/>
      <c r="N35" s="3"/>
      <c r="O35" s="3"/>
      <c r="P35" s="3"/>
      <c r="Q35" s="3"/>
      <c r="R35" s="3"/>
      <c r="S35" s="3"/>
      <c r="T35" s="4"/>
    </row>
    <row r="36" spans="2:20" x14ac:dyDescent="0.25">
      <c r="B36" s="2"/>
      <c r="C36" s="5" t="s">
        <v>41</v>
      </c>
      <c r="D36" s="3"/>
      <c r="E36" s="3"/>
      <c r="F36" s="3"/>
      <c r="G36" s="3"/>
      <c r="H36" s="3"/>
      <c r="I36" s="3"/>
      <c r="J36" s="3"/>
      <c r="K36" s="3"/>
      <c r="L36" s="3"/>
      <c r="M36" s="3"/>
      <c r="N36" s="3"/>
      <c r="O36" s="3"/>
      <c r="P36" s="3"/>
      <c r="Q36" s="3"/>
      <c r="R36" s="3"/>
      <c r="S36" s="3"/>
      <c r="T36" s="4"/>
    </row>
    <row r="37" spans="2:20" x14ac:dyDescent="0.25">
      <c r="B37" s="2"/>
      <c r="C37" s="3"/>
      <c r="D37" s="3" t="s">
        <v>47</v>
      </c>
      <c r="E37" s="3"/>
      <c r="F37" s="3"/>
      <c r="G37" s="3"/>
      <c r="H37" s="3"/>
      <c r="I37" s="3"/>
      <c r="J37" s="3"/>
      <c r="K37" s="3"/>
      <c r="L37" s="3"/>
      <c r="M37" s="3"/>
      <c r="N37" s="3"/>
      <c r="O37" s="3"/>
      <c r="P37" s="3"/>
      <c r="Q37" s="3"/>
      <c r="R37" s="3"/>
      <c r="S37" s="3"/>
      <c r="T37" s="4"/>
    </row>
    <row r="38" spans="2:20" x14ac:dyDescent="0.25">
      <c r="B38" s="2"/>
      <c r="C38" s="3"/>
      <c r="D38" s="3" t="s">
        <v>48</v>
      </c>
      <c r="E38" s="3"/>
      <c r="F38" s="3"/>
      <c r="G38" s="3"/>
      <c r="H38" s="3"/>
      <c r="I38" s="3"/>
      <c r="J38" s="3"/>
      <c r="K38" s="3"/>
      <c r="L38" s="3"/>
      <c r="M38" s="3"/>
      <c r="N38" s="3"/>
      <c r="O38" s="3"/>
      <c r="P38" s="3"/>
      <c r="Q38" s="3"/>
      <c r="R38" s="3"/>
      <c r="S38" s="3"/>
      <c r="T38" s="4"/>
    </row>
    <row r="39" spans="2:20" x14ac:dyDescent="0.25">
      <c r="B39" s="2"/>
      <c r="C39" s="3"/>
      <c r="D39" s="3" t="s">
        <v>49</v>
      </c>
      <c r="E39" s="3"/>
      <c r="F39" s="3"/>
      <c r="G39" s="3"/>
      <c r="H39" s="3"/>
      <c r="I39" s="3"/>
      <c r="J39" s="3"/>
      <c r="K39" s="3"/>
      <c r="L39" s="3"/>
      <c r="M39" s="3"/>
      <c r="N39" s="3"/>
      <c r="O39" s="3"/>
      <c r="P39" s="3"/>
      <c r="Q39" s="3"/>
      <c r="R39" s="3"/>
      <c r="S39" s="3"/>
      <c r="T39" s="4"/>
    </row>
    <row r="40" spans="2:20" x14ac:dyDescent="0.25">
      <c r="B40" s="2"/>
      <c r="C40" s="3"/>
      <c r="D40" s="3" t="s">
        <v>56</v>
      </c>
      <c r="E40" s="3"/>
      <c r="F40" s="3"/>
      <c r="G40" s="3"/>
      <c r="H40" s="3"/>
      <c r="I40" s="3"/>
      <c r="J40" s="3"/>
      <c r="K40" s="3"/>
      <c r="L40" s="3"/>
      <c r="M40" s="3"/>
      <c r="N40" s="3"/>
      <c r="O40" s="3"/>
      <c r="P40" s="3"/>
      <c r="Q40" s="3"/>
      <c r="R40" s="3"/>
      <c r="S40" s="3"/>
      <c r="T40" s="4"/>
    </row>
    <row r="41" spans="2:20" x14ac:dyDescent="0.25">
      <c r="B41" s="2"/>
      <c r="C41" s="3"/>
      <c r="D41" s="3"/>
      <c r="E41" s="3"/>
      <c r="F41" s="3"/>
      <c r="G41" s="3"/>
      <c r="H41" s="3"/>
      <c r="I41" s="3"/>
      <c r="J41" s="3"/>
      <c r="K41" s="3"/>
      <c r="L41" s="3"/>
      <c r="M41" s="3"/>
      <c r="N41" s="3"/>
      <c r="O41" s="3"/>
      <c r="P41" s="3"/>
      <c r="Q41" s="3"/>
      <c r="R41" s="3"/>
      <c r="S41" s="3"/>
      <c r="T41" s="4"/>
    </row>
    <row r="42" spans="2:20" x14ac:dyDescent="0.25">
      <c r="B42" s="2"/>
      <c r="C42" s="5" t="s">
        <v>60</v>
      </c>
      <c r="D42" s="3"/>
      <c r="E42" s="3"/>
      <c r="F42" s="3"/>
      <c r="G42" s="3"/>
      <c r="H42" s="3"/>
      <c r="I42" s="3"/>
      <c r="J42" s="3"/>
      <c r="K42" s="3"/>
      <c r="L42" s="3"/>
      <c r="M42" s="3"/>
      <c r="N42" s="3"/>
      <c r="O42" s="3"/>
      <c r="P42" s="3"/>
      <c r="Q42" s="3"/>
      <c r="R42" s="3"/>
      <c r="S42" s="3"/>
      <c r="T42" s="4"/>
    </row>
    <row r="43" spans="2:20" x14ac:dyDescent="0.25">
      <c r="B43" s="2"/>
      <c r="C43" s="3"/>
      <c r="D43" s="3" t="s">
        <v>61</v>
      </c>
      <c r="E43" s="3"/>
      <c r="F43" s="3"/>
      <c r="G43" s="3"/>
      <c r="H43" s="3"/>
      <c r="I43" s="3"/>
      <c r="J43" s="3"/>
      <c r="K43" s="3"/>
      <c r="L43" s="3"/>
      <c r="M43" s="3"/>
      <c r="N43" s="3"/>
      <c r="O43" s="3"/>
      <c r="P43" s="3"/>
      <c r="Q43" s="3"/>
      <c r="R43" s="3"/>
      <c r="S43" s="3"/>
      <c r="T43" s="4"/>
    </row>
    <row r="44" spans="2:20" x14ac:dyDescent="0.25">
      <c r="B44" s="2"/>
      <c r="C44" s="3"/>
      <c r="D44" s="3" t="s">
        <v>62</v>
      </c>
      <c r="E44" s="3"/>
      <c r="F44" s="3"/>
      <c r="G44" s="3"/>
      <c r="H44" s="3"/>
      <c r="I44" s="3"/>
      <c r="J44" s="3"/>
      <c r="K44" s="3"/>
      <c r="L44" s="3"/>
      <c r="M44" s="3"/>
      <c r="N44" s="3"/>
      <c r="O44" s="3"/>
      <c r="P44" s="3"/>
      <c r="Q44" s="3"/>
      <c r="R44" s="3"/>
      <c r="S44" s="3"/>
      <c r="T44" s="4"/>
    </row>
    <row r="45" spans="2:20" x14ac:dyDescent="0.25">
      <c r="B45" s="2"/>
      <c r="C45" s="3"/>
      <c r="D45" s="3" t="s">
        <v>63</v>
      </c>
      <c r="E45" s="3"/>
      <c r="F45" s="3"/>
      <c r="G45" s="3"/>
      <c r="H45" s="3"/>
      <c r="I45" s="3"/>
      <c r="J45" s="3"/>
      <c r="K45" s="3"/>
      <c r="L45" s="3"/>
      <c r="M45" s="3"/>
      <c r="N45" s="3"/>
      <c r="O45" s="3"/>
      <c r="P45" s="3"/>
      <c r="Q45" s="3"/>
      <c r="R45" s="3"/>
      <c r="S45" s="3"/>
      <c r="T45" s="4"/>
    </row>
    <row r="46" spans="2:20" x14ac:dyDescent="0.25">
      <c r="B46" s="2"/>
      <c r="C46" s="3"/>
      <c r="D46" s="3" t="s">
        <v>68</v>
      </c>
      <c r="E46" s="3"/>
      <c r="F46" s="3"/>
      <c r="G46" s="3"/>
      <c r="H46" s="3"/>
      <c r="I46" s="3"/>
      <c r="J46" s="3"/>
      <c r="K46" s="3"/>
      <c r="L46" s="3"/>
      <c r="M46" s="3"/>
      <c r="N46" s="3"/>
      <c r="O46" s="3"/>
      <c r="P46" s="3"/>
      <c r="Q46" s="3"/>
      <c r="R46" s="3"/>
      <c r="S46" s="3"/>
      <c r="T46" s="4"/>
    </row>
    <row r="47" spans="2:20" x14ac:dyDescent="0.25">
      <c r="B47" s="2"/>
      <c r="C47" s="3"/>
      <c r="D47" s="3" t="s">
        <v>69</v>
      </c>
      <c r="E47" s="3"/>
      <c r="F47" s="3"/>
      <c r="G47" s="3"/>
      <c r="H47" s="3"/>
      <c r="I47" s="3"/>
      <c r="J47" s="3"/>
      <c r="K47" s="3"/>
      <c r="L47" s="3"/>
      <c r="M47" s="3"/>
      <c r="N47" s="3"/>
      <c r="O47" s="3"/>
      <c r="P47" s="3"/>
      <c r="Q47" s="3"/>
      <c r="R47" s="3"/>
      <c r="S47" s="3"/>
      <c r="T47" s="4"/>
    </row>
    <row r="48" spans="2:20" x14ac:dyDescent="0.25">
      <c r="B48" s="2"/>
      <c r="C48" s="3"/>
      <c r="D48" s="3" t="s">
        <v>64</v>
      </c>
      <c r="E48" s="3"/>
      <c r="F48" s="3"/>
      <c r="G48" s="3"/>
      <c r="H48" s="3"/>
      <c r="I48" s="3"/>
      <c r="J48" s="3"/>
      <c r="K48" s="3"/>
      <c r="L48" s="3"/>
      <c r="M48" s="3"/>
      <c r="N48" s="3"/>
      <c r="O48" s="3"/>
      <c r="P48" s="3"/>
      <c r="Q48" s="3"/>
      <c r="R48" s="3"/>
      <c r="S48" s="3"/>
      <c r="T48" s="4"/>
    </row>
    <row r="49" spans="2:20" x14ac:dyDescent="0.25">
      <c r="B49" s="2"/>
      <c r="C49" s="3"/>
      <c r="D49" s="3" t="s">
        <v>67</v>
      </c>
      <c r="E49" s="3"/>
      <c r="F49" s="3"/>
      <c r="G49" s="3"/>
      <c r="H49" s="3"/>
      <c r="I49" s="3"/>
      <c r="J49" s="3"/>
      <c r="K49" s="3"/>
      <c r="L49" s="3"/>
      <c r="M49" s="3"/>
      <c r="N49" s="3"/>
      <c r="O49" s="3"/>
      <c r="P49" s="3"/>
      <c r="Q49" s="3"/>
      <c r="R49" s="3"/>
      <c r="S49" s="3"/>
      <c r="T49" s="4"/>
    </row>
    <row r="50" spans="2:20" x14ac:dyDescent="0.25">
      <c r="B50" s="2"/>
      <c r="C50" s="3"/>
      <c r="D50" s="3" t="s">
        <v>70</v>
      </c>
      <c r="E50" s="3"/>
      <c r="F50" s="3"/>
      <c r="G50" s="3"/>
      <c r="H50" s="3"/>
      <c r="I50" s="3"/>
      <c r="J50" s="3"/>
      <c r="K50" s="3"/>
      <c r="L50" s="3"/>
      <c r="M50" s="3"/>
      <c r="N50" s="3"/>
      <c r="O50" s="3"/>
      <c r="P50" s="3"/>
      <c r="Q50" s="3"/>
      <c r="R50" s="3"/>
      <c r="S50" s="3"/>
      <c r="T50" s="4"/>
    </row>
    <row r="51" spans="2:20" x14ac:dyDescent="0.25">
      <c r="B51" s="2"/>
      <c r="C51" s="3"/>
      <c r="D51" s="3" t="s">
        <v>71</v>
      </c>
      <c r="E51" s="3"/>
      <c r="F51" s="3"/>
      <c r="G51" s="3"/>
      <c r="H51" s="3"/>
      <c r="I51" s="3"/>
      <c r="J51" s="3"/>
      <c r="K51" s="3"/>
      <c r="L51" s="3"/>
      <c r="M51" s="3"/>
      <c r="N51" s="3"/>
      <c r="O51" s="3"/>
      <c r="P51" s="3"/>
      <c r="Q51" s="3"/>
      <c r="R51" s="3"/>
      <c r="S51" s="3"/>
      <c r="T51" s="4"/>
    </row>
    <row r="52" spans="2:20" ht="15.75" thickBot="1" x14ac:dyDescent="0.3">
      <c r="B52" s="6"/>
      <c r="C52" s="7"/>
      <c r="D52" s="7"/>
      <c r="E52" s="7"/>
      <c r="F52" s="7"/>
      <c r="G52" s="7"/>
      <c r="H52" s="7"/>
      <c r="I52" s="7"/>
      <c r="J52" s="7"/>
      <c r="K52" s="7"/>
      <c r="L52" s="7"/>
      <c r="M52" s="7"/>
      <c r="N52" s="7"/>
      <c r="O52" s="7"/>
      <c r="P52" s="7"/>
      <c r="Q52" s="7"/>
      <c r="R52" s="7"/>
      <c r="S52" s="7"/>
      <c r="T52" s="8"/>
    </row>
    <row r="53" spans="2:20" ht="15.75" thickTop="1" x14ac:dyDescent="0.25"/>
  </sheetData>
  <sheetProtection algorithmName="SHA-512" hashValue="uiHbwOb1mybg5WuN5niPTtZMYVqYanwqltgN7buCi6JR2mTgslJL+nVR0owdHltpCNL2tjem4GqQ0uJC1VWgdA==" saltValue="xUbBA3r8e7JfHYdQXnBZ4g==" spinCount="100000" sheet="1" objects="1" scenarios="1"/>
  <mergeCells count="1">
    <mergeCell ref="B2:T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9"/>
  <sheetViews>
    <sheetView view="pageBreakPreview" zoomScale="200" zoomScaleNormal="100" zoomScaleSheetLayoutView="200" workbookViewId="0">
      <selection activeCell="E8" sqref="E8"/>
    </sheetView>
  </sheetViews>
  <sheetFormatPr defaultRowHeight="15" x14ac:dyDescent="0.25"/>
  <cols>
    <col min="1" max="14" width="9.140625" style="1"/>
    <col min="15" max="15" width="16.5703125" style="1" customWidth="1"/>
    <col min="16" max="16384" width="9.140625" style="1"/>
  </cols>
  <sheetData>
    <row r="39" ht="18.75" customHeight="1" x14ac:dyDescent="0.25"/>
  </sheetData>
  <printOptions horizontalCentered="1" verticalCentered="1"/>
  <pageMargins left="0" right="0" top="0" bottom="0" header="0" footer="0"/>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B889"/>
  <sheetViews>
    <sheetView showGridLines="0" tabSelected="1" zoomScale="80" zoomScaleNormal="80" workbookViewId="0">
      <selection activeCell="I71" sqref="I71"/>
    </sheetView>
  </sheetViews>
  <sheetFormatPr defaultColWidth="8.85546875" defaultRowHeight="15" x14ac:dyDescent="0.25"/>
  <cols>
    <col min="1" max="1" width="9.140625" style="11" customWidth="1"/>
    <col min="2" max="2" width="43.42578125" style="11" customWidth="1"/>
    <col min="3" max="3" width="31.7109375" style="14" customWidth="1"/>
    <col min="4" max="4" width="6.42578125" style="14" customWidth="1"/>
    <col min="5" max="5" width="11.5703125" style="14" customWidth="1"/>
    <col min="6" max="6" width="11" style="11" customWidth="1"/>
    <col min="7" max="12" width="8.85546875" style="11" customWidth="1"/>
    <col min="13" max="13" width="11.5703125" style="11" customWidth="1"/>
    <col min="14" max="14" width="29.85546875" style="11" customWidth="1"/>
    <col min="15" max="15" width="26.28515625" style="11" customWidth="1"/>
    <col min="16" max="16" width="21" style="11" customWidth="1"/>
    <col min="17" max="17" width="34.5703125" style="11" customWidth="1"/>
    <col min="18" max="18" width="34.85546875" style="11" customWidth="1"/>
    <col min="19" max="24" width="15.28515625" style="11" customWidth="1"/>
    <col min="25" max="25" width="47.28515625" style="11" customWidth="1"/>
    <col min="26" max="26" width="52.28515625" style="11" customWidth="1"/>
    <col min="27" max="27" width="23.140625" style="11" customWidth="1"/>
    <col min="28" max="28" width="23.42578125" style="11" customWidth="1"/>
    <col min="29" max="29" width="26" style="11" customWidth="1"/>
    <col min="30" max="157" width="47.28515625" style="11" bestFit="1" customWidth="1"/>
    <col min="158" max="158" width="11.28515625" style="11" customWidth="1"/>
    <col min="159" max="159" width="45.28515625" style="11" bestFit="1" customWidth="1"/>
    <col min="160" max="160" width="10.7109375" style="11" bestFit="1" customWidth="1"/>
    <col min="161" max="16384" width="8.85546875" style="11"/>
  </cols>
  <sheetData>
    <row r="1" spans="2:14" ht="34.9" customHeight="1" thickBot="1" x14ac:dyDescent="0.3"/>
    <row r="2" spans="2:14" ht="70.150000000000006" customHeight="1" thickBot="1" x14ac:dyDescent="0.3">
      <c r="B2" s="660" t="s">
        <v>526</v>
      </c>
      <c r="C2" s="661"/>
      <c r="D2" s="661"/>
      <c r="E2" s="661"/>
      <c r="F2" s="661"/>
      <c r="G2" s="661"/>
      <c r="H2" s="661"/>
      <c r="I2" s="661"/>
      <c r="J2" s="661"/>
      <c r="K2" s="661"/>
      <c r="L2" s="661"/>
      <c r="M2" s="661"/>
      <c r="N2" s="662"/>
    </row>
    <row r="4" spans="2:14" ht="23.45" customHeight="1" x14ac:dyDescent="0.25">
      <c r="B4" s="38"/>
      <c r="C4" s="39"/>
      <c r="D4" s="15"/>
      <c r="E4" s="15"/>
      <c r="F4" s="12"/>
      <c r="G4" s="12"/>
      <c r="H4" s="12"/>
      <c r="I4" s="12"/>
      <c r="J4" s="12"/>
    </row>
    <row r="5" spans="2:14" ht="36.75" customHeight="1" x14ac:dyDescent="0.25">
      <c r="B5" s="663" t="s">
        <v>95</v>
      </c>
      <c r="C5" s="664"/>
      <c r="D5" s="664"/>
      <c r="E5" s="664"/>
      <c r="F5" s="664"/>
      <c r="G5" s="664"/>
      <c r="H5" s="664"/>
      <c r="I5" s="664"/>
      <c r="J5" s="664"/>
      <c r="K5" s="664"/>
      <c r="L5" s="664"/>
      <c r="M5" s="664"/>
      <c r="N5" s="665"/>
    </row>
    <row r="9" spans="2:14" x14ac:dyDescent="0.25">
      <c r="B9" s="377" t="s">
        <v>3</v>
      </c>
      <c r="C9" s="378" t="s">
        <v>509</v>
      </c>
    </row>
    <row r="10" spans="2:14" x14ac:dyDescent="0.25">
      <c r="B10" s="377" t="s">
        <v>263</v>
      </c>
      <c r="C10" s="378" t="s">
        <v>74</v>
      </c>
    </row>
    <row r="11" spans="2:14" x14ac:dyDescent="0.25">
      <c r="B11" s="377" t="s">
        <v>295</v>
      </c>
      <c r="C11" s="378" t="s">
        <v>74</v>
      </c>
    </row>
    <row r="13" spans="2:14" ht="75" x14ac:dyDescent="0.25">
      <c r="B13" s="380" t="s">
        <v>242</v>
      </c>
      <c r="C13" s="381" t="s">
        <v>770</v>
      </c>
      <c r="D13" s="381" t="s">
        <v>771</v>
      </c>
      <c r="E13" s="381" t="s">
        <v>772</v>
      </c>
    </row>
    <row r="14" spans="2:14" x14ac:dyDescent="0.25">
      <c r="B14" s="379" t="s">
        <v>218</v>
      </c>
      <c r="C14" s="382">
        <v>0.99087354908257219</v>
      </c>
      <c r="D14" s="382">
        <v>0.83320048281673464</v>
      </c>
      <c r="E14" s="382">
        <v>0.53184996242228244</v>
      </c>
    </row>
    <row r="15" spans="2:14" x14ac:dyDescent="0.25">
      <c r="B15" s="379" t="s">
        <v>226</v>
      </c>
      <c r="C15" s="382">
        <v>0.88511372742402761</v>
      </c>
      <c r="D15" s="382">
        <v>0.90978857178080508</v>
      </c>
      <c r="E15" s="382">
        <v>0.41459656043888304</v>
      </c>
    </row>
    <row r="16" spans="2:14" x14ac:dyDescent="0.25">
      <c r="B16" s="379" t="s">
        <v>73</v>
      </c>
      <c r="C16" s="382">
        <v>0.94593237727282631</v>
      </c>
      <c r="D16" s="382">
        <v>0.86574553074454852</v>
      </c>
      <c r="E16" s="382">
        <v>0.48202475279942375</v>
      </c>
    </row>
    <row r="17" spans="2:5" x14ac:dyDescent="0.25">
      <c r="B17"/>
      <c r="C17"/>
      <c r="D17"/>
    </row>
    <row r="18" spans="2:5" x14ac:dyDescent="0.25">
      <c r="B18"/>
      <c r="C18"/>
      <c r="D18"/>
    </row>
    <row r="19" spans="2:5" x14ac:dyDescent="0.25">
      <c r="B19"/>
      <c r="C19"/>
      <c r="D19"/>
    </row>
    <row r="20" spans="2:5" x14ac:dyDescent="0.25">
      <c r="B20"/>
      <c r="C20"/>
      <c r="D20"/>
    </row>
    <row r="21" spans="2:5" x14ac:dyDescent="0.25">
      <c r="B21"/>
      <c r="C21"/>
      <c r="D21"/>
    </row>
    <row r="22" spans="2:5" x14ac:dyDescent="0.25">
      <c r="B22"/>
      <c r="C22"/>
      <c r="D22"/>
    </row>
    <row r="25" spans="2:5" x14ac:dyDescent="0.25">
      <c r="B25" s="12"/>
      <c r="C25" s="30"/>
      <c r="D25" s="30"/>
      <c r="E25" s="30"/>
    </row>
    <row r="28" spans="2:5" x14ac:dyDescent="0.25">
      <c r="B28" s="29" t="s">
        <v>3</v>
      </c>
      <c r="C28" t="s">
        <v>509</v>
      </c>
    </row>
    <row r="29" spans="2:5" x14ac:dyDescent="0.25">
      <c r="B29" s="29" t="s">
        <v>263</v>
      </c>
      <c r="C29" t="s">
        <v>74</v>
      </c>
    </row>
    <row r="30" spans="2:5" x14ac:dyDescent="0.25">
      <c r="B30" s="29" t="s">
        <v>295</v>
      </c>
      <c r="C30" t="s">
        <v>74</v>
      </c>
    </row>
    <row r="32" spans="2:5" ht="90" x14ac:dyDescent="0.25">
      <c r="B32" s="376" t="s">
        <v>242</v>
      </c>
      <c r="C32" s="383" t="s">
        <v>745</v>
      </c>
      <c r="D32" s="383" t="s">
        <v>748</v>
      </c>
      <c r="E32" s="383" t="s">
        <v>747</v>
      </c>
    </row>
    <row r="33" spans="2:5" x14ac:dyDescent="0.25">
      <c r="B33" s="435" t="s">
        <v>180</v>
      </c>
      <c r="C33" s="371">
        <v>1</v>
      </c>
      <c r="D33" s="371">
        <v>0.76079506511309114</v>
      </c>
      <c r="E33" s="371">
        <v>0.35243317340644276</v>
      </c>
    </row>
    <row r="34" spans="2:5" x14ac:dyDescent="0.25">
      <c r="B34" s="435" t="s">
        <v>107</v>
      </c>
      <c r="C34" s="371">
        <v>1</v>
      </c>
      <c r="D34" s="371">
        <v>0.8477742448330684</v>
      </c>
      <c r="E34" s="371">
        <v>0.64825119236883944</v>
      </c>
    </row>
    <row r="35" spans="2:5" x14ac:dyDescent="0.25">
      <c r="B35" s="435" t="s">
        <v>110</v>
      </c>
      <c r="C35" s="371">
        <v>1</v>
      </c>
      <c r="D35" s="371">
        <v>0.79617486338797816</v>
      </c>
      <c r="E35" s="371">
        <v>0.72923497267759563</v>
      </c>
    </row>
    <row r="36" spans="2:5" x14ac:dyDescent="0.25">
      <c r="B36" s="435" t="s">
        <v>128</v>
      </c>
      <c r="C36" s="371">
        <v>0</v>
      </c>
      <c r="D36" s="371">
        <v>0</v>
      </c>
      <c r="E36" s="371">
        <v>0</v>
      </c>
    </row>
    <row r="37" spans="2:5" x14ac:dyDescent="0.25">
      <c r="B37" s="435" t="s">
        <v>205</v>
      </c>
      <c r="C37" s="371">
        <v>1</v>
      </c>
      <c r="D37" s="371">
        <v>0.9502212389380531</v>
      </c>
      <c r="E37" s="371">
        <v>0.31342182890855458</v>
      </c>
    </row>
    <row r="38" spans="2:5" x14ac:dyDescent="0.25">
      <c r="B38" s="435" t="s">
        <v>326</v>
      </c>
      <c r="C38" s="371">
        <v>1</v>
      </c>
      <c r="D38" s="371">
        <v>0.5714285714285714</v>
      </c>
      <c r="E38" s="371">
        <v>0</v>
      </c>
    </row>
    <row r="39" spans="2:5" x14ac:dyDescent="0.25">
      <c r="B39" s="435" t="s">
        <v>186</v>
      </c>
      <c r="C39" s="371">
        <v>0.97892792285052288</v>
      </c>
      <c r="D39" s="371">
        <v>0.82444110464024045</v>
      </c>
      <c r="E39" s="371">
        <v>0.36633477362389633</v>
      </c>
    </row>
    <row r="40" spans="2:5" x14ac:dyDescent="0.25">
      <c r="B40" s="435" t="s">
        <v>187</v>
      </c>
      <c r="C40" s="371">
        <v>1</v>
      </c>
      <c r="D40" s="371">
        <v>1</v>
      </c>
      <c r="E40" s="371">
        <v>0.52906976744186052</v>
      </c>
    </row>
    <row r="41" spans="2:5" x14ac:dyDescent="0.25">
      <c r="B41" s="435" t="s">
        <v>225</v>
      </c>
      <c r="C41" s="371">
        <v>1</v>
      </c>
      <c r="D41" s="371">
        <v>1</v>
      </c>
      <c r="E41" s="371">
        <v>1</v>
      </c>
    </row>
    <row r="42" spans="2:5" x14ac:dyDescent="0.25">
      <c r="B42" s="435" t="s">
        <v>133</v>
      </c>
      <c r="C42" s="371">
        <v>1</v>
      </c>
      <c r="D42" s="371">
        <v>0.97419354838709682</v>
      </c>
      <c r="E42" s="371">
        <v>1</v>
      </c>
    </row>
    <row r="43" spans="2:5" x14ac:dyDescent="0.25">
      <c r="B43" s="435" t="s">
        <v>188</v>
      </c>
      <c r="C43" s="371">
        <v>0.8129978372105291</v>
      </c>
      <c r="D43" s="371">
        <v>0.9550561797752809</v>
      </c>
      <c r="E43" s="371">
        <v>0.55035079390198871</v>
      </c>
    </row>
    <row r="44" spans="2:5" x14ac:dyDescent="0.25">
      <c r="B44" s="435" t="s">
        <v>214</v>
      </c>
      <c r="C44" s="371">
        <v>0.90513833992094861</v>
      </c>
      <c r="D44" s="371">
        <v>1</v>
      </c>
      <c r="E44" s="371">
        <v>1</v>
      </c>
    </row>
    <row r="45" spans="2:5" x14ac:dyDescent="0.25">
      <c r="B45" s="435" t="s">
        <v>135</v>
      </c>
      <c r="C45" s="371">
        <v>1</v>
      </c>
      <c r="D45" s="371">
        <v>0.89126244779955033</v>
      </c>
      <c r="E45" s="371">
        <v>0.55059428204304528</v>
      </c>
    </row>
    <row r="46" spans="2:5" x14ac:dyDescent="0.25">
      <c r="B46" s="435" t="s">
        <v>538</v>
      </c>
      <c r="C46" s="371">
        <v>1</v>
      </c>
      <c r="D46" s="371">
        <v>0.88414985590778095</v>
      </c>
      <c r="E46" s="371">
        <v>0.74812680115273777</v>
      </c>
    </row>
    <row r="47" spans="2:5" x14ac:dyDescent="0.25">
      <c r="B47" s="435" t="s">
        <v>232</v>
      </c>
      <c r="C47" s="371">
        <v>1</v>
      </c>
      <c r="D47" s="371">
        <v>1</v>
      </c>
      <c r="E47" s="371">
        <v>1</v>
      </c>
    </row>
    <row r="48" spans="2:5" x14ac:dyDescent="0.25">
      <c r="B48" s="435" t="s">
        <v>224</v>
      </c>
      <c r="C48" s="371">
        <v>0.57396449704142016</v>
      </c>
      <c r="D48" s="371">
        <v>0.72189349112426038</v>
      </c>
      <c r="E48" s="371">
        <v>0</v>
      </c>
    </row>
    <row r="49" spans="2:5" x14ac:dyDescent="0.25">
      <c r="B49" s="435" t="s">
        <v>223</v>
      </c>
      <c r="C49" s="371">
        <v>1</v>
      </c>
      <c r="D49" s="371">
        <v>1</v>
      </c>
      <c r="E49" s="371">
        <v>1</v>
      </c>
    </row>
    <row r="50" spans="2:5" x14ac:dyDescent="0.25">
      <c r="B50" s="435" t="s">
        <v>158</v>
      </c>
      <c r="C50" s="371">
        <v>1</v>
      </c>
      <c r="D50" s="371">
        <v>0.84944524603214089</v>
      </c>
      <c r="E50" s="371">
        <v>0.42355341061744367</v>
      </c>
    </row>
    <row r="51" spans="2:5" x14ac:dyDescent="0.25">
      <c r="B51" s="435" t="s">
        <v>885</v>
      </c>
      <c r="C51" s="371">
        <v>0.6384364820846905</v>
      </c>
      <c r="D51" s="371">
        <v>0.13029315960912052</v>
      </c>
      <c r="E51" s="371">
        <v>0</v>
      </c>
    </row>
    <row r="52" spans="2:5" x14ac:dyDescent="0.25">
      <c r="B52" s="26" t="s">
        <v>73</v>
      </c>
      <c r="C52" s="371">
        <v>0.94593237727282653</v>
      </c>
      <c r="D52" s="371">
        <v>0.86574553074454852</v>
      </c>
      <c r="E52" s="371">
        <v>0.48202475279942375</v>
      </c>
    </row>
    <row r="53" spans="2:5" x14ac:dyDescent="0.25">
      <c r="B53"/>
      <c r="C53"/>
      <c r="D53"/>
      <c r="E53"/>
    </row>
    <row r="54" spans="2:5" x14ac:dyDescent="0.25">
      <c r="B54"/>
      <c r="C54"/>
      <c r="D54"/>
      <c r="E54"/>
    </row>
    <row r="55" spans="2:5" x14ac:dyDescent="0.25">
      <c r="B55"/>
      <c r="C55"/>
      <c r="D55"/>
      <c r="E55"/>
    </row>
    <row r="56" spans="2:5" x14ac:dyDescent="0.25">
      <c r="B56" s="12"/>
      <c r="C56" s="15"/>
      <c r="D56" s="15"/>
      <c r="E56" s="15"/>
    </row>
    <row r="57" spans="2:5" x14ac:dyDescent="0.25">
      <c r="B57" s="12"/>
      <c r="C57" s="15"/>
      <c r="D57" s="15"/>
      <c r="E57" s="15"/>
    </row>
    <row r="58" spans="2:5" x14ac:dyDescent="0.25">
      <c r="B58" s="12"/>
      <c r="C58" s="15"/>
      <c r="D58" s="15"/>
      <c r="E58" s="15"/>
    </row>
    <row r="59" spans="2:5" x14ac:dyDescent="0.25">
      <c r="B59" s="29" t="s">
        <v>3</v>
      </c>
      <c r="C59" t="s">
        <v>509</v>
      </c>
      <c r="D59" s="15"/>
      <c r="E59" s="15"/>
    </row>
    <row r="60" spans="2:5" x14ac:dyDescent="0.25">
      <c r="B60" s="29" t="s">
        <v>4</v>
      </c>
      <c r="C60" t="s">
        <v>74</v>
      </c>
    </row>
    <row r="61" spans="2:5" x14ac:dyDescent="0.25">
      <c r="B61" s="29" t="s">
        <v>295</v>
      </c>
      <c r="C61" t="s">
        <v>74</v>
      </c>
    </row>
    <row r="63" spans="2:5" ht="90" x14ac:dyDescent="0.25">
      <c r="B63" s="376" t="s">
        <v>242</v>
      </c>
      <c r="C63" s="383" t="s">
        <v>745</v>
      </c>
      <c r="D63" s="383" t="s">
        <v>746</v>
      </c>
      <c r="E63" s="383" t="s">
        <v>747</v>
      </c>
    </row>
    <row r="64" spans="2:5" x14ac:dyDescent="0.25">
      <c r="B64" s="26" t="s">
        <v>264</v>
      </c>
      <c r="C64" s="371">
        <v>1</v>
      </c>
      <c r="D64" s="371">
        <v>0.79617486338797816</v>
      </c>
      <c r="E64" s="371">
        <v>0.72923497267759563</v>
      </c>
    </row>
    <row r="65" spans="2:27" x14ac:dyDescent="0.25">
      <c r="B65" s="26" t="s">
        <v>323</v>
      </c>
      <c r="C65" s="371">
        <v>0.96748264523200589</v>
      </c>
      <c r="D65" s="371">
        <v>0.83120204603580561</v>
      </c>
      <c r="E65" s="371">
        <v>0.59590792838874684</v>
      </c>
    </row>
    <row r="66" spans="2:27" x14ac:dyDescent="0.25">
      <c r="B66" s="26" t="s">
        <v>265</v>
      </c>
      <c r="C66" s="371">
        <v>1</v>
      </c>
      <c r="D66" s="371">
        <v>0.88407929378968564</v>
      </c>
      <c r="E66" s="371">
        <v>0.54893913582158893</v>
      </c>
    </row>
    <row r="67" spans="2:27" x14ac:dyDescent="0.25">
      <c r="B67" s="26" t="s">
        <v>266</v>
      </c>
      <c r="C67" s="371">
        <v>1</v>
      </c>
      <c r="D67" s="371">
        <v>0.98746081504702199</v>
      </c>
      <c r="E67" s="371">
        <v>1</v>
      </c>
    </row>
    <row r="68" spans="2:27" x14ac:dyDescent="0.25">
      <c r="B68" s="26" t="s">
        <v>267</v>
      </c>
      <c r="C68" s="371">
        <v>0.9984117393180838</v>
      </c>
      <c r="D68" s="371">
        <v>0.8009495036685369</v>
      </c>
      <c r="E68" s="371">
        <v>0.48165731549417351</v>
      </c>
    </row>
    <row r="69" spans="2:27" x14ac:dyDescent="0.25">
      <c r="B69" s="26" t="s">
        <v>268</v>
      </c>
      <c r="C69" s="371">
        <v>0.84537203490156543</v>
      </c>
      <c r="D69" s="371">
        <v>0.90327531021177709</v>
      </c>
      <c r="E69" s="371">
        <v>0.45389573376594905</v>
      </c>
    </row>
    <row r="70" spans="2:27" x14ac:dyDescent="0.25">
      <c r="B70" s="26" t="s">
        <v>273</v>
      </c>
      <c r="C70" s="371">
        <v>0.98402606691567984</v>
      </c>
      <c r="D70" s="371">
        <v>0.90073909242628947</v>
      </c>
      <c r="E70" s="371">
        <v>0.38758642613049354</v>
      </c>
    </row>
    <row r="71" spans="2:27" x14ac:dyDescent="0.25">
      <c r="B71" s="26" t="s">
        <v>274</v>
      </c>
      <c r="C71" s="371">
        <v>0.98816633488166339</v>
      </c>
      <c r="D71" s="371">
        <v>0.81552753815527534</v>
      </c>
      <c r="E71" s="371">
        <v>0.53151957531519578</v>
      </c>
    </row>
    <row r="72" spans="2:27" x14ac:dyDescent="0.25">
      <c r="B72" s="26" t="s">
        <v>275</v>
      </c>
      <c r="C72" s="371">
        <v>0.93325315694527966</v>
      </c>
      <c r="D72" s="371">
        <v>0.79885748647023447</v>
      </c>
      <c r="E72" s="371">
        <v>0.2555622369212267</v>
      </c>
    </row>
    <row r="73" spans="2:27" x14ac:dyDescent="0.25">
      <c r="B73" s="26" t="s">
        <v>276</v>
      </c>
      <c r="C73" s="371">
        <v>1</v>
      </c>
      <c r="D73" s="371">
        <v>1</v>
      </c>
      <c r="E73" s="371">
        <v>0.59090909090909094</v>
      </c>
    </row>
    <row r="74" spans="2:27" x14ac:dyDescent="0.25">
      <c r="B74" s="26" t="s">
        <v>73</v>
      </c>
      <c r="C74" s="371">
        <v>0.94593237727282653</v>
      </c>
      <c r="D74" s="371">
        <v>0.86574553074454852</v>
      </c>
      <c r="E74" s="371">
        <v>0.48202475279942375</v>
      </c>
    </row>
    <row r="75" spans="2:27" x14ac:dyDescent="0.25">
      <c r="B75" s="12"/>
      <c r="C75" s="15"/>
      <c r="D75" s="15"/>
      <c r="E75" s="15"/>
    </row>
    <row r="76" spans="2:27" x14ac:dyDescent="0.25">
      <c r="B76"/>
      <c r="C76"/>
      <c r="D76" s="15"/>
      <c r="E76" s="15"/>
    </row>
    <row r="77" spans="2:27" x14ac:dyDescent="0.25">
      <c r="B77"/>
      <c r="C77"/>
      <c r="D77" s="15"/>
      <c r="E77" s="15"/>
    </row>
    <row r="78" spans="2:27" x14ac:dyDescent="0.25">
      <c r="B78" s="387"/>
      <c r="C78" s="387"/>
      <c r="D78" s="15"/>
      <c r="E78" s="15"/>
      <c r="Z78" s="29" t="s">
        <v>0</v>
      </c>
      <c r="AA78" t="s">
        <v>74</v>
      </c>
    </row>
    <row r="79" spans="2:27" x14ac:dyDescent="0.25">
      <c r="B79" s="387"/>
      <c r="C79" s="387"/>
      <c r="D79" s="387"/>
      <c r="E79" s="15"/>
      <c r="Z79" s="29" t="s">
        <v>263</v>
      </c>
      <c r="AA79" t="s">
        <v>74</v>
      </c>
    </row>
    <row r="80" spans="2:27" x14ac:dyDescent="0.25">
      <c r="E80" s="15"/>
      <c r="Z80" s="29" t="s">
        <v>4</v>
      </c>
      <c r="AA80" t="s">
        <v>74</v>
      </c>
    </row>
    <row r="81" spans="5:29" x14ac:dyDescent="0.25">
      <c r="E81" s="15"/>
      <c r="Z81" s="29" t="s">
        <v>3</v>
      </c>
      <c r="AA81" t="s">
        <v>509</v>
      </c>
    </row>
    <row r="82" spans="5:29" x14ac:dyDescent="0.25">
      <c r="E82" s="15"/>
    </row>
    <row r="83" spans="5:29" x14ac:dyDescent="0.25">
      <c r="E83" s="15"/>
      <c r="Z83" s="29" t="s">
        <v>242</v>
      </c>
      <c r="AA83" t="s">
        <v>745</v>
      </c>
      <c r="AB83" t="s">
        <v>746</v>
      </c>
      <c r="AC83" t="s">
        <v>747</v>
      </c>
    </row>
    <row r="84" spans="5:29" x14ac:dyDescent="0.25">
      <c r="E84" s="15"/>
      <c r="Z84" s="26" t="s">
        <v>111</v>
      </c>
      <c r="AA84" s="27">
        <v>1</v>
      </c>
      <c r="AB84" s="27">
        <v>0.27777777777777779</v>
      </c>
      <c r="AC84" s="27">
        <v>0.55555555555555558</v>
      </c>
    </row>
    <row r="85" spans="5:29" x14ac:dyDescent="0.25">
      <c r="E85" s="15"/>
      <c r="Z85" s="26" t="s">
        <v>112</v>
      </c>
      <c r="AA85" s="27">
        <v>1</v>
      </c>
      <c r="AB85" s="27">
        <v>0.89411764705882357</v>
      </c>
      <c r="AC85" s="27">
        <v>0.47058823529411764</v>
      </c>
    </row>
    <row r="86" spans="5:29" x14ac:dyDescent="0.25">
      <c r="E86" s="15"/>
      <c r="Z86" s="26" t="s">
        <v>717</v>
      </c>
      <c r="AA86" s="27">
        <v>1</v>
      </c>
      <c r="AB86" s="27">
        <v>0.45977011494252873</v>
      </c>
      <c r="AC86" s="27">
        <v>0.22988505747126436</v>
      </c>
    </row>
    <row r="87" spans="5:29" x14ac:dyDescent="0.25">
      <c r="E87" s="15"/>
      <c r="Z87" s="26" t="s">
        <v>281</v>
      </c>
      <c r="AA87" s="27">
        <v>1</v>
      </c>
      <c r="AB87" s="27">
        <v>0.53191489361702127</v>
      </c>
      <c r="AC87" s="27">
        <v>0.21276595744680851</v>
      </c>
    </row>
    <row r="88" spans="5:29" x14ac:dyDescent="0.25">
      <c r="E88" s="15"/>
      <c r="Z88" s="26" t="s">
        <v>113</v>
      </c>
      <c r="AA88" s="27">
        <v>1</v>
      </c>
      <c r="AB88" s="27">
        <v>0.8875739644970414</v>
      </c>
      <c r="AC88" s="27">
        <v>0.59171597633136097</v>
      </c>
    </row>
    <row r="89" spans="5:29" x14ac:dyDescent="0.25">
      <c r="E89" s="15"/>
      <c r="Z89" s="26" t="s">
        <v>114</v>
      </c>
      <c r="AA89" s="27">
        <v>1</v>
      </c>
      <c r="AB89" s="27">
        <v>1</v>
      </c>
      <c r="AC89" s="27">
        <v>1</v>
      </c>
    </row>
    <row r="90" spans="5:29" x14ac:dyDescent="0.25">
      <c r="E90" s="15"/>
      <c r="Z90" s="26" t="s">
        <v>532</v>
      </c>
      <c r="AA90" s="27">
        <v>1</v>
      </c>
      <c r="AB90" s="27">
        <v>0.98684210526315785</v>
      </c>
      <c r="AC90" s="27">
        <v>0.49342105263157893</v>
      </c>
    </row>
    <row r="91" spans="5:29" x14ac:dyDescent="0.25">
      <c r="E91" s="15"/>
      <c r="Z91" s="26" t="s">
        <v>181</v>
      </c>
      <c r="AA91" s="27">
        <v>1</v>
      </c>
      <c r="AB91" s="27">
        <v>1</v>
      </c>
      <c r="AC91" s="27">
        <v>0</v>
      </c>
    </row>
    <row r="92" spans="5:29" x14ac:dyDescent="0.25">
      <c r="E92" s="15"/>
      <c r="Z92" s="26" t="s">
        <v>539</v>
      </c>
      <c r="AA92" s="27">
        <v>1</v>
      </c>
      <c r="AB92" s="27">
        <v>1</v>
      </c>
      <c r="AC92" s="27">
        <v>1</v>
      </c>
    </row>
    <row r="93" spans="5:29" x14ac:dyDescent="0.25">
      <c r="E93" s="15"/>
      <c r="Z93" s="26" t="s">
        <v>115</v>
      </c>
      <c r="AA93" s="27">
        <v>1</v>
      </c>
      <c r="AB93" s="27">
        <v>0.91743119266055051</v>
      </c>
      <c r="AC93" s="27">
        <v>0.91743119266055051</v>
      </c>
    </row>
    <row r="94" spans="5:29" x14ac:dyDescent="0.25">
      <c r="E94" s="15"/>
      <c r="Z94" s="26" t="s">
        <v>116</v>
      </c>
      <c r="AA94" s="27">
        <v>1</v>
      </c>
      <c r="AB94" s="27">
        <v>1</v>
      </c>
      <c r="AC94" s="27">
        <v>1</v>
      </c>
    </row>
    <row r="95" spans="5:29" x14ac:dyDescent="0.25">
      <c r="E95" s="15"/>
      <c r="Z95" s="26" t="s">
        <v>762</v>
      </c>
      <c r="AA95" s="27">
        <v>1</v>
      </c>
      <c r="AB95" s="27">
        <v>1</v>
      </c>
      <c r="AC95" s="27">
        <v>1</v>
      </c>
    </row>
    <row r="96" spans="5:29" x14ac:dyDescent="0.25">
      <c r="E96" s="15"/>
      <c r="Z96" s="26" t="s">
        <v>227</v>
      </c>
      <c r="AA96" s="27">
        <v>1</v>
      </c>
      <c r="AB96" s="27">
        <v>1</v>
      </c>
      <c r="AC96" s="27">
        <v>0.15503875968992248</v>
      </c>
    </row>
    <row r="97" spans="2:29" x14ac:dyDescent="0.25">
      <c r="E97" s="15"/>
      <c r="Z97" s="26" t="s">
        <v>695</v>
      </c>
      <c r="AA97" s="27">
        <v>1</v>
      </c>
      <c r="AB97" s="27">
        <v>1</v>
      </c>
      <c r="AC97" s="27">
        <v>0.53908355795148244</v>
      </c>
    </row>
    <row r="98" spans="2:29" x14ac:dyDescent="0.25">
      <c r="B98"/>
      <c r="C98"/>
      <c r="D98"/>
      <c r="E98" s="15"/>
      <c r="Z98" s="26" t="s">
        <v>696</v>
      </c>
      <c r="AA98" s="27">
        <v>1</v>
      </c>
      <c r="AB98" s="27">
        <v>1</v>
      </c>
      <c r="AC98" s="27">
        <v>0.34168564920273348</v>
      </c>
    </row>
    <row r="99" spans="2:29" x14ac:dyDescent="0.25">
      <c r="B99"/>
      <c r="C99"/>
      <c r="D99"/>
      <c r="Z99" s="26" t="s">
        <v>117</v>
      </c>
      <c r="AA99" s="27">
        <v>1</v>
      </c>
      <c r="AB99" s="27">
        <v>1</v>
      </c>
      <c r="AC99" s="27">
        <v>1</v>
      </c>
    </row>
    <row r="100" spans="2:29" x14ac:dyDescent="0.25">
      <c r="B100"/>
      <c r="C100"/>
      <c r="D100"/>
      <c r="Z100" s="26" t="s">
        <v>108</v>
      </c>
      <c r="AA100" s="27">
        <v>1</v>
      </c>
      <c r="AB100" s="27">
        <v>0.5725190839694656</v>
      </c>
      <c r="AC100" s="27">
        <v>0.76335877862595425</v>
      </c>
    </row>
    <row r="101" spans="2:29" x14ac:dyDescent="0.25">
      <c r="B101"/>
      <c r="C101"/>
      <c r="D101"/>
      <c r="Z101" s="26" t="s">
        <v>766</v>
      </c>
      <c r="AA101" s="27">
        <v>1</v>
      </c>
      <c r="AB101" s="27">
        <v>1</v>
      </c>
      <c r="AC101" s="27">
        <v>0.96899224806201545</v>
      </c>
    </row>
    <row r="102" spans="2:29" x14ac:dyDescent="0.25">
      <c r="B102"/>
      <c r="C102"/>
      <c r="D102"/>
      <c r="Z102" s="26" t="s">
        <v>118</v>
      </c>
      <c r="AA102" s="27">
        <v>1</v>
      </c>
      <c r="AB102" s="27">
        <v>1</v>
      </c>
      <c r="AC102" s="27">
        <v>0.89552238805970152</v>
      </c>
    </row>
    <row r="103" spans="2:29" x14ac:dyDescent="0.25">
      <c r="B103"/>
      <c r="C103"/>
      <c r="D103"/>
      <c r="Z103" s="26" t="s">
        <v>136</v>
      </c>
      <c r="AA103" s="27">
        <v>1</v>
      </c>
      <c r="AB103" s="27">
        <v>0.7407407407407407</v>
      </c>
      <c r="AC103" s="27">
        <v>1</v>
      </c>
    </row>
    <row r="104" spans="2:29" x14ac:dyDescent="0.25">
      <c r="B104"/>
      <c r="C104"/>
      <c r="D104"/>
      <c r="Z104" s="26" t="s">
        <v>137</v>
      </c>
      <c r="AA104" s="27">
        <v>1</v>
      </c>
      <c r="AB104" s="27">
        <v>1</v>
      </c>
      <c r="AC104" s="27">
        <v>1</v>
      </c>
    </row>
    <row r="105" spans="2:29" x14ac:dyDescent="0.25">
      <c r="B105"/>
      <c r="C105"/>
      <c r="D105"/>
      <c r="Z105" s="26" t="s">
        <v>138</v>
      </c>
      <c r="AA105" s="27">
        <v>1</v>
      </c>
      <c r="AB105" s="27">
        <v>0.76923076923076927</v>
      </c>
      <c r="AC105" s="27">
        <v>1</v>
      </c>
    </row>
    <row r="106" spans="2:29" x14ac:dyDescent="0.25">
      <c r="B106"/>
      <c r="C106"/>
      <c r="D106"/>
      <c r="Z106" s="26" t="s">
        <v>189</v>
      </c>
      <c r="AA106" s="27">
        <v>1</v>
      </c>
      <c r="AB106" s="27">
        <v>1</v>
      </c>
      <c r="AC106" s="27">
        <v>0.64516129032258063</v>
      </c>
    </row>
    <row r="107" spans="2:29" x14ac:dyDescent="0.25">
      <c r="Z107" s="26" t="s">
        <v>159</v>
      </c>
      <c r="AA107" s="27">
        <v>1</v>
      </c>
      <c r="AB107" s="27">
        <v>1</v>
      </c>
      <c r="AC107" s="27">
        <v>0.79207920792079212</v>
      </c>
    </row>
    <row r="108" spans="2:29" s="12" customFormat="1" x14ac:dyDescent="0.25">
      <c r="C108" s="15"/>
      <c r="D108" s="15"/>
      <c r="E108" s="15"/>
      <c r="Z108" s="26" t="s">
        <v>160</v>
      </c>
      <c r="AA108" s="27">
        <v>1</v>
      </c>
      <c r="AB108" s="27">
        <v>1</v>
      </c>
      <c r="AC108" s="27">
        <v>0.25951557093425603</v>
      </c>
    </row>
    <row r="109" spans="2:29" s="12" customFormat="1" x14ac:dyDescent="0.25">
      <c r="C109" s="15"/>
      <c r="D109" s="15"/>
      <c r="E109" s="15"/>
      <c r="Z109" s="26" t="s">
        <v>228</v>
      </c>
      <c r="AA109" s="27">
        <v>1</v>
      </c>
      <c r="AB109" s="27">
        <v>1</v>
      </c>
      <c r="AC109" s="27">
        <v>1</v>
      </c>
    </row>
    <row r="110" spans="2:29" s="12" customFormat="1" x14ac:dyDescent="0.25">
      <c r="C110" s="15"/>
      <c r="D110" s="15"/>
      <c r="E110" s="15"/>
      <c r="Z110" s="26" t="s">
        <v>119</v>
      </c>
      <c r="AA110" s="27">
        <v>1</v>
      </c>
      <c r="AB110" s="27">
        <v>1</v>
      </c>
      <c r="AC110" s="27">
        <v>1</v>
      </c>
    </row>
    <row r="111" spans="2:29" s="12" customFormat="1" x14ac:dyDescent="0.25">
      <c r="C111" s="15"/>
      <c r="D111" s="15"/>
      <c r="E111" s="15"/>
      <c r="Z111" s="26" t="s">
        <v>257</v>
      </c>
      <c r="AA111" s="27">
        <v>1</v>
      </c>
      <c r="AB111" s="27">
        <v>0.61657032755298646</v>
      </c>
      <c r="AC111" s="27">
        <v>0.5780346820809249</v>
      </c>
    </row>
    <row r="112" spans="2:29" s="12" customFormat="1" x14ac:dyDescent="0.25">
      <c r="B112" s="11"/>
      <c r="C112" s="14"/>
      <c r="D112" s="14"/>
      <c r="E112" s="14"/>
      <c r="F112" s="11"/>
      <c r="G112" s="11"/>
      <c r="H112" s="11"/>
      <c r="Z112" s="26" t="s">
        <v>221</v>
      </c>
      <c r="AA112" s="27">
        <v>1</v>
      </c>
      <c r="AB112" s="27">
        <v>1</v>
      </c>
      <c r="AC112" s="27">
        <v>0.45819014891179838</v>
      </c>
    </row>
    <row r="113" spans="2:29" s="12" customFormat="1" x14ac:dyDescent="0.25">
      <c r="B113" s="11"/>
      <c r="C113" s="14"/>
      <c r="D113" s="14"/>
      <c r="E113" s="14"/>
      <c r="F113" s="11"/>
      <c r="G113" s="11"/>
      <c r="H113" s="11"/>
      <c r="Z113" s="26" t="s">
        <v>190</v>
      </c>
      <c r="AA113" s="27">
        <v>1</v>
      </c>
      <c r="AB113" s="27">
        <v>1</v>
      </c>
      <c r="AC113" s="27">
        <v>0.26223776223776224</v>
      </c>
    </row>
    <row r="114" spans="2:29" s="12" customFormat="1" x14ac:dyDescent="0.25">
      <c r="B114" s="29" t="s">
        <v>3</v>
      </c>
      <c r="C114" t="s">
        <v>509</v>
      </c>
      <c r="D114" s="14"/>
      <c r="E114" s="14"/>
      <c r="F114" s="11"/>
      <c r="G114" s="11"/>
      <c r="H114" s="11"/>
      <c r="Z114" s="26" t="s">
        <v>282</v>
      </c>
      <c r="AA114" s="27">
        <v>1</v>
      </c>
      <c r="AB114" s="27">
        <v>0.74688796680497926</v>
      </c>
      <c r="AC114" s="27">
        <v>0.82987551867219922</v>
      </c>
    </row>
    <row r="115" spans="2:29" s="12" customFormat="1" x14ac:dyDescent="0.25">
      <c r="B115" s="29" t="s">
        <v>4</v>
      </c>
      <c r="C115" t="s">
        <v>74</v>
      </c>
      <c r="D115" s="14"/>
      <c r="E115" s="14"/>
      <c r="F115" s="11"/>
      <c r="G115" s="11"/>
      <c r="H115" s="11"/>
      <c r="Z115" s="26" t="s">
        <v>139</v>
      </c>
      <c r="AA115" s="27">
        <v>1</v>
      </c>
      <c r="AB115" s="27">
        <v>1</v>
      </c>
      <c r="AC115" s="27">
        <v>0.41067761806981518</v>
      </c>
    </row>
    <row r="116" spans="2:29" s="12" customFormat="1" x14ac:dyDescent="0.25">
      <c r="B116" s="29" t="s">
        <v>295</v>
      </c>
      <c r="C116" t="s">
        <v>74</v>
      </c>
      <c r="D116" s="14"/>
      <c r="E116" s="14"/>
      <c r="F116" s="11"/>
      <c r="G116" s="11"/>
      <c r="H116" s="11"/>
      <c r="Z116" s="26" t="s">
        <v>140</v>
      </c>
      <c r="AA116" s="27">
        <v>1</v>
      </c>
      <c r="AB116" s="27">
        <v>0.85470085470085466</v>
      </c>
      <c r="AC116" s="27">
        <v>0.21367521367521367</v>
      </c>
    </row>
    <row r="117" spans="2:29" s="12" customFormat="1" x14ac:dyDescent="0.25">
      <c r="B117" s="11"/>
      <c r="C117" s="14"/>
      <c r="D117" s="14"/>
      <c r="E117" s="14"/>
      <c r="F117" s="11"/>
      <c r="G117" s="11"/>
      <c r="H117" s="11"/>
      <c r="Z117" s="26" t="s">
        <v>540</v>
      </c>
      <c r="AA117" s="27">
        <v>1</v>
      </c>
      <c r="AB117" s="27">
        <v>0.91743119266055051</v>
      </c>
      <c r="AC117" s="27">
        <v>1</v>
      </c>
    </row>
    <row r="118" spans="2:29" s="12" customFormat="1" ht="90" x14ac:dyDescent="0.25">
      <c r="B118" s="376" t="s">
        <v>242</v>
      </c>
      <c r="C118" s="381" t="s">
        <v>745</v>
      </c>
      <c r="D118" s="381" t="s">
        <v>746</v>
      </c>
      <c r="E118" s="381" t="s">
        <v>747</v>
      </c>
      <c r="F118" s="11"/>
      <c r="G118" s="11"/>
      <c r="H118" s="11"/>
      <c r="Z118" s="26" t="s">
        <v>203</v>
      </c>
      <c r="AA118" s="27">
        <v>0.50385481148002254</v>
      </c>
      <c r="AB118" s="27">
        <v>1</v>
      </c>
      <c r="AC118" s="27">
        <v>0.68936409679234667</v>
      </c>
    </row>
    <row r="119" spans="2:29" s="12" customFormat="1" x14ac:dyDescent="0.25">
      <c r="B119" s="26" t="s">
        <v>79</v>
      </c>
      <c r="C119" s="382">
        <v>0.9803216411295429</v>
      </c>
      <c r="D119" s="382">
        <v>0.9506141572749145</v>
      </c>
      <c r="E119" s="382">
        <v>0.84956312523743194</v>
      </c>
      <c r="F119" s="11"/>
      <c r="G119" s="11"/>
      <c r="H119" s="11"/>
      <c r="Z119" s="26" t="s">
        <v>533</v>
      </c>
      <c r="AA119" s="27">
        <v>1</v>
      </c>
      <c r="AB119" s="27">
        <v>1</v>
      </c>
      <c r="AC119" s="27">
        <v>1</v>
      </c>
    </row>
    <row r="120" spans="2:29" s="12" customFormat="1" x14ac:dyDescent="0.25">
      <c r="B120" s="26" t="s">
        <v>78</v>
      </c>
      <c r="C120" s="382">
        <v>0.98675096968257747</v>
      </c>
      <c r="D120" s="382">
        <v>0.84792804559487056</v>
      </c>
      <c r="E120" s="382">
        <v>0.51537639515554501</v>
      </c>
      <c r="F120" s="11"/>
      <c r="G120" s="11"/>
      <c r="H120" s="11"/>
      <c r="Z120" s="26" t="s">
        <v>534</v>
      </c>
      <c r="AA120" s="27">
        <v>1</v>
      </c>
      <c r="AB120" s="27">
        <v>1</v>
      </c>
      <c r="AC120" s="27">
        <v>1</v>
      </c>
    </row>
    <row r="121" spans="2:29" s="12" customFormat="1" x14ac:dyDescent="0.25">
      <c r="B121" s="26" t="s">
        <v>80</v>
      </c>
      <c r="C121" s="382">
        <v>1</v>
      </c>
      <c r="D121" s="382">
        <v>0.95364337602036997</v>
      </c>
      <c r="E121" s="382">
        <v>0.39197184153373776</v>
      </c>
      <c r="F121" s="11"/>
      <c r="G121" s="11"/>
      <c r="H121" s="11"/>
      <c r="Z121" s="26" t="s">
        <v>206</v>
      </c>
      <c r="AA121" s="27">
        <v>1</v>
      </c>
      <c r="AB121" s="27">
        <v>1</v>
      </c>
      <c r="AC121" s="27">
        <v>0.30769230769230771</v>
      </c>
    </row>
    <row r="122" spans="2:29" s="12" customFormat="1" x14ac:dyDescent="0.25">
      <c r="B122" s="26" t="s">
        <v>81</v>
      </c>
      <c r="C122" s="382">
        <v>1</v>
      </c>
      <c r="D122" s="382">
        <v>0.72644966587626647</v>
      </c>
      <c r="E122" s="382">
        <v>0.18682187252999929</v>
      </c>
      <c r="F122" s="11"/>
      <c r="G122" s="11"/>
      <c r="H122" s="11"/>
      <c r="Z122" s="26" t="s">
        <v>207</v>
      </c>
      <c r="AA122" s="27">
        <v>1</v>
      </c>
      <c r="AB122" s="27">
        <v>0.61971830985915488</v>
      </c>
      <c r="AC122" s="27">
        <v>0.56338028169014087</v>
      </c>
    </row>
    <row r="123" spans="2:29" s="12" customFormat="1" x14ac:dyDescent="0.25">
      <c r="B123" s="26" t="s">
        <v>82</v>
      </c>
      <c r="C123" s="382">
        <v>0.50385481148002254</v>
      </c>
      <c r="D123" s="382">
        <v>1</v>
      </c>
      <c r="E123" s="382">
        <v>0.68936409679234667</v>
      </c>
      <c r="F123" s="11"/>
      <c r="G123" s="11"/>
      <c r="H123" s="11"/>
      <c r="Z123" s="26" t="s">
        <v>208</v>
      </c>
      <c r="AA123" s="27">
        <v>1</v>
      </c>
      <c r="AB123" s="27">
        <v>1</v>
      </c>
      <c r="AC123" s="27">
        <v>1</v>
      </c>
    </row>
    <row r="124" spans="2:29" s="12" customFormat="1" x14ac:dyDescent="0.25">
      <c r="B124" s="26" t="s">
        <v>738</v>
      </c>
      <c r="C124" s="382">
        <v>1</v>
      </c>
      <c r="D124" s="382">
        <v>0.20408163265306123</v>
      </c>
      <c r="E124" s="382">
        <v>0</v>
      </c>
      <c r="F124" s="11"/>
      <c r="G124" s="11"/>
      <c r="H124" s="11"/>
      <c r="Z124" s="26" t="s">
        <v>141</v>
      </c>
      <c r="AA124" s="27">
        <v>1</v>
      </c>
      <c r="AB124" s="27">
        <v>0.88888888888888884</v>
      </c>
      <c r="AC124" s="27">
        <v>1</v>
      </c>
    </row>
    <row r="125" spans="2:29" s="12" customFormat="1" x14ac:dyDescent="0.25">
      <c r="B125" s="26" t="s">
        <v>73</v>
      </c>
      <c r="C125" s="382">
        <v>0.94593237727282631</v>
      </c>
      <c r="D125" s="382">
        <v>0.86574553074454852</v>
      </c>
      <c r="E125" s="382">
        <v>0.48202475279942375</v>
      </c>
      <c r="F125" s="11"/>
      <c r="G125" s="11"/>
      <c r="H125" s="11"/>
      <c r="Z125" s="26" t="s">
        <v>130</v>
      </c>
      <c r="AA125" s="27">
        <v>1</v>
      </c>
      <c r="AB125" s="27">
        <v>1</v>
      </c>
      <c r="AC125" s="27">
        <v>1</v>
      </c>
    </row>
    <row r="126" spans="2:29" s="12" customFormat="1" x14ac:dyDescent="0.25">
      <c r="B126"/>
      <c r="C126"/>
      <c r="D126"/>
      <c r="E126"/>
      <c r="F126" s="11"/>
      <c r="G126" s="11"/>
      <c r="H126" s="11"/>
      <c r="Z126" s="26" t="s">
        <v>129</v>
      </c>
      <c r="AA126" s="27">
        <v>0</v>
      </c>
      <c r="AB126" s="27">
        <v>0</v>
      </c>
      <c r="AC126" s="27">
        <v>0</v>
      </c>
    </row>
    <row r="127" spans="2:29" s="12" customFormat="1" x14ac:dyDescent="0.25">
      <c r="B127"/>
      <c r="C127"/>
      <c r="D127"/>
      <c r="E127"/>
      <c r="F127" s="11"/>
      <c r="G127" s="11"/>
      <c r="H127" s="11"/>
      <c r="Z127" s="26" t="s">
        <v>161</v>
      </c>
      <c r="AA127" s="27">
        <v>1</v>
      </c>
      <c r="AB127" s="27">
        <v>5.1590713671539126E-2</v>
      </c>
      <c r="AC127" s="27">
        <v>8.5984522785898534E-2</v>
      </c>
    </row>
    <row r="128" spans="2:29" s="12" customFormat="1" x14ac:dyDescent="0.25">
      <c r="B128" s="11"/>
      <c r="C128" s="14"/>
      <c r="D128" s="14"/>
      <c r="E128" s="14"/>
      <c r="F128" s="11"/>
      <c r="G128" s="11"/>
      <c r="H128" s="11"/>
      <c r="Z128" s="26" t="s">
        <v>287</v>
      </c>
      <c r="AA128" s="27">
        <v>1</v>
      </c>
      <c r="AB128" s="27">
        <v>0.71846934791097228</v>
      </c>
      <c r="AC128" s="27">
        <v>3.9047247169074581E-2</v>
      </c>
    </row>
    <row r="129" spans="2:29" s="12" customFormat="1" x14ac:dyDescent="0.25">
      <c r="B129" s="11"/>
      <c r="C129" s="14"/>
      <c r="D129" s="14"/>
      <c r="E129" s="14"/>
      <c r="F129" s="11"/>
      <c r="G129" s="11"/>
      <c r="H129" s="11"/>
      <c r="Z129" s="26" t="s">
        <v>142</v>
      </c>
      <c r="AA129" s="27">
        <v>1</v>
      </c>
      <c r="AB129" s="27">
        <v>0.6097560975609756</v>
      </c>
      <c r="AC129" s="27">
        <v>0.3048780487804878</v>
      </c>
    </row>
    <row r="130" spans="2:29" s="12" customFormat="1" x14ac:dyDescent="0.25">
      <c r="B130" s="11"/>
      <c r="C130" s="14"/>
      <c r="D130" s="14"/>
      <c r="E130" s="14"/>
      <c r="F130" s="11"/>
      <c r="G130" s="11"/>
      <c r="H130" s="11"/>
      <c r="Z130" s="26" t="s">
        <v>143</v>
      </c>
      <c r="AA130" s="27">
        <v>1</v>
      </c>
      <c r="AB130" s="27">
        <v>0.94839609483960952</v>
      </c>
      <c r="AC130" s="27">
        <v>0.2789400278940028</v>
      </c>
    </row>
    <row r="131" spans="2:29" s="12" customFormat="1" x14ac:dyDescent="0.25">
      <c r="B131" s="11"/>
      <c r="C131" s="14"/>
      <c r="D131" s="14"/>
      <c r="E131" s="14"/>
      <c r="F131" s="11"/>
      <c r="G131" s="11"/>
      <c r="H131" s="11"/>
      <c r="Z131" s="26" t="s">
        <v>109</v>
      </c>
      <c r="AA131" s="27">
        <v>1</v>
      </c>
      <c r="AB131" s="27">
        <v>0.88748019017432644</v>
      </c>
      <c r="AC131" s="27">
        <v>1</v>
      </c>
    </row>
    <row r="132" spans="2:29" s="12" customFormat="1" x14ac:dyDescent="0.25">
      <c r="B132" s="11"/>
      <c r="C132" s="14"/>
      <c r="D132" s="14"/>
      <c r="E132" s="14"/>
      <c r="F132" s="11"/>
      <c r="G132" s="11"/>
      <c r="H132" s="11"/>
      <c r="Z132" s="26" t="s">
        <v>120</v>
      </c>
      <c r="AA132" s="27">
        <v>1</v>
      </c>
      <c r="AB132" s="27">
        <v>1</v>
      </c>
      <c r="AC132" s="27">
        <v>1</v>
      </c>
    </row>
    <row r="133" spans="2:29" s="12" customFormat="1" x14ac:dyDescent="0.25">
      <c r="B133" s="29" t="s">
        <v>4</v>
      </c>
      <c r="C133" t="s">
        <v>74</v>
      </c>
      <c r="D133" s="14"/>
      <c r="E133" s="14"/>
      <c r="F133" s="11"/>
      <c r="G133" s="11"/>
      <c r="H133" s="11"/>
      <c r="Z133" s="26" t="s">
        <v>121</v>
      </c>
      <c r="AA133" s="27">
        <v>1</v>
      </c>
      <c r="AB133" s="27">
        <v>1</v>
      </c>
      <c r="AC133" s="27">
        <v>1</v>
      </c>
    </row>
    <row r="134" spans="2:29" s="12" customFormat="1" x14ac:dyDescent="0.25">
      <c r="B134" s="29" t="s">
        <v>0</v>
      </c>
      <c r="C134" t="s">
        <v>74</v>
      </c>
      <c r="D134" s="14"/>
      <c r="E134" s="14"/>
      <c r="F134" s="11"/>
      <c r="G134" s="11"/>
      <c r="H134" s="11"/>
      <c r="Z134" s="26" t="s">
        <v>182</v>
      </c>
      <c r="AA134" s="27">
        <v>1</v>
      </c>
      <c r="AB134" s="27">
        <v>0.79566003616636527</v>
      </c>
      <c r="AC134" s="27">
        <v>0.72332730560578662</v>
      </c>
    </row>
    <row r="135" spans="2:29" s="12" customFormat="1" x14ac:dyDescent="0.25">
      <c r="B135" s="29" t="s">
        <v>295</v>
      </c>
      <c r="C135" t="s">
        <v>74</v>
      </c>
      <c r="D135" s="14"/>
      <c r="E135" s="14"/>
      <c r="F135" s="11"/>
      <c r="G135" s="11"/>
      <c r="H135" s="11"/>
      <c r="Z135" s="26" t="s">
        <v>192</v>
      </c>
      <c r="AA135" s="27">
        <v>1</v>
      </c>
      <c r="AB135" s="27">
        <v>1</v>
      </c>
      <c r="AC135" s="27">
        <v>0.57471264367816088</v>
      </c>
    </row>
    <row r="136" spans="2:29" s="12" customFormat="1" x14ac:dyDescent="0.25">
      <c r="B136" s="11"/>
      <c r="C136" s="14"/>
      <c r="D136" s="14"/>
      <c r="E136" s="14"/>
      <c r="F136" s="11"/>
      <c r="G136" s="11"/>
      <c r="H136" s="11"/>
      <c r="Z136" s="26" t="s">
        <v>193</v>
      </c>
      <c r="AA136" s="27">
        <v>1</v>
      </c>
      <c r="AB136" s="27">
        <v>0.59782608695652173</v>
      </c>
      <c r="AC136" s="27">
        <v>0.54347826086956519</v>
      </c>
    </row>
    <row r="137" spans="2:29" s="12" customFormat="1" ht="90" x14ac:dyDescent="0.25">
      <c r="B137" s="376" t="s">
        <v>242</v>
      </c>
      <c r="C137" s="381" t="s">
        <v>745</v>
      </c>
      <c r="D137" s="381" t="s">
        <v>746</v>
      </c>
      <c r="E137" s="381" t="s">
        <v>747</v>
      </c>
      <c r="F137" s="11"/>
      <c r="G137" s="11"/>
      <c r="H137" s="11"/>
      <c r="Z137" s="26" t="s">
        <v>718</v>
      </c>
      <c r="AA137" s="27">
        <v>1</v>
      </c>
      <c r="AB137" s="27">
        <v>0.54919908466819223</v>
      </c>
      <c r="AC137" s="27">
        <v>0.2288329519450801</v>
      </c>
    </row>
    <row r="138" spans="2:29" s="12" customFormat="1" x14ac:dyDescent="0.25">
      <c r="B138" s="26" t="s">
        <v>509</v>
      </c>
      <c r="C138" s="382">
        <v>0.94593237727282631</v>
      </c>
      <c r="D138" s="382">
        <v>0.86574553074454852</v>
      </c>
      <c r="E138" s="382">
        <v>0.48202475279942375</v>
      </c>
      <c r="F138" s="11"/>
      <c r="G138" s="11"/>
      <c r="H138" s="11"/>
      <c r="Z138" s="26" t="s">
        <v>719</v>
      </c>
      <c r="AA138" s="27">
        <v>1</v>
      </c>
      <c r="AB138" s="27">
        <v>1</v>
      </c>
      <c r="AC138" s="27">
        <v>0.49504950495049505</v>
      </c>
    </row>
    <row r="139" spans="2:29" s="12" customFormat="1" x14ac:dyDescent="0.25">
      <c r="B139" s="26" t="s">
        <v>510</v>
      </c>
      <c r="C139" s="382">
        <v>1</v>
      </c>
      <c r="D139" s="382">
        <v>0.88604651162790693</v>
      </c>
      <c r="E139" s="382">
        <v>0.72976744186046516</v>
      </c>
      <c r="F139" s="11"/>
      <c r="G139" s="11"/>
      <c r="H139" s="11"/>
      <c r="Z139" s="26" t="s">
        <v>720</v>
      </c>
      <c r="AA139" s="27">
        <v>1</v>
      </c>
      <c r="AB139" s="27">
        <v>1</v>
      </c>
      <c r="AC139" s="27">
        <v>1</v>
      </c>
    </row>
    <row r="140" spans="2:29" s="12" customFormat="1" x14ac:dyDescent="0.25">
      <c r="B140" s="26" t="s">
        <v>530</v>
      </c>
      <c r="C140" s="382">
        <v>0.68092962641181576</v>
      </c>
      <c r="D140" s="382">
        <v>0.68092962641181576</v>
      </c>
      <c r="E140" s="382">
        <v>0.24837098175499567</v>
      </c>
      <c r="F140" s="11"/>
      <c r="G140" s="11"/>
      <c r="H140" s="11"/>
      <c r="Z140" s="26" t="s">
        <v>328</v>
      </c>
      <c r="AA140" s="27">
        <v>1</v>
      </c>
      <c r="AB140" s="27">
        <v>1</v>
      </c>
      <c r="AC140" s="27">
        <v>1</v>
      </c>
    </row>
    <row r="141" spans="2:29" s="12" customFormat="1" x14ac:dyDescent="0.25">
      <c r="B141" s="26" t="s">
        <v>73</v>
      </c>
      <c r="C141" s="382">
        <v>0.91943801564952354</v>
      </c>
      <c r="D141" s="382">
        <v>0.8468414032127507</v>
      </c>
      <c r="E141" s="382">
        <v>0.46356868423152781</v>
      </c>
      <c r="F141" s="11"/>
      <c r="G141" s="11"/>
      <c r="H141" s="11"/>
      <c r="Z141" s="26" t="s">
        <v>329</v>
      </c>
      <c r="AA141" s="27">
        <v>1</v>
      </c>
      <c r="AB141" s="27">
        <v>1</v>
      </c>
      <c r="AC141" s="27">
        <v>0.84745762711864403</v>
      </c>
    </row>
    <row r="142" spans="2:29" s="12" customFormat="1" x14ac:dyDescent="0.25">
      <c r="B142"/>
      <c r="C142"/>
      <c r="D142"/>
      <c r="E142"/>
      <c r="F142" s="11"/>
      <c r="G142" s="11"/>
      <c r="H142" s="11"/>
      <c r="Z142" s="26" t="s">
        <v>327</v>
      </c>
      <c r="AA142" s="27">
        <v>1</v>
      </c>
      <c r="AB142" s="27">
        <v>0.5714285714285714</v>
      </c>
      <c r="AC142" s="27">
        <v>0</v>
      </c>
    </row>
    <row r="143" spans="2:29" s="12" customFormat="1" x14ac:dyDescent="0.25">
      <c r="B143"/>
      <c r="C143"/>
      <c r="D143"/>
      <c r="E143"/>
      <c r="F143" s="11"/>
      <c r="G143" s="11"/>
      <c r="H143" s="11"/>
      <c r="Z143" s="26" t="s">
        <v>162</v>
      </c>
      <c r="AA143" s="27">
        <v>1</v>
      </c>
      <c r="AB143" s="27">
        <v>1</v>
      </c>
      <c r="AC143" s="27">
        <v>0.91743119266055051</v>
      </c>
    </row>
    <row r="144" spans="2:29" s="12" customFormat="1" x14ac:dyDescent="0.25">
      <c r="B144" s="11"/>
      <c r="C144" s="14"/>
      <c r="D144" s="14"/>
      <c r="E144" s="14"/>
      <c r="F144" s="11"/>
      <c r="G144" s="11"/>
      <c r="H144" s="11"/>
      <c r="Z144" s="26" t="s">
        <v>163</v>
      </c>
      <c r="AA144" s="27">
        <v>1</v>
      </c>
      <c r="AB144" s="27">
        <v>1</v>
      </c>
      <c r="AC144" s="27">
        <v>0.14234875444839859</v>
      </c>
    </row>
    <row r="145" spans="1:29" s="12" customFormat="1" x14ac:dyDescent="0.25">
      <c r="B145" s="11"/>
      <c r="C145" s="14"/>
      <c r="D145" s="14"/>
      <c r="E145" s="14"/>
      <c r="F145" s="11"/>
      <c r="G145" s="11"/>
      <c r="H145" s="11"/>
      <c r="Z145" s="26" t="s">
        <v>164</v>
      </c>
      <c r="AA145" s="27">
        <v>1</v>
      </c>
      <c r="AB145" s="27">
        <v>0.74882995319812795</v>
      </c>
      <c r="AC145" s="27">
        <v>0.93603744149765988</v>
      </c>
    </row>
    <row r="146" spans="1:29" s="12" customFormat="1" x14ac:dyDescent="0.25">
      <c r="B146" s="11"/>
      <c r="C146" s="14"/>
      <c r="D146" s="14"/>
      <c r="E146" s="14"/>
      <c r="F146" s="11"/>
      <c r="G146" s="11"/>
      <c r="H146" s="11"/>
      <c r="Z146" s="26" t="s">
        <v>165</v>
      </c>
      <c r="AA146" s="27">
        <v>1</v>
      </c>
      <c r="AB146" s="27">
        <v>0.77795786061588335</v>
      </c>
      <c r="AC146" s="27">
        <v>0</v>
      </c>
    </row>
    <row r="147" spans="1:29" s="12" customFormat="1" x14ac:dyDescent="0.25">
      <c r="B147" s="11"/>
      <c r="C147" s="14"/>
      <c r="D147" s="14"/>
      <c r="E147" s="14"/>
      <c r="F147" s="11"/>
      <c r="G147" s="11"/>
      <c r="H147" s="11"/>
      <c r="Z147" s="26" t="s">
        <v>166</v>
      </c>
      <c r="AA147" s="27">
        <v>1</v>
      </c>
      <c r="AB147" s="27">
        <v>1</v>
      </c>
      <c r="AC147" s="27">
        <v>0.28887818969667789</v>
      </c>
    </row>
    <row r="148" spans="1:29" s="12" customFormat="1" x14ac:dyDescent="0.25">
      <c r="C148" s="16"/>
      <c r="D148" s="28"/>
      <c r="E148" s="28"/>
      <c r="F148" s="11"/>
      <c r="G148" s="11"/>
      <c r="H148" s="11"/>
      <c r="Z148" s="26" t="s">
        <v>167</v>
      </c>
      <c r="AA148" s="27">
        <v>1</v>
      </c>
      <c r="AB148" s="27">
        <v>1</v>
      </c>
      <c r="AC148" s="27">
        <v>1</v>
      </c>
    </row>
    <row r="149" spans="1:29" s="12" customFormat="1" x14ac:dyDescent="0.25">
      <c r="C149" s="15"/>
      <c r="D149" s="14"/>
      <c r="E149" s="14"/>
      <c r="F149" s="11"/>
      <c r="G149" s="11"/>
      <c r="H149" s="11"/>
      <c r="Z149" s="26" t="s">
        <v>321</v>
      </c>
      <c r="AA149" s="27">
        <v>1</v>
      </c>
      <c r="AB149" s="27">
        <v>0.95079232693911597</v>
      </c>
      <c r="AC149" s="27">
        <v>0.50041701417848206</v>
      </c>
    </row>
    <row r="150" spans="1:29" s="12" customFormat="1" x14ac:dyDescent="0.25">
      <c r="B150" s="11"/>
      <c r="C150" s="14"/>
      <c r="D150" s="14"/>
      <c r="E150" s="14"/>
      <c r="F150" s="11"/>
      <c r="G150" s="11"/>
      <c r="H150" s="11"/>
      <c r="Z150" s="26" t="s">
        <v>322</v>
      </c>
      <c r="AA150" s="27">
        <v>1</v>
      </c>
      <c r="AB150" s="27">
        <v>0.85178875638841567</v>
      </c>
      <c r="AC150" s="27">
        <v>0.51107325383304936</v>
      </c>
    </row>
    <row r="151" spans="1:29" s="12" customFormat="1" ht="31.5" customHeight="1" x14ac:dyDescent="0.25">
      <c r="B151" s="370" t="s">
        <v>96</v>
      </c>
      <c r="C151" s="36"/>
      <c r="D151" s="36"/>
      <c r="E151" s="36"/>
      <c r="F151" s="36"/>
      <c r="G151" s="36"/>
      <c r="H151" s="36"/>
      <c r="I151" s="36"/>
      <c r="J151" s="36"/>
      <c r="K151" s="36"/>
      <c r="L151" s="36"/>
      <c r="M151" s="36"/>
      <c r="N151" s="37"/>
      <c r="Z151" s="26" t="s">
        <v>144</v>
      </c>
      <c r="AA151" s="27">
        <v>1</v>
      </c>
      <c r="AB151" s="27">
        <v>0.75235109717868343</v>
      </c>
      <c r="AC151" s="27">
        <v>0.62695924764890287</v>
      </c>
    </row>
    <row r="152" spans="1:29" s="12" customFormat="1" x14ac:dyDescent="0.25">
      <c r="B152" s="11"/>
      <c r="C152" s="14"/>
      <c r="D152" s="14"/>
      <c r="E152" s="14"/>
      <c r="F152" s="11"/>
      <c r="G152" s="11"/>
      <c r="H152" s="11"/>
      <c r="Z152" s="26" t="s">
        <v>222</v>
      </c>
      <c r="AA152" s="27">
        <v>1</v>
      </c>
      <c r="AB152" s="27">
        <v>0.86513994910941472</v>
      </c>
      <c r="AC152" s="27">
        <v>0.59372349448685324</v>
      </c>
    </row>
    <row r="153" spans="1:29" s="12" customFormat="1" x14ac:dyDescent="0.25">
      <c r="B153" s="11"/>
      <c r="C153" s="14"/>
      <c r="D153" s="14"/>
      <c r="E153" s="14"/>
      <c r="F153" s="11"/>
      <c r="G153" s="11"/>
      <c r="H153" s="11"/>
      <c r="Z153" s="26" t="s">
        <v>535</v>
      </c>
      <c r="AA153" s="27">
        <v>1</v>
      </c>
      <c r="AB153" s="27">
        <v>0.80428954423592491</v>
      </c>
      <c r="AC153" s="27">
        <v>0.80428954423592491</v>
      </c>
    </row>
    <row r="154" spans="1:29" s="12" customFormat="1" x14ac:dyDescent="0.25">
      <c r="B154" s="11"/>
      <c r="C154" s="14"/>
      <c r="D154" s="14"/>
      <c r="E154" s="14"/>
      <c r="F154" s="11"/>
      <c r="G154" s="11"/>
      <c r="H154" s="11"/>
      <c r="Z154" s="26" t="s">
        <v>145</v>
      </c>
      <c r="AA154" s="27">
        <v>1</v>
      </c>
      <c r="AB154" s="27">
        <v>1</v>
      </c>
      <c r="AC154" s="27">
        <v>0.22123893805309736</v>
      </c>
    </row>
    <row r="155" spans="1:29" s="12" customFormat="1" x14ac:dyDescent="0.25">
      <c r="B155" s="11"/>
      <c r="C155" s="14"/>
      <c r="D155" s="14"/>
      <c r="E155" s="14"/>
      <c r="F155" s="11"/>
      <c r="G155" s="11"/>
      <c r="H155" s="11"/>
      <c r="Z155" s="26" t="s">
        <v>288</v>
      </c>
      <c r="AA155" s="27">
        <v>1</v>
      </c>
      <c r="AB155" s="27">
        <v>0.47058823529411764</v>
      </c>
      <c r="AC155" s="27">
        <v>0.14705882352941177</v>
      </c>
    </row>
    <row r="156" spans="1:29" s="12" customFormat="1" x14ac:dyDescent="0.25">
      <c r="A156" s="11"/>
      <c r="B156" s="29" t="s">
        <v>4</v>
      </c>
      <c r="C156" t="s">
        <v>74</v>
      </c>
      <c r="D156" s="14"/>
      <c r="E156" s="14"/>
      <c r="F156" s="11"/>
      <c r="G156" s="11"/>
      <c r="H156" s="11"/>
      <c r="I156" s="11"/>
      <c r="J156" s="11"/>
      <c r="K156" s="11"/>
      <c r="L156" s="11"/>
      <c r="M156" s="11"/>
      <c r="N156" s="11"/>
      <c r="O156" s="11"/>
      <c r="Z156" s="26" t="s">
        <v>289</v>
      </c>
      <c r="AA156" s="27">
        <v>1</v>
      </c>
      <c r="AB156" s="27">
        <v>0.80913850547358401</v>
      </c>
      <c r="AC156" s="27">
        <v>0.19038553069966682</v>
      </c>
    </row>
    <row r="157" spans="1:29" x14ac:dyDescent="0.25">
      <c r="B157" s="29" t="s">
        <v>0</v>
      </c>
      <c r="C157" t="s">
        <v>74</v>
      </c>
      <c r="Z157" s="26" t="s">
        <v>196</v>
      </c>
      <c r="AA157" s="27">
        <v>1</v>
      </c>
      <c r="AB157" s="27">
        <v>1</v>
      </c>
      <c r="AC157" s="27">
        <v>1</v>
      </c>
    </row>
    <row r="158" spans="1:29" x14ac:dyDescent="0.25">
      <c r="B158" s="376" t="s">
        <v>3</v>
      </c>
      <c r="C158" t="s">
        <v>74</v>
      </c>
      <c r="Z158" s="26" t="s">
        <v>705</v>
      </c>
      <c r="AA158" s="27">
        <v>1</v>
      </c>
      <c r="AB158" s="27">
        <v>1</v>
      </c>
      <c r="AC158" s="27">
        <v>0</v>
      </c>
    </row>
    <row r="159" spans="1:29" x14ac:dyDescent="0.25">
      <c r="B159" s="29" t="s">
        <v>295</v>
      </c>
      <c r="C159" t="s">
        <v>74</v>
      </c>
      <c r="Z159" s="26" t="s">
        <v>706</v>
      </c>
      <c r="AA159" s="27">
        <v>1</v>
      </c>
      <c r="AB159" s="27">
        <v>1</v>
      </c>
      <c r="AC159" s="27">
        <v>1</v>
      </c>
    </row>
    <row r="160" spans="1:29" x14ac:dyDescent="0.25">
      <c r="Z160" s="26" t="s">
        <v>131</v>
      </c>
      <c r="AA160" s="27">
        <v>1</v>
      </c>
      <c r="AB160" s="27">
        <v>1</v>
      </c>
      <c r="AC160" s="27">
        <v>1</v>
      </c>
    </row>
    <row r="161" spans="1:29" x14ac:dyDescent="0.25">
      <c r="B161" s="29" t="s">
        <v>242</v>
      </c>
      <c r="C161" t="s">
        <v>749</v>
      </c>
      <c r="D161"/>
      <c r="E161"/>
      <c r="Z161" s="26" t="s">
        <v>290</v>
      </c>
      <c r="AA161" s="27">
        <v>1</v>
      </c>
      <c r="AB161" s="27">
        <v>0.86830680173661356</v>
      </c>
      <c r="AC161" s="27">
        <v>0.86830680173661356</v>
      </c>
    </row>
    <row r="162" spans="1:29" x14ac:dyDescent="0.25">
      <c r="B162" s="26" t="s">
        <v>245</v>
      </c>
      <c r="C162" s="384">
        <v>13</v>
      </c>
      <c r="D162"/>
      <c r="E162"/>
      <c r="Z162" s="26" t="s">
        <v>146</v>
      </c>
      <c r="AA162" s="27">
        <v>1</v>
      </c>
      <c r="AB162" s="27">
        <v>1</v>
      </c>
      <c r="AC162" s="27">
        <v>1</v>
      </c>
    </row>
    <row r="163" spans="1:29" x14ac:dyDescent="0.25">
      <c r="B163" s="26" t="s">
        <v>246</v>
      </c>
      <c r="C163" s="384">
        <v>1</v>
      </c>
      <c r="D163"/>
      <c r="E163"/>
      <c r="Z163" s="26" t="s">
        <v>147</v>
      </c>
      <c r="AA163" s="27">
        <v>1</v>
      </c>
      <c r="AB163" s="27">
        <v>1</v>
      </c>
      <c r="AC163" s="27">
        <v>1</v>
      </c>
    </row>
    <row r="164" spans="1:29" x14ac:dyDescent="0.25">
      <c r="A164" s="12"/>
      <c r="B164" s="26" t="s">
        <v>890</v>
      </c>
      <c r="C164" s="384">
        <v>1</v>
      </c>
      <c r="D164"/>
      <c r="E164"/>
      <c r="F164"/>
      <c r="G164"/>
      <c r="H164"/>
      <c r="M164" s="12"/>
      <c r="N164" s="12"/>
      <c r="O164" s="12"/>
      <c r="Z164" s="26" t="s">
        <v>122</v>
      </c>
      <c r="AA164" s="27">
        <v>1</v>
      </c>
      <c r="AB164" s="27">
        <v>1</v>
      </c>
      <c r="AC164" s="27">
        <v>1</v>
      </c>
    </row>
    <row r="165" spans="1:29" s="12" customFormat="1" x14ac:dyDescent="0.25">
      <c r="A165" s="11"/>
      <c r="B165" s="26" t="s">
        <v>853</v>
      </c>
      <c r="C165" s="384">
        <v>1</v>
      </c>
      <c r="D165"/>
      <c r="E165"/>
      <c r="F165" s="13"/>
      <c r="G165" s="11"/>
      <c r="H165" s="11"/>
      <c r="I165" s="11"/>
      <c r="J165" s="11"/>
      <c r="K165" s="11"/>
      <c r="L165" s="11"/>
      <c r="M165" s="11"/>
      <c r="N165" s="11"/>
      <c r="O165" s="11"/>
      <c r="Z165" s="26" t="s">
        <v>209</v>
      </c>
      <c r="AA165" s="27">
        <v>1</v>
      </c>
      <c r="AB165" s="27">
        <v>1</v>
      </c>
      <c r="AC165" s="27">
        <v>0</v>
      </c>
    </row>
    <row r="166" spans="1:29" x14ac:dyDescent="0.25">
      <c r="A166" s="12"/>
      <c r="B166" s="26" t="s">
        <v>244</v>
      </c>
      <c r="C166" s="384">
        <v>159</v>
      </c>
      <c r="I166" s="12"/>
      <c r="J166" s="12"/>
      <c r="K166" s="12"/>
      <c r="L166" s="12"/>
      <c r="M166" s="12"/>
      <c r="N166" s="12"/>
      <c r="O166" s="12"/>
      <c r="Z166" s="26" t="s">
        <v>197</v>
      </c>
      <c r="AA166" s="27">
        <v>1</v>
      </c>
      <c r="AB166" s="27">
        <v>0.68493150684931503</v>
      </c>
      <c r="AC166" s="27">
        <v>0.54794520547945202</v>
      </c>
    </row>
    <row r="167" spans="1:29" s="12" customFormat="1" x14ac:dyDescent="0.25">
      <c r="B167" s="26" t="s">
        <v>73</v>
      </c>
      <c r="C167" s="384">
        <v>175</v>
      </c>
      <c r="D167" s="14"/>
      <c r="E167" s="14"/>
      <c r="F167" s="11"/>
      <c r="G167" s="11"/>
      <c r="H167" s="11"/>
      <c r="Z167" s="26" t="s">
        <v>210</v>
      </c>
      <c r="AA167" s="27">
        <v>1</v>
      </c>
      <c r="AB167" s="27">
        <v>1</v>
      </c>
      <c r="AC167" s="27">
        <v>0</v>
      </c>
    </row>
    <row r="168" spans="1:29" s="12" customFormat="1" x14ac:dyDescent="0.25">
      <c r="B168" s="26"/>
      <c r="C168" s="384"/>
      <c r="D168" s="14"/>
      <c r="E168" s="14"/>
      <c r="F168" s="11"/>
      <c r="G168" s="11"/>
      <c r="H168" s="11"/>
      <c r="Z168" s="26" t="s">
        <v>211</v>
      </c>
      <c r="AA168" s="27">
        <v>1</v>
      </c>
      <c r="AB168" s="27">
        <v>1</v>
      </c>
      <c r="AC168" s="27">
        <v>0.5714285714285714</v>
      </c>
    </row>
    <row r="169" spans="1:29" s="12" customFormat="1" x14ac:dyDescent="0.25">
      <c r="B169" s="26"/>
      <c r="C169" s="384"/>
      <c r="D169" s="14"/>
      <c r="E169" s="14"/>
      <c r="F169" s="11"/>
      <c r="G169" s="11"/>
      <c r="H169" s="11"/>
      <c r="Z169" s="26" t="s">
        <v>551</v>
      </c>
      <c r="AA169" s="27">
        <v>1</v>
      </c>
      <c r="AB169" s="27">
        <v>1</v>
      </c>
      <c r="AC169" s="27">
        <v>1</v>
      </c>
    </row>
    <row r="170" spans="1:29" s="12" customFormat="1" x14ac:dyDescent="0.25">
      <c r="B170" s="26"/>
      <c r="C170" s="384"/>
      <c r="D170" s="14"/>
      <c r="E170" s="14"/>
      <c r="F170" s="11"/>
      <c r="G170" s="11"/>
      <c r="H170" s="11"/>
      <c r="Z170" s="26" t="s">
        <v>552</v>
      </c>
      <c r="AA170" s="27">
        <v>1</v>
      </c>
      <c r="AB170" s="27">
        <v>1</v>
      </c>
      <c r="AC170" s="27">
        <v>1</v>
      </c>
    </row>
    <row r="171" spans="1:29" s="12" customFormat="1" x14ac:dyDescent="0.25">
      <c r="B171" s="26"/>
      <c r="C171" s="384"/>
      <c r="D171" s="14"/>
      <c r="E171" s="14"/>
      <c r="F171" s="11"/>
      <c r="G171" s="11"/>
      <c r="H171" s="11"/>
      <c r="Z171" s="26" t="s">
        <v>531</v>
      </c>
      <c r="AA171" s="27">
        <v>1</v>
      </c>
      <c r="AB171" s="27">
        <v>0.83333333333333337</v>
      </c>
      <c r="AC171" s="27">
        <v>1</v>
      </c>
    </row>
    <row r="172" spans="1:29" s="12" customFormat="1" x14ac:dyDescent="0.25">
      <c r="B172" s="11"/>
      <c r="C172" s="14"/>
      <c r="D172" s="14"/>
      <c r="E172" s="14"/>
      <c r="F172" s="11"/>
      <c r="G172" s="11"/>
      <c r="H172" s="11"/>
      <c r="Z172" s="26" t="s">
        <v>703</v>
      </c>
      <c r="AA172" s="27">
        <v>0.95238095238095244</v>
      </c>
      <c r="AB172" s="27">
        <v>0.69387755102040816</v>
      </c>
      <c r="AC172" s="27">
        <v>0.81632653061224492</v>
      </c>
    </row>
    <row r="173" spans="1:29" s="12" customFormat="1" x14ac:dyDescent="0.25">
      <c r="B173" s="11"/>
      <c r="C173" s="14"/>
      <c r="D173" s="14"/>
      <c r="E173" s="14"/>
      <c r="F173" s="11"/>
      <c r="G173" s="11"/>
      <c r="H173" s="11"/>
      <c r="Z173" s="26" t="s">
        <v>215</v>
      </c>
      <c r="AA173" s="27">
        <v>1</v>
      </c>
      <c r="AB173" s="27">
        <v>0.98765432098765427</v>
      </c>
      <c r="AC173" s="27">
        <v>0.30864197530864196</v>
      </c>
    </row>
    <row r="174" spans="1:29" s="12" customFormat="1" x14ac:dyDescent="0.25">
      <c r="B174"/>
      <c r="C174"/>
      <c r="D174" s="14"/>
      <c r="E174" s="14"/>
      <c r="F174" s="11"/>
      <c r="G174" s="11"/>
      <c r="H174" s="11"/>
      <c r="Z174" s="26" t="s">
        <v>216</v>
      </c>
      <c r="AA174" s="27">
        <v>1</v>
      </c>
      <c r="AB174" s="27">
        <v>0.52770448548812665</v>
      </c>
      <c r="AC174" s="27">
        <v>0.52770448548812665</v>
      </c>
    </row>
    <row r="175" spans="1:29" s="12" customFormat="1" x14ac:dyDescent="0.25">
      <c r="B175" s="29" t="s">
        <v>3</v>
      </c>
      <c r="C175" t="s">
        <v>509</v>
      </c>
      <c r="D175" s="14"/>
      <c r="E175" s="14"/>
      <c r="F175" s="11"/>
      <c r="G175" s="11"/>
      <c r="H175" s="11"/>
      <c r="Z175" s="26" t="s">
        <v>217</v>
      </c>
      <c r="AA175" s="27">
        <v>1</v>
      </c>
      <c r="AB175" s="27">
        <v>1</v>
      </c>
      <c r="AC175" s="27">
        <v>0.85470085470085466</v>
      </c>
    </row>
    <row r="176" spans="1:29" s="12" customFormat="1" x14ac:dyDescent="0.25">
      <c r="B176" s="29" t="s">
        <v>295</v>
      </c>
      <c r="C176" t="s">
        <v>74</v>
      </c>
      <c r="D176" s="14"/>
      <c r="E176" s="14"/>
      <c r="F176" s="11"/>
      <c r="G176" s="11"/>
      <c r="H176" s="11"/>
      <c r="Z176" s="26" t="s">
        <v>704</v>
      </c>
      <c r="AA176" s="27">
        <v>0</v>
      </c>
      <c r="AB176" s="27">
        <v>1</v>
      </c>
      <c r="AC176" s="27">
        <v>1</v>
      </c>
    </row>
    <row r="177" spans="1:29" s="12" customFormat="1" ht="16.5" customHeight="1" x14ac:dyDescent="0.25">
      <c r="A177" s="11"/>
      <c r="B177" s="11"/>
      <c r="C177" s="14"/>
      <c r="D177" s="14"/>
      <c r="E177" s="14"/>
      <c r="F177" s="11"/>
      <c r="G177" s="11"/>
      <c r="H177" s="11"/>
      <c r="O177" s="11"/>
      <c r="Z177" s="26" t="s">
        <v>212</v>
      </c>
      <c r="AA177" s="27">
        <v>1</v>
      </c>
      <c r="AB177" s="27">
        <v>1</v>
      </c>
      <c r="AC177" s="27">
        <v>0.74349442379182151</v>
      </c>
    </row>
    <row r="178" spans="1:29" ht="135" x14ac:dyDescent="0.25">
      <c r="B178" s="376" t="s">
        <v>242</v>
      </c>
      <c r="C178" s="381" t="s">
        <v>745</v>
      </c>
      <c r="D178" s="381" t="s">
        <v>756</v>
      </c>
      <c r="F178" s="389"/>
      <c r="I178" s="12"/>
      <c r="J178" s="12"/>
      <c r="K178" s="12"/>
      <c r="L178" s="12"/>
      <c r="M178" s="12"/>
      <c r="N178" s="12"/>
      <c r="Z178" s="26" t="s">
        <v>229</v>
      </c>
      <c r="AA178" s="27">
        <v>1</v>
      </c>
      <c r="AB178" s="27">
        <v>1</v>
      </c>
      <c r="AC178" s="27">
        <v>1</v>
      </c>
    </row>
    <row r="179" spans="1:29" x14ac:dyDescent="0.25">
      <c r="B179" s="26" t="s">
        <v>218</v>
      </c>
      <c r="C179" s="382">
        <v>0.99087354908257219</v>
      </c>
      <c r="D179" s="382">
        <v>-2.4103638585862238E-3</v>
      </c>
      <c r="I179" s="12"/>
      <c r="J179" s="12"/>
      <c r="K179" s="12"/>
      <c r="L179" s="12"/>
      <c r="M179" s="12"/>
      <c r="N179" s="12"/>
      <c r="Z179" s="26" t="s">
        <v>528</v>
      </c>
      <c r="AA179" s="27">
        <v>1</v>
      </c>
      <c r="AB179" s="27">
        <v>1</v>
      </c>
      <c r="AC179" s="27">
        <v>1</v>
      </c>
    </row>
    <row r="180" spans="1:29" x14ac:dyDescent="0.25">
      <c r="B180" s="26" t="s">
        <v>226</v>
      </c>
      <c r="C180" s="382">
        <v>0.88511372742402761</v>
      </c>
      <c r="D180" s="382">
        <v>0.11488627257597234</v>
      </c>
      <c r="I180" s="12"/>
      <c r="J180" s="12"/>
      <c r="K180" s="12"/>
      <c r="L180" s="12"/>
      <c r="M180" s="12"/>
      <c r="N180" s="12"/>
      <c r="Z180" s="26" t="s">
        <v>220</v>
      </c>
      <c r="AA180" s="27">
        <v>1</v>
      </c>
      <c r="AB180" s="27">
        <v>1</v>
      </c>
      <c r="AC180" s="27">
        <v>0.97402597402597402</v>
      </c>
    </row>
    <row r="181" spans="1:29" x14ac:dyDescent="0.25">
      <c r="B181" s="26" t="s">
        <v>73</v>
      </c>
      <c r="C181" s="382">
        <v>0.94593237727282631</v>
      </c>
      <c r="D181" s="382">
        <v>4.7433217645646467E-2</v>
      </c>
      <c r="I181" s="12"/>
      <c r="J181" s="12"/>
      <c r="K181" s="12"/>
      <c r="L181" s="12"/>
      <c r="M181" s="12"/>
      <c r="N181" s="12"/>
      <c r="Z181" s="26" t="s">
        <v>183</v>
      </c>
      <c r="AA181" s="27">
        <v>1</v>
      </c>
      <c r="AB181" s="27">
        <v>1</v>
      </c>
      <c r="AC181" s="27">
        <v>1</v>
      </c>
    </row>
    <row r="182" spans="1:29" x14ac:dyDescent="0.25">
      <c r="B182"/>
      <c r="C182"/>
      <c r="I182" s="12"/>
      <c r="J182" s="12"/>
      <c r="K182" s="12"/>
      <c r="L182" s="12"/>
      <c r="M182" s="12"/>
      <c r="N182" s="12"/>
      <c r="Z182" s="26" t="s">
        <v>123</v>
      </c>
      <c r="AA182" s="27">
        <v>1</v>
      </c>
      <c r="AB182" s="27">
        <v>0.73529411764705888</v>
      </c>
      <c r="AC182" s="27">
        <v>0.73529411764705888</v>
      </c>
    </row>
    <row r="183" spans="1:29" x14ac:dyDescent="0.25">
      <c r="B183"/>
      <c r="C183"/>
      <c r="I183" s="12"/>
      <c r="J183" s="12"/>
      <c r="K183" s="12"/>
      <c r="L183" s="12"/>
      <c r="M183" s="12"/>
      <c r="N183" s="12"/>
      <c r="Z183" s="26" t="s">
        <v>231</v>
      </c>
      <c r="AA183" s="27">
        <v>1</v>
      </c>
      <c r="AB183" s="27">
        <v>0.20408163265306123</v>
      </c>
      <c r="AC183" s="27">
        <v>0</v>
      </c>
    </row>
    <row r="184" spans="1:29" x14ac:dyDescent="0.25">
      <c r="B184"/>
      <c r="C184"/>
      <c r="I184" s="12"/>
      <c r="J184" s="12"/>
      <c r="K184" s="12"/>
      <c r="L184" s="12"/>
      <c r="M184" s="12"/>
      <c r="N184" s="12"/>
      <c r="Z184" s="26" t="s">
        <v>132</v>
      </c>
      <c r="AA184" s="27">
        <v>1</v>
      </c>
      <c r="AB184" s="27">
        <v>1</v>
      </c>
      <c r="AC184" s="27">
        <v>1</v>
      </c>
    </row>
    <row r="185" spans="1:29" x14ac:dyDescent="0.25">
      <c r="B185"/>
      <c r="C185"/>
      <c r="I185" s="12"/>
      <c r="J185" s="12"/>
      <c r="K185" s="12"/>
      <c r="L185" s="12"/>
      <c r="M185" s="12"/>
      <c r="N185" s="12"/>
      <c r="Z185" s="26" t="s">
        <v>325</v>
      </c>
      <c r="AA185" s="27">
        <v>0.17241379310344829</v>
      </c>
      <c r="AB185" s="27">
        <v>0.45977011494252873</v>
      </c>
      <c r="AC185" s="27">
        <v>0</v>
      </c>
    </row>
    <row r="186" spans="1:29" x14ac:dyDescent="0.25">
      <c r="B186"/>
      <c r="C186"/>
      <c r="D186"/>
      <c r="I186" s="12"/>
      <c r="J186" s="12"/>
      <c r="K186" s="12"/>
      <c r="L186" s="12"/>
      <c r="M186" s="12"/>
      <c r="N186" s="12"/>
      <c r="Z186" s="26" t="s">
        <v>168</v>
      </c>
      <c r="AA186" s="27">
        <v>1</v>
      </c>
      <c r="AB186" s="27">
        <v>1</v>
      </c>
      <c r="AC186" s="27">
        <v>1</v>
      </c>
    </row>
    <row r="187" spans="1:29" x14ac:dyDescent="0.25">
      <c r="B187"/>
      <c r="C187"/>
      <c r="D187"/>
      <c r="I187" s="12"/>
      <c r="J187" s="12"/>
      <c r="K187" s="12"/>
      <c r="L187" s="12"/>
      <c r="M187" s="12"/>
      <c r="N187" s="12"/>
      <c r="Z187" s="26" t="s">
        <v>324</v>
      </c>
      <c r="AA187" s="27">
        <v>1</v>
      </c>
      <c r="AB187" s="27">
        <v>0.96153846153846156</v>
      </c>
      <c r="AC187" s="27">
        <v>1</v>
      </c>
    </row>
    <row r="188" spans="1:29" ht="21" x14ac:dyDescent="0.25">
      <c r="B188" s="370" t="s">
        <v>97</v>
      </c>
      <c r="C188" s="388"/>
      <c r="D188" s="36"/>
      <c r="E188" s="36"/>
      <c r="F188" s="36"/>
      <c r="G188" s="36"/>
      <c r="H188" s="36"/>
      <c r="I188" s="36"/>
      <c r="J188" s="36"/>
      <c r="K188" s="36"/>
      <c r="L188" s="36"/>
      <c r="M188" s="36"/>
      <c r="N188" s="37"/>
      <c r="Z188" s="26" t="s">
        <v>191</v>
      </c>
      <c r="AA188" s="27">
        <v>1</v>
      </c>
      <c r="AB188" s="27">
        <v>1</v>
      </c>
      <c r="AC188" s="27">
        <v>0.36742192284139619</v>
      </c>
    </row>
    <row r="189" spans="1:29" ht="21" x14ac:dyDescent="0.25">
      <c r="B189" s="390"/>
      <c r="C189" s="390"/>
      <c r="D189" s="391"/>
      <c r="E189" s="391"/>
      <c r="F189" s="391"/>
      <c r="G189" s="391"/>
      <c r="H189" s="391"/>
      <c r="I189" s="391"/>
      <c r="J189" s="391"/>
      <c r="K189" s="391"/>
      <c r="L189" s="391"/>
      <c r="M189" s="391"/>
      <c r="N189" s="391"/>
      <c r="Z189" s="26" t="s">
        <v>199</v>
      </c>
      <c r="AA189" s="27">
        <v>0.8</v>
      </c>
      <c r="AB189" s="27">
        <v>1</v>
      </c>
      <c r="AC189" s="27">
        <v>1</v>
      </c>
    </row>
    <row r="190" spans="1:29" ht="15.75" customHeight="1" x14ac:dyDescent="0.25">
      <c r="B190" s="390"/>
      <c r="C190" s="390"/>
      <c r="D190" s="391"/>
      <c r="E190" s="391"/>
      <c r="F190" s="391"/>
      <c r="G190" s="391"/>
      <c r="H190" s="391"/>
      <c r="I190" s="391"/>
      <c r="J190" s="391"/>
      <c r="K190" s="391"/>
      <c r="L190" s="391"/>
      <c r="M190" s="391"/>
      <c r="N190" s="391"/>
      <c r="Z190" s="26" t="s">
        <v>219</v>
      </c>
      <c r="AA190" s="27">
        <v>1</v>
      </c>
      <c r="AB190" s="27">
        <v>0.69868995633187769</v>
      </c>
      <c r="AC190" s="27">
        <v>0.8733624454148472</v>
      </c>
    </row>
    <row r="191" spans="1:29" ht="15.75" customHeight="1" x14ac:dyDescent="0.25">
      <c r="B191" s="29" t="s">
        <v>3</v>
      </c>
      <c r="C191" t="s">
        <v>74</v>
      </c>
      <c r="F191"/>
      <c r="Z191" s="26" t="s">
        <v>148</v>
      </c>
      <c r="AA191" s="27">
        <v>1</v>
      </c>
      <c r="AB191" s="27">
        <v>1</v>
      </c>
      <c r="AC191" s="27">
        <v>1</v>
      </c>
    </row>
    <row r="192" spans="1:29" ht="15.75" customHeight="1" x14ac:dyDescent="0.25">
      <c r="B192" s="29" t="s">
        <v>295</v>
      </c>
      <c r="C192" t="s">
        <v>74</v>
      </c>
      <c r="F192"/>
      <c r="Z192" s="26" t="s">
        <v>701</v>
      </c>
      <c r="AA192" s="27">
        <v>1</v>
      </c>
      <c r="AB192" s="27">
        <v>1</v>
      </c>
      <c r="AC192" s="27">
        <v>0.14903129657228018</v>
      </c>
    </row>
    <row r="193" spans="2:29" x14ac:dyDescent="0.25">
      <c r="F193"/>
      <c r="Z193" s="26" t="s">
        <v>700</v>
      </c>
      <c r="AA193" s="27">
        <v>1</v>
      </c>
      <c r="AB193" s="27">
        <v>1</v>
      </c>
      <c r="AC193" s="27">
        <v>0.39840637450199201</v>
      </c>
    </row>
    <row r="194" spans="2:29" x14ac:dyDescent="0.25">
      <c r="B194" s="29" t="s">
        <v>735</v>
      </c>
      <c r="C194" s="29" t="s">
        <v>256</v>
      </c>
      <c r="D194"/>
      <c r="E194"/>
      <c r="F194"/>
      <c r="Z194" s="26" t="s">
        <v>699</v>
      </c>
      <c r="AA194" s="27">
        <v>1</v>
      </c>
      <c r="AB194" s="27">
        <v>1</v>
      </c>
      <c r="AC194" s="27">
        <v>0.74349442379182151</v>
      </c>
    </row>
    <row r="195" spans="2:29" x14ac:dyDescent="0.25">
      <c r="B195" s="29" t="s">
        <v>242</v>
      </c>
      <c r="C195" s="385" t="s">
        <v>218</v>
      </c>
      <c r="D195" s="385" t="s">
        <v>226</v>
      </c>
      <c r="E195" s="385" t="s">
        <v>73</v>
      </c>
      <c r="F195"/>
      <c r="Z195" s="26" t="s">
        <v>204</v>
      </c>
      <c r="AA195" s="27">
        <v>1</v>
      </c>
      <c r="AB195" s="27">
        <v>1</v>
      </c>
      <c r="AC195" s="27">
        <v>0.51948051948051943</v>
      </c>
    </row>
    <row r="196" spans="2:29" x14ac:dyDescent="0.25">
      <c r="B196" s="26" t="s">
        <v>180</v>
      </c>
      <c r="C196" s="375">
        <v>222.29999999999998</v>
      </c>
      <c r="D196" s="375"/>
      <c r="E196" s="375">
        <v>222.29999999999998</v>
      </c>
      <c r="F196"/>
      <c r="Z196" s="26" t="s">
        <v>292</v>
      </c>
      <c r="AA196" s="27">
        <v>1</v>
      </c>
      <c r="AB196" s="27">
        <v>0.99071207430340558</v>
      </c>
      <c r="AC196" s="27">
        <v>0.61919504643962853</v>
      </c>
    </row>
    <row r="197" spans="2:29" x14ac:dyDescent="0.25">
      <c r="B197" s="26" t="s">
        <v>107</v>
      </c>
      <c r="C197" s="375">
        <v>35.4</v>
      </c>
      <c r="D197" s="375">
        <v>43.65</v>
      </c>
      <c r="E197" s="375">
        <v>79.05</v>
      </c>
      <c r="F197"/>
      <c r="Z197" s="26" t="s">
        <v>764</v>
      </c>
      <c r="AA197" s="27">
        <v>1</v>
      </c>
      <c r="AB197" s="27">
        <v>1</v>
      </c>
      <c r="AC197" s="27">
        <v>0.61199510403916768</v>
      </c>
    </row>
    <row r="198" spans="2:29" x14ac:dyDescent="0.25">
      <c r="B198" s="26" t="s">
        <v>110</v>
      </c>
      <c r="C198" s="375">
        <v>48.7</v>
      </c>
      <c r="D198" s="375"/>
      <c r="E198" s="375">
        <v>48.7</v>
      </c>
      <c r="F198"/>
      <c r="Z198" s="26" t="s">
        <v>169</v>
      </c>
      <c r="AA198" s="27">
        <v>1</v>
      </c>
      <c r="AB198" s="27">
        <v>1</v>
      </c>
      <c r="AC198" s="27">
        <v>0.3125</v>
      </c>
    </row>
    <row r="199" spans="2:29" x14ac:dyDescent="0.25">
      <c r="B199" s="26" t="s">
        <v>128</v>
      </c>
      <c r="C199" s="375">
        <v>0.85</v>
      </c>
      <c r="D199" s="375"/>
      <c r="E199" s="375">
        <v>0.85</v>
      </c>
      <c r="F199"/>
      <c r="Z199" s="26" t="s">
        <v>170</v>
      </c>
      <c r="AA199" s="27">
        <v>1</v>
      </c>
      <c r="AB199" s="27">
        <v>0.65040650406504064</v>
      </c>
      <c r="AC199" s="27">
        <v>0.81300813008130079</v>
      </c>
    </row>
    <row r="200" spans="2:29" x14ac:dyDescent="0.25">
      <c r="B200" s="26" t="s">
        <v>205</v>
      </c>
      <c r="C200" s="375">
        <v>130.60000000000002</v>
      </c>
      <c r="D200" s="375"/>
      <c r="E200" s="375">
        <v>130.60000000000002</v>
      </c>
      <c r="F200"/>
      <c r="Z200" s="26" t="s">
        <v>171</v>
      </c>
      <c r="AA200" s="27">
        <v>1</v>
      </c>
      <c r="AB200" s="27">
        <v>0.76190476190476186</v>
      </c>
      <c r="AC200" s="27">
        <v>0.63492063492063489</v>
      </c>
    </row>
    <row r="201" spans="2:29" x14ac:dyDescent="0.25">
      <c r="B201" s="26" t="s">
        <v>326</v>
      </c>
      <c r="C201" s="375">
        <v>1.75</v>
      </c>
      <c r="D201" s="375"/>
      <c r="E201" s="375">
        <v>1.75</v>
      </c>
      <c r="F201"/>
      <c r="Z201" s="26" t="s">
        <v>172</v>
      </c>
      <c r="AA201" s="27">
        <v>1</v>
      </c>
      <c r="AB201" s="27">
        <v>0.82840236686390534</v>
      </c>
      <c r="AC201" s="27">
        <v>1</v>
      </c>
    </row>
    <row r="202" spans="2:29" x14ac:dyDescent="0.25">
      <c r="B202" s="26" t="s">
        <v>186</v>
      </c>
      <c r="C202" s="375">
        <v>262.14999999999998</v>
      </c>
      <c r="D202" s="375">
        <v>94.050000000000011</v>
      </c>
      <c r="E202" s="375">
        <v>356.2</v>
      </c>
      <c r="F202"/>
      <c r="Z202" s="26" t="s">
        <v>173</v>
      </c>
      <c r="AA202" s="27">
        <v>1</v>
      </c>
      <c r="AB202" s="27">
        <v>1</v>
      </c>
      <c r="AC202" s="27">
        <v>1</v>
      </c>
    </row>
    <row r="203" spans="2:29" x14ac:dyDescent="0.25">
      <c r="B203" s="26" t="s">
        <v>187</v>
      </c>
      <c r="C203" s="375">
        <v>15.2</v>
      </c>
      <c r="D203" s="375">
        <v>22.3</v>
      </c>
      <c r="E203" s="375">
        <v>37.5</v>
      </c>
      <c r="F203"/>
      <c r="Z203" s="26" t="s">
        <v>124</v>
      </c>
      <c r="AA203" s="27">
        <v>1</v>
      </c>
      <c r="AB203" s="27">
        <v>1</v>
      </c>
      <c r="AC203" s="27">
        <v>1</v>
      </c>
    </row>
    <row r="204" spans="2:29" x14ac:dyDescent="0.25">
      <c r="B204" s="26" t="s">
        <v>225</v>
      </c>
      <c r="C204" s="375">
        <v>0</v>
      </c>
      <c r="D204" s="375"/>
      <c r="E204" s="375">
        <v>0</v>
      </c>
      <c r="F204"/>
      <c r="Z204" s="26" t="s">
        <v>283</v>
      </c>
      <c r="AA204" s="27">
        <v>1</v>
      </c>
      <c r="AB204" s="27">
        <v>0.76719576719576721</v>
      </c>
      <c r="AC204" s="27">
        <v>0.18518518518518517</v>
      </c>
    </row>
    <row r="205" spans="2:29" x14ac:dyDescent="0.25">
      <c r="B205" s="26" t="s">
        <v>133</v>
      </c>
      <c r="C205" s="375">
        <v>0.20000000000000018</v>
      </c>
      <c r="D205" s="375"/>
      <c r="E205" s="375">
        <v>0.20000000000000018</v>
      </c>
      <c r="F205"/>
      <c r="Z205" s="26" t="s">
        <v>125</v>
      </c>
      <c r="AA205" s="27">
        <v>1</v>
      </c>
      <c r="AB205" s="27">
        <v>1</v>
      </c>
      <c r="AC205" s="27">
        <v>1</v>
      </c>
    </row>
    <row r="206" spans="2:29" x14ac:dyDescent="0.25">
      <c r="B206" s="26" t="s">
        <v>188</v>
      </c>
      <c r="C206" s="375">
        <v>184.95</v>
      </c>
      <c r="D206" s="375">
        <v>95.8</v>
      </c>
      <c r="E206" s="375">
        <v>280.75</v>
      </c>
      <c r="F206"/>
      <c r="Z206" s="26" t="s">
        <v>149</v>
      </c>
      <c r="AA206" s="27">
        <v>1</v>
      </c>
      <c r="AB206" s="27">
        <v>0.75</v>
      </c>
      <c r="AC206" s="27">
        <v>0.5</v>
      </c>
    </row>
    <row r="207" spans="2:29" x14ac:dyDescent="0.25">
      <c r="B207" s="26" t="s">
        <v>214</v>
      </c>
      <c r="C207" s="375">
        <v>27.299999999999997</v>
      </c>
      <c r="D207" s="375"/>
      <c r="E207" s="375">
        <v>27.299999999999997</v>
      </c>
      <c r="F207"/>
      <c r="Z207" s="26" t="s">
        <v>150</v>
      </c>
      <c r="AA207" s="27">
        <v>1</v>
      </c>
      <c r="AB207" s="27">
        <v>1</v>
      </c>
      <c r="AC207" s="27">
        <v>1</v>
      </c>
    </row>
    <row r="208" spans="2:29" x14ac:dyDescent="0.25">
      <c r="B208" s="26" t="s">
        <v>135</v>
      </c>
      <c r="C208" s="375">
        <v>46.7</v>
      </c>
      <c r="D208" s="375">
        <v>84.55</v>
      </c>
      <c r="E208" s="375">
        <v>131.25</v>
      </c>
      <c r="F208"/>
      <c r="Z208" s="26" t="s">
        <v>174</v>
      </c>
      <c r="AA208" s="27">
        <v>1</v>
      </c>
      <c r="AB208" s="27">
        <v>1</v>
      </c>
      <c r="AC208" s="27">
        <v>0.34403669724770641</v>
      </c>
    </row>
    <row r="209" spans="2:29" x14ac:dyDescent="0.25">
      <c r="B209" s="26" t="s">
        <v>538</v>
      </c>
      <c r="C209" s="375">
        <v>55.05</v>
      </c>
      <c r="D209" s="375"/>
      <c r="E209" s="375">
        <v>55.05</v>
      </c>
      <c r="F209"/>
      <c r="Z209" s="26" t="s">
        <v>201</v>
      </c>
      <c r="AA209" s="27">
        <v>1</v>
      </c>
      <c r="AB209" s="27">
        <v>1</v>
      </c>
      <c r="AC209" s="27">
        <v>1</v>
      </c>
    </row>
    <row r="210" spans="2:29" x14ac:dyDescent="0.25">
      <c r="B210" s="26" t="s">
        <v>232</v>
      </c>
      <c r="C210" s="375">
        <v>2.6</v>
      </c>
      <c r="D210" s="375"/>
      <c r="E210" s="375">
        <v>2.6</v>
      </c>
      <c r="F210"/>
      <c r="Z210" s="26" t="s">
        <v>202</v>
      </c>
      <c r="AA210" s="27">
        <v>1</v>
      </c>
      <c r="AB210" s="27">
        <v>1</v>
      </c>
      <c r="AC210" s="27">
        <v>1</v>
      </c>
    </row>
    <row r="211" spans="2:29" x14ac:dyDescent="0.25">
      <c r="B211" s="26" t="s">
        <v>224</v>
      </c>
      <c r="C211" s="375">
        <v>14.249999999999998</v>
      </c>
      <c r="D211" s="375"/>
      <c r="E211" s="375">
        <v>14.249999999999998</v>
      </c>
      <c r="F211"/>
      <c r="Z211" s="26" t="s">
        <v>151</v>
      </c>
      <c r="AA211" s="27">
        <v>1</v>
      </c>
      <c r="AB211" s="27">
        <v>0.75294117647058822</v>
      </c>
      <c r="AC211" s="27">
        <v>0.23529411764705882</v>
      </c>
    </row>
    <row r="212" spans="2:29" x14ac:dyDescent="0.25">
      <c r="B212" s="26" t="s">
        <v>223</v>
      </c>
      <c r="C212" s="375">
        <v>4.9000000000000004</v>
      </c>
      <c r="D212" s="375"/>
      <c r="E212" s="375">
        <v>4.9000000000000004</v>
      </c>
      <c r="F212"/>
      <c r="Z212" s="26" t="s">
        <v>134</v>
      </c>
      <c r="AA212" s="27">
        <v>1</v>
      </c>
      <c r="AB212" s="27">
        <v>1</v>
      </c>
      <c r="AC212" s="27">
        <v>1</v>
      </c>
    </row>
    <row r="213" spans="2:29" x14ac:dyDescent="0.25">
      <c r="B213" s="26" t="s">
        <v>158</v>
      </c>
      <c r="C213" s="375">
        <v>77.349999999999994</v>
      </c>
      <c r="D213" s="375">
        <v>592.04999999999995</v>
      </c>
      <c r="E213" s="375">
        <v>669.4</v>
      </c>
      <c r="F213"/>
      <c r="Z213" s="26" t="s">
        <v>184</v>
      </c>
      <c r="AA213" s="27">
        <v>1</v>
      </c>
      <c r="AB213" s="27">
        <v>1</v>
      </c>
      <c r="AC213" s="27">
        <v>1</v>
      </c>
    </row>
    <row r="214" spans="2:29" x14ac:dyDescent="0.25">
      <c r="B214" s="26" t="s">
        <v>885</v>
      </c>
      <c r="C214" s="375">
        <v>11.1</v>
      </c>
      <c r="D214" s="375"/>
      <c r="E214" s="375">
        <v>11.1</v>
      </c>
      <c r="F214"/>
      <c r="Z214" s="26" t="s">
        <v>692</v>
      </c>
      <c r="AA214" s="27">
        <v>1</v>
      </c>
      <c r="AB214" s="27">
        <v>1</v>
      </c>
      <c r="AC214" s="27">
        <v>1</v>
      </c>
    </row>
    <row r="215" spans="2:29" x14ac:dyDescent="0.25">
      <c r="B215" s="26" t="s">
        <v>73</v>
      </c>
      <c r="C215" s="375">
        <v>1141.3499999999999</v>
      </c>
      <c r="D215" s="375">
        <v>932.4</v>
      </c>
      <c r="E215" s="375">
        <v>2073.75</v>
      </c>
      <c r="F215"/>
      <c r="Z215" s="26" t="s">
        <v>152</v>
      </c>
      <c r="AA215" s="27">
        <v>1</v>
      </c>
      <c r="AB215" s="27">
        <v>0.77519379844961245</v>
      </c>
      <c r="AC215" s="27">
        <v>0.77519379844961245</v>
      </c>
    </row>
    <row r="216" spans="2:29" x14ac:dyDescent="0.25">
      <c r="B216"/>
      <c r="C216"/>
      <c r="D216"/>
      <c r="E216"/>
      <c r="F216"/>
      <c r="Z216" s="26" t="s">
        <v>153</v>
      </c>
      <c r="AA216" s="27">
        <v>1</v>
      </c>
      <c r="AB216" s="27">
        <v>1</v>
      </c>
      <c r="AC216" s="27">
        <v>1</v>
      </c>
    </row>
    <row r="217" spans="2:29" x14ac:dyDescent="0.25">
      <c r="B217"/>
      <c r="C217"/>
      <c r="D217"/>
      <c r="E217"/>
      <c r="F217"/>
      <c r="Z217" s="26" t="s">
        <v>154</v>
      </c>
      <c r="AA217" s="27">
        <v>1</v>
      </c>
      <c r="AB217" s="27">
        <v>1</v>
      </c>
      <c r="AC217" s="27">
        <v>1</v>
      </c>
    </row>
    <row r="218" spans="2:29" x14ac:dyDescent="0.25">
      <c r="B218" s="29" t="s">
        <v>3</v>
      </c>
      <c r="C218" t="s">
        <v>74</v>
      </c>
      <c r="E218" s="16"/>
      <c r="F218" s="13"/>
      <c r="Z218" s="26" t="s">
        <v>155</v>
      </c>
      <c r="AA218" s="27">
        <v>1</v>
      </c>
      <c r="AB218" s="27">
        <v>1</v>
      </c>
      <c r="AC218" s="27">
        <v>1</v>
      </c>
    </row>
    <row r="219" spans="2:29" x14ac:dyDescent="0.25">
      <c r="B219" s="29" t="s">
        <v>295</v>
      </c>
      <c r="C219" t="s">
        <v>74</v>
      </c>
      <c r="F219" s="13"/>
      <c r="Z219" s="26" t="s">
        <v>156</v>
      </c>
      <c r="AA219" s="27">
        <v>1</v>
      </c>
      <c r="AB219" s="27">
        <v>1</v>
      </c>
      <c r="AC219" s="27">
        <v>0.83333333333333337</v>
      </c>
    </row>
    <row r="220" spans="2:29" x14ac:dyDescent="0.25">
      <c r="F220" s="13"/>
      <c r="Z220" s="26" t="s">
        <v>175</v>
      </c>
      <c r="AA220" s="27">
        <v>1</v>
      </c>
      <c r="AB220" s="27">
        <v>0.84690553745928343</v>
      </c>
      <c r="AC220" s="27">
        <v>1</v>
      </c>
    </row>
    <row r="221" spans="2:29" x14ac:dyDescent="0.25">
      <c r="B221" s="29" t="s">
        <v>735</v>
      </c>
      <c r="C221" s="29" t="s">
        <v>256</v>
      </c>
      <c r="D221"/>
      <c r="E221"/>
      <c r="F221"/>
      <c r="G221"/>
      <c r="H221"/>
      <c r="I221"/>
      <c r="J221"/>
      <c r="K221"/>
      <c r="L221"/>
      <c r="M221"/>
      <c r="Z221" s="26" t="s">
        <v>176</v>
      </c>
      <c r="AA221" s="27">
        <v>1</v>
      </c>
      <c r="AB221" s="27">
        <v>0.44776119402985076</v>
      </c>
      <c r="AC221" s="27">
        <v>1</v>
      </c>
    </row>
    <row r="222" spans="2:29" x14ac:dyDescent="0.25">
      <c r="B222" s="29" t="s">
        <v>242</v>
      </c>
      <c r="C222" s="385" t="s">
        <v>264</v>
      </c>
      <c r="D222" s="385" t="s">
        <v>323</v>
      </c>
      <c r="E222" s="385" t="s">
        <v>265</v>
      </c>
      <c r="F222" s="385" t="s">
        <v>266</v>
      </c>
      <c r="G222" s="385" t="s">
        <v>267</v>
      </c>
      <c r="H222" s="385" t="s">
        <v>268</v>
      </c>
      <c r="I222" s="385" t="s">
        <v>273</v>
      </c>
      <c r="J222" s="385" t="s">
        <v>274</v>
      </c>
      <c r="K222" s="385" t="s">
        <v>275</v>
      </c>
      <c r="L222" s="385" t="s">
        <v>276</v>
      </c>
      <c r="M222" s="385" t="s">
        <v>73</v>
      </c>
      <c r="Z222" s="26" t="s">
        <v>177</v>
      </c>
      <c r="AA222" s="27">
        <v>1</v>
      </c>
      <c r="AB222" s="27">
        <v>1</v>
      </c>
      <c r="AC222" s="27">
        <v>1</v>
      </c>
    </row>
    <row r="223" spans="2:29" x14ac:dyDescent="0.25">
      <c r="B223" s="26" t="s">
        <v>218</v>
      </c>
      <c r="C223" s="375">
        <v>48.7</v>
      </c>
      <c r="D223" s="375">
        <v>52.250000000000007</v>
      </c>
      <c r="E223" s="375">
        <v>124.05000000000001</v>
      </c>
      <c r="F223" s="375">
        <v>0.20000000000000018</v>
      </c>
      <c r="G223" s="375">
        <v>413.79999999999995</v>
      </c>
      <c r="H223" s="375"/>
      <c r="I223" s="375">
        <v>85.149999999999991</v>
      </c>
      <c r="J223" s="375">
        <v>257.7</v>
      </c>
      <c r="K223" s="375">
        <v>141.70000000000002</v>
      </c>
      <c r="L223" s="375">
        <v>17.799999999999997</v>
      </c>
      <c r="M223" s="375">
        <v>1141.3499999999999</v>
      </c>
      <c r="Z223" s="26" t="s">
        <v>126</v>
      </c>
      <c r="AA223" s="27">
        <v>1</v>
      </c>
      <c r="AB223" s="27">
        <v>0.94736842105263153</v>
      </c>
      <c r="AC223" s="27">
        <v>1</v>
      </c>
    </row>
    <row r="224" spans="2:29" x14ac:dyDescent="0.25">
      <c r="B224" s="26" t="s">
        <v>226</v>
      </c>
      <c r="C224" s="375"/>
      <c r="D224" s="375">
        <v>43.65</v>
      </c>
      <c r="E224" s="375">
        <v>84.55</v>
      </c>
      <c r="F224" s="375"/>
      <c r="G224" s="375"/>
      <c r="H224" s="375">
        <v>592.04999999999995</v>
      </c>
      <c r="I224" s="375">
        <v>189.85000000000005</v>
      </c>
      <c r="J224" s="375"/>
      <c r="K224" s="375"/>
      <c r="L224" s="375">
        <v>22.3</v>
      </c>
      <c r="M224" s="375">
        <v>932.4</v>
      </c>
      <c r="Z224" s="26" t="s">
        <v>178</v>
      </c>
      <c r="AA224" s="27">
        <v>1</v>
      </c>
      <c r="AB224" s="27">
        <v>1</v>
      </c>
      <c r="AC224" s="27">
        <v>1</v>
      </c>
    </row>
    <row r="225" spans="1:29" x14ac:dyDescent="0.25">
      <c r="B225" s="26" t="s">
        <v>73</v>
      </c>
      <c r="C225" s="375">
        <v>48.7</v>
      </c>
      <c r="D225" s="375">
        <v>95.9</v>
      </c>
      <c r="E225" s="375">
        <v>208.60000000000002</v>
      </c>
      <c r="F225" s="375">
        <v>0.20000000000000018</v>
      </c>
      <c r="G225" s="375">
        <v>413.79999999999995</v>
      </c>
      <c r="H225" s="375">
        <v>592.04999999999995</v>
      </c>
      <c r="I225" s="375">
        <v>275.00000000000006</v>
      </c>
      <c r="J225" s="375">
        <v>257.7</v>
      </c>
      <c r="K225" s="375">
        <v>141.70000000000002</v>
      </c>
      <c r="L225" s="375">
        <v>40.099999999999994</v>
      </c>
      <c r="M225" s="375">
        <v>2073.75</v>
      </c>
      <c r="Z225" s="26" t="s">
        <v>157</v>
      </c>
      <c r="AA225" s="27">
        <v>1</v>
      </c>
      <c r="AB225" s="27">
        <v>1</v>
      </c>
      <c r="AC225" s="27">
        <v>1</v>
      </c>
    </row>
    <row r="226" spans="1:29" x14ac:dyDescent="0.25">
      <c r="B226"/>
      <c r="C226"/>
      <c r="D226"/>
      <c r="E226"/>
      <c r="F226" s="13"/>
      <c r="Z226" s="26" t="s">
        <v>185</v>
      </c>
      <c r="AA226" s="27">
        <v>1</v>
      </c>
      <c r="AB226" s="27">
        <v>1</v>
      </c>
      <c r="AC226" s="27">
        <v>1</v>
      </c>
    </row>
    <row r="227" spans="1:29" x14ac:dyDescent="0.25">
      <c r="B227"/>
      <c r="C227"/>
      <c r="D227"/>
      <c r="E227"/>
      <c r="F227" s="13"/>
      <c r="Z227" s="26" t="s">
        <v>127</v>
      </c>
      <c r="AA227" s="27">
        <v>1</v>
      </c>
      <c r="AB227" s="27">
        <v>1</v>
      </c>
      <c r="AC227" s="27">
        <v>1</v>
      </c>
    </row>
    <row r="228" spans="1:29" x14ac:dyDescent="0.25">
      <c r="B228"/>
      <c r="C228"/>
      <c r="D228"/>
      <c r="E228"/>
      <c r="F228" s="13"/>
      <c r="Z228" s="26" t="s">
        <v>179</v>
      </c>
      <c r="AA228" s="27">
        <v>1</v>
      </c>
      <c r="AB228" s="27">
        <v>1</v>
      </c>
      <c r="AC228" s="27">
        <v>0.49180327868852458</v>
      </c>
    </row>
    <row r="229" spans="1:29" x14ac:dyDescent="0.25">
      <c r="B229"/>
      <c r="C229"/>
      <c r="D229"/>
      <c r="E229"/>
      <c r="F229" s="13"/>
      <c r="Z229" s="26" t="s">
        <v>213</v>
      </c>
      <c r="AA229" s="27">
        <v>1</v>
      </c>
      <c r="AB229" s="27">
        <v>1</v>
      </c>
      <c r="AC229" s="27">
        <v>0</v>
      </c>
    </row>
    <row r="230" spans="1:29" x14ac:dyDescent="0.25">
      <c r="B230"/>
      <c r="C230"/>
      <c r="D230"/>
      <c r="E230"/>
      <c r="F230" s="13"/>
      <c r="Z230" s="26" t="s">
        <v>789</v>
      </c>
      <c r="AA230" s="27">
        <v>1</v>
      </c>
      <c r="AB230" s="27">
        <v>1</v>
      </c>
      <c r="AC230" s="27">
        <v>1</v>
      </c>
    </row>
    <row r="231" spans="1:29" x14ac:dyDescent="0.25">
      <c r="B231"/>
      <c r="C231"/>
      <c r="D231"/>
      <c r="E231"/>
      <c r="F231" s="13"/>
      <c r="Z231" s="26" t="s">
        <v>829</v>
      </c>
      <c r="AA231" s="27">
        <v>1</v>
      </c>
      <c r="AB231" s="27">
        <v>1</v>
      </c>
      <c r="AC231" s="27">
        <v>0</v>
      </c>
    </row>
    <row r="232" spans="1:29" x14ac:dyDescent="0.25">
      <c r="B232"/>
      <c r="C232"/>
      <c r="D232"/>
      <c r="E232"/>
      <c r="F232" s="13"/>
      <c r="Z232" s="26" t="s">
        <v>830</v>
      </c>
      <c r="AA232" s="27">
        <v>0</v>
      </c>
      <c r="AB232" s="27">
        <v>1</v>
      </c>
      <c r="AC232" s="27">
        <v>0.99502487562189057</v>
      </c>
    </row>
    <row r="233" spans="1:29" x14ac:dyDescent="0.25">
      <c r="B233"/>
      <c r="C233"/>
      <c r="D233"/>
      <c r="E233"/>
      <c r="F233" s="13"/>
      <c r="Z233" s="26" t="s">
        <v>887</v>
      </c>
      <c r="AA233" s="27">
        <v>1</v>
      </c>
      <c r="AB233" s="27">
        <v>0.5357142857142857</v>
      </c>
      <c r="AC233" s="27">
        <v>0.44642857142857145</v>
      </c>
    </row>
    <row r="234" spans="1:29" x14ac:dyDescent="0.25">
      <c r="B234"/>
      <c r="C234"/>
      <c r="D234"/>
      <c r="E234"/>
      <c r="F234" s="13"/>
      <c r="Z234" s="26" t="s">
        <v>888</v>
      </c>
      <c r="AA234" s="27">
        <v>1</v>
      </c>
      <c r="AB234" s="27">
        <v>0.84388185654008441</v>
      </c>
      <c r="AC234" s="27">
        <v>0.84388185654008441</v>
      </c>
    </row>
    <row r="235" spans="1:29" x14ac:dyDescent="0.25">
      <c r="B235"/>
      <c r="C235"/>
      <c r="D235"/>
      <c r="E235"/>
      <c r="F235" s="13"/>
      <c r="Z235" s="26" t="s">
        <v>889</v>
      </c>
      <c r="AA235" s="27">
        <v>0</v>
      </c>
      <c r="AB235" s="27">
        <v>0</v>
      </c>
      <c r="AC235" s="27">
        <v>0</v>
      </c>
    </row>
    <row r="236" spans="1:29" x14ac:dyDescent="0.25">
      <c r="B236"/>
      <c r="C236"/>
      <c r="D236"/>
      <c r="E236"/>
      <c r="F236" s="13"/>
      <c r="Z236" s="26" t="s">
        <v>892</v>
      </c>
      <c r="AA236" s="27">
        <v>1</v>
      </c>
      <c r="AB236" s="27">
        <v>0.48484848484848486</v>
      </c>
      <c r="AC236" s="27">
        <v>0</v>
      </c>
    </row>
    <row r="237" spans="1:29" x14ac:dyDescent="0.25">
      <c r="B237"/>
      <c r="C237"/>
      <c r="D237"/>
      <c r="E237"/>
      <c r="F237" s="13"/>
      <c r="Z237" s="26" t="s">
        <v>73</v>
      </c>
      <c r="AA237" s="27">
        <v>0.94593237727282631</v>
      </c>
      <c r="AB237" s="27">
        <v>0.86574553074454852</v>
      </c>
      <c r="AC237" s="27">
        <v>0.48202475279942375</v>
      </c>
    </row>
    <row r="238" spans="1:29" x14ac:dyDescent="0.25">
      <c r="A238" s="12"/>
      <c r="B238"/>
      <c r="C238"/>
      <c r="D238"/>
      <c r="E238"/>
      <c r="F238" s="13"/>
      <c r="O238" s="12"/>
      <c r="Z238"/>
      <c r="AA238"/>
      <c r="AB238"/>
      <c r="AC238"/>
    </row>
    <row r="239" spans="1:29" s="12" customFormat="1" x14ac:dyDescent="0.25">
      <c r="B239"/>
      <c r="C239"/>
      <c r="D239"/>
      <c r="E239"/>
      <c r="F239" s="13"/>
      <c r="G239" s="11"/>
      <c r="H239" s="11"/>
      <c r="I239" s="11"/>
      <c r="J239" s="11"/>
      <c r="K239" s="11"/>
      <c r="L239" s="11"/>
      <c r="M239" s="11"/>
      <c r="N239" s="11"/>
      <c r="Z239"/>
      <c r="AA239"/>
      <c r="AB239"/>
      <c r="AC239"/>
    </row>
    <row r="240" spans="1:29" s="12" customFormat="1" x14ac:dyDescent="0.25">
      <c r="B240"/>
      <c r="C240"/>
      <c r="D240"/>
      <c r="E240"/>
      <c r="F240" s="13"/>
      <c r="G240" s="11"/>
      <c r="H240" s="11"/>
      <c r="I240" s="11"/>
      <c r="J240" s="11"/>
      <c r="K240" s="11"/>
      <c r="L240" s="11"/>
      <c r="M240" s="11"/>
      <c r="N240" s="11"/>
      <c r="Z240"/>
      <c r="AA240"/>
      <c r="AB240"/>
      <c r="AC240"/>
    </row>
    <row r="241" spans="2:29" s="12" customFormat="1" x14ac:dyDescent="0.25">
      <c r="B241"/>
      <c r="C241"/>
      <c r="D241"/>
      <c r="E241"/>
      <c r="F241" s="13"/>
      <c r="G241" s="11"/>
      <c r="H241" s="11"/>
      <c r="I241" s="11"/>
      <c r="J241" s="11"/>
      <c r="K241" s="11"/>
      <c r="L241" s="11"/>
      <c r="M241" s="11"/>
      <c r="N241" s="11"/>
      <c r="Z241"/>
      <c r="AA241"/>
      <c r="AB241"/>
      <c r="AC241"/>
    </row>
    <row r="242" spans="2:29" s="12" customFormat="1" x14ac:dyDescent="0.25">
      <c r="B242"/>
      <c r="C242"/>
      <c r="D242"/>
      <c r="E242"/>
      <c r="F242" s="13"/>
      <c r="G242" s="11"/>
      <c r="H242" s="11"/>
      <c r="I242" s="11"/>
      <c r="J242" s="11"/>
      <c r="K242" s="11"/>
      <c r="L242" s="11"/>
      <c r="M242" s="11"/>
      <c r="N242" s="11"/>
      <c r="Z242"/>
      <c r="AA242"/>
      <c r="AB242"/>
      <c r="AC242"/>
    </row>
    <row r="243" spans="2:29" s="12" customFormat="1" x14ac:dyDescent="0.25">
      <c r="B243" s="11"/>
      <c r="C243" s="14"/>
      <c r="D243" s="14"/>
      <c r="E243" s="16"/>
      <c r="F243" s="13"/>
      <c r="G243" s="11"/>
      <c r="H243" s="11"/>
      <c r="I243" s="11"/>
      <c r="J243" s="11"/>
      <c r="K243" s="11"/>
      <c r="L243" s="11"/>
      <c r="M243" s="11"/>
      <c r="N243" s="11"/>
      <c r="Z243"/>
      <c r="AA243"/>
      <c r="AB243"/>
      <c r="AC243"/>
    </row>
    <row r="244" spans="2:29" s="12" customFormat="1" x14ac:dyDescent="0.25">
      <c r="B244" s="11"/>
      <c r="C244" s="14"/>
      <c r="D244" s="14"/>
      <c r="E244" s="16"/>
      <c r="F244" s="13"/>
      <c r="G244" s="11"/>
      <c r="H244" s="11"/>
      <c r="I244" s="11"/>
      <c r="J244" s="11"/>
      <c r="K244" s="11"/>
      <c r="L244" s="11"/>
      <c r="M244" s="11"/>
      <c r="N244" s="11"/>
      <c r="Z244"/>
      <c r="AA244"/>
      <c r="AB244"/>
      <c r="AC244"/>
    </row>
    <row r="245" spans="2:29" s="12" customFormat="1" x14ac:dyDescent="0.25">
      <c r="B245" s="11"/>
      <c r="C245" s="14"/>
      <c r="D245" s="14"/>
      <c r="E245" s="14"/>
      <c r="F245" s="11"/>
      <c r="G245" s="11"/>
      <c r="H245" s="11"/>
      <c r="I245" s="11"/>
      <c r="J245" s="11"/>
      <c r="K245" s="11"/>
      <c r="L245" s="11"/>
      <c r="M245" s="11"/>
      <c r="N245" s="11"/>
      <c r="Z245"/>
      <c r="AA245"/>
      <c r="AB245"/>
      <c r="AC245"/>
    </row>
    <row r="246" spans="2:29" s="12" customFormat="1" x14ac:dyDescent="0.25">
      <c r="B246" s="11"/>
      <c r="C246" s="14"/>
      <c r="D246" s="14"/>
      <c r="E246" s="14"/>
      <c r="F246" s="11"/>
      <c r="G246" s="11"/>
      <c r="H246" s="11"/>
      <c r="I246" s="11"/>
      <c r="J246" s="11"/>
      <c r="K246" s="11"/>
      <c r="L246" s="11"/>
      <c r="M246" s="11"/>
      <c r="N246" s="11"/>
      <c r="Z246"/>
      <c r="AA246"/>
      <c r="AB246"/>
      <c r="AC246"/>
    </row>
    <row r="247" spans="2:29" s="12" customFormat="1" x14ac:dyDescent="0.25">
      <c r="C247" s="16"/>
      <c r="D247" s="30"/>
      <c r="E247" s="15"/>
      <c r="Z247"/>
      <c r="AA247"/>
      <c r="AB247"/>
      <c r="AC247"/>
    </row>
    <row r="248" spans="2:29" s="12" customFormat="1" x14ac:dyDescent="0.25">
      <c r="C248" s="16"/>
      <c r="D248" s="30"/>
      <c r="E248" s="15"/>
      <c r="Z248"/>
      <c r="AA248"/>
      <c r="AB248"/>
      <c r="AC248"/>
    </row>
    <row r="249" spans="2:29" s="12" customFormat="1" x14ac:dyDescent="0.25">
      <c r="B249" s="29" t="s">
        <v>3</v>
      </c>
      <c r="C249" t="s">
        <v>509</v>
      </c>
      <c r="D249" s="30"/>
      <c r="E249" s="15"/>
      <c r="Z249"/>
      <c r="AA249"/>
      <c r="AB249"/>
      <c r="AC249"/>
    </row>
    <row r="250" spans="2:29" s="12" customFormat="1" x14ac:dyDescent="0.25">
      <c r="B250" s="29" t="s">
        <v>295</v>
      </c>
      <c r="C250" t="s">
        <v>74</v>
      </c>
      <c r="D250" s="14"/>
      <c r="E250" s="14"/>
      <c r="Z250"/>
      <c r="AA250"/>
      <c r="AB250"/>
      <c r="AC250"/>
    </row>
    <row r="251" spans="2:29" s="12" customFormat="1" x14ac:dyDescent="0.25">
      <c r="B251" s="11"/>
      <c r="C251" s="14"/>
      <c r="D251" s="14"/>
      <c r="E251" s="14"/>
      <c r="Z251"/>
      <c r="AA251"/>
      <c r="AB251"/>
      <c r="AC251"/>
    </row>
    <row r="252" spans="2:29" s="12" customFormat="1" ht="105" x14ac:dyDescent="0.25">
      <c r="B252" s="376" t="s">
        <v>242</v>
      </c>
      <c r="C252" s="383" t="s">
        <v>750</v>
      </c>
      <c r="D252" s="383" t="s">
        <v>751</v>
      </c>
      <c r="E252" s="386"/>
    </row>
    <row r="253" spans="2:29" s="12" customFormat="1" x14ac:dyDescent="0.25">
      <c r="B253" s="26" t="s">
        <v>180</v>
      </c>
      <c r="C253" s="371">
        <v>0.49554489376285127</v>
      </c>
      <c r="D253" s="371">
        <v>0.26525017135023987</v>
      </c>
      <c r="E253"/>
    </row>
    <row r="254" spans="2:29" s="12" customFormat="1" x14ac:dyDescent="0.25">
      <c r="B254" s="26" t="s">
        <v>107</v>
      </c>
      <c r="C254" s="371">
        <v>0.37360890302066774</v>
      </c>
      <c r="D254" s="371">
        <v>0.47416534181240061</v>
      </c>
      <c r="E254"/>
    </row>
    <row r="255" spans="2:29" s="12" customFormat="1" x14ac:dyDescent="0.25">
      <c r="B255" s="26" t="s">
        <v>110</v>
      </c>
      <c r="C255" s="371">
        <v>0.73387978142076504</v>
      </c>
      <c r="D255" s="371">
        <v>6.2295081967213117E-2</v>
      </c>
      <c r="E255"/>
    </row>
    <row r="256" spans="2:29" s="12" customFormat="1" x14ac:dyDescent="0.25">
      <c r="B256" s="26" t="s">
        <v>128</v>
      </c>
      <c r="C256" s="371">
        <v>0</v>
      </c>
      <c r="D256" s="371">
        <v>0</v>
      </c>
      <c r="E256"/>
    </row>
    <row r="257" spans="1:15" s="12" customFormat="1" x14ac:dyDescent="0.25">
      <c r="B257" s="26" t="s">
        <v>205</v>
      </c>
      <c r="C257" s="371">
        <v>0.18067846607669616</v>
      </c>
      <c r="D257" s="371">
        <v>0.76954277286135697</v>
      </c>
      <c r="E257"/>
    </row>
    <row r="258" spans="1:15" s="12" customFormat="1" x14ac:dyDescent="0.25">
      <c r="B258" s="26" t="s">
        <v>326</v>
      </c>
      <c r="C258" s="371">
        <v>0</v>
      </c>
      <c r="D258" s="371">
        <v>0.5714285714285714</v>
      </c>
      <c r="E258"/>
    </row>
    <row r="259" spans="1:15" s="12" customFormat="1" x14ac:dyDescent="0.25">
      <c r="B259" s="26" t="s">
        <v>186</v>
      </c>
      <c r="C259" s="371">
        <v>0.44157430020665039</v>
      </c>
      <c r="D259" s="371">
        <v>0.38286680443359006</v>
      </c>
      <c r="E259"/>
    </row>
    <row r="260" spans="1:15" s="12" customFormat="1" x14ac:dyDescent="0.25">
      <c r="B260" s="26" t="s">
        <v>187</v>
      </c>
      <c r="C260" s="371">
        <v>0.34883720930232559</v>
      </c>
      <c r="D260" s="371">
        <v>0.65116279069767447</v>
      </c>
      <c r="E260"/>
    </row>
    <row r="261" spans="1:15" s="12" customFormat="1" x14ac:dyDescent="0.25">
      <c r="B261" s="26" t="s">
        <v>225</v>
      </c>
      <c r="C261" s="371">
        <v>1</v>
      </c>
      <c r="D261" s="371">
        <v>0</v>
      </c>
      <c r="E261"/>
    </row>
    <row r="262" spans="1:15" s="12" customFormat="1" x14ac:dyDescent="0.25">
      <c r="B262" s="26" t="s">
        <v>133</v>
      </c>
      <c r="C262" s="371">
        <v>0.97419354838709682</v>
      </c>
      <c r="D262" s="371">
        <v>0</v>
      </c>
      <c r="E262"/>
    </row>
    <row r="263" spans="1:15" s="12" customFormat="1" x14ac:dyDescent="0.25">
      <c r="B263" s="26" t="s">
        <v>188</v>
      </c>
      <c r="C263" s="371">
        <v>0.84633644564013288</v>
      </c>
      <c r="D263" s="371">
        <v>0.10871973413514796</v>
      </c>
      <c r="E263"/>
    </row>
    <row r="264" spans="1:15" s="12" customFormat="1" x14ac:dyDescent="0.25">
      <c r="B264" s="26" t="s">
        <v>214</v>
      </c>
      <c r="C264" s="371">
        <v>0.11857707509881422</v>
      </c>
      <c r="D264" s="371">
        <v>0.88142292490118579</v>
      </c>
      <c r="E264"/>
    </row>
    <row r="265" spans="1:15" s="12" customFormat="1" x14ac:dyDescent="0.25">
      <c r="B265" s="26" t="s">
        <v>135</v>
      </c>
      <c r="C265" s="371">
        <v>0.84998393832316099</v>
      </c>
      <c r="D265" s="371">
        <v>4.1278509476389336E-2</v>
      </c>
      <c r="E265"/>
    </row>
    <row r="266" spans="1:15" s="12" customFormat="1" x14ac:dyDescent="0.25">
      <c r="B266" s="26" t="s">
        <v>538</v>
      </c>
      <c r="C266" s="371">
        <v>0.45763688760806914</v>
      </c>
      <c r="D266" s="371">
        <v>0.4265129682997118</v>
      </c>
      <c r="E266"/>
    </row>
    <row r="267" spans="1:15" s="12" customFormat="1" x14ac:dyDescent="0.25">
      <c r="B267" s="26" t="s">
        <v>232</v>
      </c>
      <c r="C267" s="371">
        <v>0.76923076923076927</v>
      </c>
      <c r="D267" s="371">
        <v>0.23076923076923073</v>
      </c>
      <c r="E267"/>
    </row>
    <row r="268" spans="1:15" s="12" customFormat="1" x14ac:dyDescent="0.25">
      <c r="B268" s="26" t="s">
        <v>224</v>
      </c>
      <c r="C268" s="371">
        <v>0</v>
      </c>
      <c r="D268" s="371">
        <v>0.72189349112426038</v>
      </c>
      <c r="E268"/>
    </row>
    <row r="269" spans="1:15" s="12" customFormat="1" x14ac:dyDescent="0.25">
      <c r="B269" s="26" t="s">
        <v>223</v>
      </c>
      <c r="C269" s="371">
        <v>0.87196467991169979</v>
      </c>
      <c r="D269" s="371">
        <v>0.12803532008830024</v>
      </c>
      <c r="E269"/>
    </row>
    <row r="270" spans="1:15" s="12" customFormat="1" x14ac:dyDescent="0.25">
      <c r="A270" s="11"/>
      <c r="B270" s="26" t="s">
        <v>158</v>
      </c>
      <c r="C270" s="371">
        <v>0.34524105676899347</v>
      </c>
      <c r="D270" s="371">
        <v>0.50420418926314747</v>
      </c>
      <c r="E270"/>
      <c r="O270" s="11"/>
    </row>
    <row r="271" spans="1:15" x14ac:dyDescent="0.25">
      <c r="B271" s="26" t="s">
        <v>885</v>
      </c>
      <c r="C271" s="371">
        <v>0</v>
      </c>
      <c r="D271" s="371">
        <v>0.13029315960912052</v>
      </c>
      <c r="E271"/>
      <c r="F271" s="12"/>
      <c r="G271" s="12"/>
      <c r="H271" s="12"/>
      <c r="I271" s="12"/>
      <c r="J271" s="12"/>
      <c r="K271" s="12"/>
      <c r="L271" s="12"/>
      <c r="M271" s="12"/>
      <c r="N271" s="12"/>
    </row>
    <row r="272" spans="1:15" x14ac:dyDescent="0.25">
      <c r="B272" s="26" t="s">
        <v>73</v>
      </c>
      <c r="C272" s="371">
        <v>0.55570689542269658</v>
      </c>
      <c r="D272" s="371">
        <v>0.31003863532185189</v>
      </c>
      <c r="E272"/>
      <c r="F272" s="12"/>
      <c r="G272" s="12"/>
      <c r="H272" s="12"/>
      <c r="I272" s="12"/>
      <c r="J272" s="12"/>
      <c r="K272" s="12"/>
      <c r="L272" s="12"/>
      <c r="M272" s="12"/>
      <c r="N272" s="12"/>
    </row>
    <row r="273" spans="2:14" x14ac:dyDescent="0.25">
      <c r="B273"/>
      <c r="C273"/>
      <c r="D273"/>
      <c r="E273"/>
      <c r="F273" s="12"/>
      <c r="G273" s="12"/>
      <c r="H273" s="12"/>
      <c r="I273" s="12"/>
      <c r="J273" s="12"/>
      <c r="K273" s="12"/>
      <c r="L273" s="12"/>
      <c r="M273" s="12"/>
      <c r="N273" s="12"/>
    </row>
    <row r="274" spans="2:14" x14ac:dyDescent="0.25">
      <c r="B274" s="12"/>
      <c r="C274" s="12"/>
      <c r="D274" s="12"/>
      <c r="E274" s="15"/>
      <c r="F274" s="12"/>
      <c r="G274" s="12"/>
      <c r="H274" s="12"/>
      <c r="I274" s="12"/>
      <c r="J274" s="12"/>
      <c r="K274" s="12"/>
      <c r="L274" s="12"/>
      <c r="M274" s="12"/>
      <c r="N274" s="12"/>
    </row>
    <row r="275" spans="2:14" x14ac:dyDescent="0.25">
      <c r="B275" s="12"/>
      <c r="C275" s="16"/>
      <c r="D275" s="15"/>
      <c r="E275" s="15"/>
      <c r="F275" s="12"/>
      <c r="G275" s="12"/>
      <c r="H275" s="12"/>
      <c r="I275" s="12"/>
      <c r="J275" s="12"/>
      <c r="K275" s="12"/>
      <c r="L275" s="12"/>
      <c r="M275" s="12"/>
      <c r="N275" s="12"/>
    </row>
    <row r="276" spans="2:14" x14ac:dyDescent="0.25">
      <c r="B276" s="12"/>
      <c r="C276" s="16"/>
      <c r="D276" s="15"/>
      <c r="E276" s="15"/>
      <c r="F276" s="12"/>
      <c r="G276" s="12"/>
      <c r="H276" s="12"/>
      <c r="I276" s="12"/>
      <c r="J276" s="12"/>
      <c r="K276" s="12"/>
      <c r="L276" s="12"/>
      <c r="M276" s="12"/>
      <c r="N276" s="12"/>
    </row>
    <row r="277" spans="2:14" x14ac:dyDescent="0.25">
      <c r="B277" s="12"/>
      <c r="C277" s="16"/>
      <c r="D277" s="15"/>
      <c r="E277" s="15"/>
      <c r="F277" s="12"/>
      <c r="G277" s="12"/>
      <c r="H277" s="12"/>
      <c r="I277" s="12"/>
      <c r="J277" s="12"/>
      <c r="K277" s="12"/>
      <c r="L277" s="12"/>
      <c r="M277" s="12"/>
      <c r="N277" s="12"/>
    </row>
    <row r="278" spans="2:14" x14ac:dyDescent="0.25">
      <c r="B278" s="12"/>
      <c r="C278" s="16"/>
      <c r="D278" s="15"/>
      <c r="E278" s="15"/>
      <c r="F278" s="12"/>
      <c r="G278" s="12"/>
      <c r="H278" s="12"/>
      <c r="I278" s="12"/>
      <c r="J278" s="12"/>
      <c r="K278" s="12"/>
      <c r="L278" s="12"/>
      <c r="M278" s="12"/>
      <c r="N278" s="12"/>
    </row>
    <row r="279" spans="2:14" x14ac:dyDescent="0.25">
      <c r="B279" s="29" t="s">
        <v>3</v>
      </c>
      <c r="C279" t="s">
        <v>509</v>
      </c>
    </row>
    <row r="280" spans="2:14" x14ac:dyDescent="0.25">
      <c r="B280" s="29" t="s">
        <v>295</v>
      </c>
      <c r="C280" t="s">
        <v>74</v>
      </c>
    </row>
    <row r="282" spans="2:14" ht="105" x14ac:dyDescent="0.25">
      <c r="B282" s="376" t="s">
        <v>242</v>
      </c>
      <c r="C282" s="383" t="s">
        <v>750</v>
      </c>
      <c r="D282" s="383" t="s">
        <v>759</v>
      </c>
    </row>
    <row r="283" spans="2:14" x14ac:dyDescent="0.25">
      <c r="B283" s="26" t="s">
        <v>264</v>
      </c>
      <c r="C283" s="371">
        <v>0.73387978142076504</v>
      </c>
      <c r="D283" s="371">
        <v>6.2295081967213117E-2</v>
      </c>
    </row>
    <row r="284" spans="2:14" x14ac:dyDescent="0.25">
      <c r="B284" s="26" t="s">
        <v>265</v>
      </c>
      <c r="C284" s="371">
        <v>0.80788291776366739</v>
      </c>
      <c r="D284" s="371">
        <v>7.6196376026018281E-2</v>
      </c>
    </row>
    <row r="285" spans="2:14" x14ac:dyDescent="0.25">
      <c r="B285" s="26" t="s">
        <v>266</v>
      </c>
      <c r="C285" s="371">
        <v>0.98746081504702199</v>
      </c>
      <c r="D285" s="371">
        <v>0</v>
      </c>
    </row>
    <row r="286" spans="2:14" x14ac:dyDescent="0.25">
      <c r="B286" s="26" t="s">
        <v>267</v>
      </c>
      <c r="C286" s="371">
        <v>0.52628398791540787</v>
      </c>
      <c r="D286" s="371">
        <v>0.27466551575312903</v>
      </c>
    </row>
    <row r="287" spans="2:14" x14ac:dyDescent="0.25">
      <c r="B287" s="26" t="s">
        <v>268</v>
      </c>
      <c r="C287" s="371">
        <v>0.49081422370324901</v>
      </c>
      <c r="D287" s="371">
        <v>0.41246108650852809</v>
      </c>
    </row>
    <row r="288" spans="2:14" x14ac:dyDescent="0.25">
      <c r="B288" s="26" t="s">
        <v>273</v>
      </c>
      <c r="C288" s="371">
        <v>0.67090518954144485</v>
      </c>
      <c r="D288" s="371">
        <v>0.22983390288484462</v>
      </c>
    </row>
    <row r="289" spans="2:6" x14ac:dyDescent="0.25">
      <c r="B289" s="26" t="s">
        <v>274</v>
      </c>
      <c r="C289" s="371">
        <v>0.2777040477770405</v>
      </c>
      <c r="D289" s="371">
        <v>0.53782349037823496</v>
      </c>
    </row>
    <row r="290" spans="2:6" x14ac:dyDescent="0.25">
      <c r="B290" s="26" t="s">
        <v>275</v>
      </c>
      <c r="C290" s="371">
        <v>0.14732411304870716</v>
      </c>
      <c r="D290" s="371">
        <v>0.6515333734215274</v>
      </c>
    </row>
    <row r="291" spans="2:6" x14ac:dyDescent="0.25">
      <c r="B291" s="26" t="s">
        <v>276</v>
      </c>
      <c r="C291" s="371">
        <v>0.40404040404040403</v>
      </c>
      <c r="D291" s="371">
        <v>0.59595959595959591</v>
      </c>
    </row>
    <row r="292" spans="2:6" x14ac:dyDescent="0.25">
      <c r="B292" s="26" t="s">
        <v>323</v>
      </c>
      <c r="C292" s="371">
        <v>0.34344172451589333</v>
      </c>
      <c r="D292" s="371">
        <v>0.48776032151991233</v>
      </c>
    </row>
    <row r="293" spans="2:6" x14ac:dyDescent="0.25">
      <c r="B293" s="26" t="s">
        <v>73</v>
      </c>
      <c r="C293" s="371">
        <v>0.55570689542269658</v>
      </c>
      <c r="D293" s="371">
        <v>0.31003863532185189</v>
      </c>
    </row>
    <row r="294" spans="2:6" x14ac:dyDescent="0.25">
      <c r="B294"/>
      <c r="C294"/>
      <c r="D294"/>
    </row>
    <row r="295" spans="2:6" x14ac:dyDescent="0.25">
      <c r="B295"/>
      <c r="C295"/>
      <c r="D295"/>
    </row>
    <row r="296" spans="2:6" x14ac:dyDescent="0.25">
      <c r="E296" s="16"/>
      <c r="F296" s="13"/>
    </row>
    <row r="297" spans="2:6" x14ac:dyDescent="0.25">
      <c r="E297" s="16"/>
      <c r="F297" s="13"/>
    </row>
    <row r="298" spans="2:6" x14ac:dyDescent="0.25">
      <c r="E298" s="16"/>
      <c r="F298" s="13"/>
    </row>
    <row r="299" spans="2:6" x14ac:dyDescent="0.25">
      <c r="E299" s="16"/>
      <c r="F299" s="13"/>
    </row>
    <row r="300" spans="2:6" x14ac:dyDescent="0.25">
      <c r="E300" s="16"/>
      <c r="F300" s="13"/>
    </row>
    <row r="301" spans="2:6" x14ac:dyDescent="0.25">
      <c r="B301" s="29" t="s">
        <v>3</v>
      </c>
      <c r="C301" t="s">
        <v>74</v>
      </c>
      <c r="E301" s="16"/>
      <c r="F301" s="13"/>
    </row>
    <row r="302" spans="2:6" x14ac:dyDescent="0.25">
      <c r="B302" s="29" t="s">
        <v>295</v>
      </c>
      <c r="C302" t="s">
        <v>74</v>
      </c>
      <c r="E302" s="16"/>
      <c r="F302" s="13"/>
    </row>
    <row r="303" spans="2:6" x14ac:dyDescent="0.25">
      <c r="E303" s="16"/>
      <c r="F303" s="13"/>
    </row>
    <row r="304" spans="2:6" ht="105" x14ac:dyDescent="0.25">
      <c r="B304" s="376" t="s">
        <v>242</v>
      </c>
      <c r="C304" s="383" t="s">
        <v>752</v>
      </c>
      <c r="D304" s="383" t="s">
        <v>751</v>
      </c>
      <c r="E304" s="16"/>
      <c r="F304" s="13"/>
    </row>
    <row r="305" spans="1:15" x14ac:dyDescent="0.25">
      <c r="B305" s="26" t="s">
        <v>218</v>
      </c>
      <c r="C305" s="371">
        <v>0.54182348712310224</v>
      </c>
      <c r="D305" s="371">
        <v>0.28637882183786528</v>
      </c>
      <c r="E305" s="16"/>
      <c r="F305" s="13"/>
    </row>
    <row r="306" spans="1:15" x14ac:dyDescent="0.25">
      <c r="B306" s="26" t="s">
        <v>226</v>
      </c>
      <c r="C306" s="371">
        <v>0.54803434028550924</v>
      </c>
      <c r="D306" s="371">
        <v>0.32061654172542614</v>
      </c>
      <c r="E306" s="16"/>
      <c r="F306" s="13"/>
    </row>
    <row r="307" spans="1:15" x14ac:dyDescent="0.25">
      <c r="A307" s="12"/>
      <c r="B307" s="26" t="s">
        <v>73</v>
      </c>
      <c r="C307" s="371">
        <v>0.54468550841950447</v>
      </c>
      <c r="D307" s="371">
        <v>0.30215589479324617</v>
      </c>
      <c r="E307" s="16"/>
      <c r="F307" s="13"/>
      <c r="O307" s="12"/>
    </row>
    <row r="308" spans="1:15" s="12" customFormat="1" ht="24" customHeight="1" x14ac:dyDescent="0.25">
      <c r="A308" s="11"/>
      <c r="B308"/>
      <c r="C308"/>
      <c r="D308"/>
      <c r="E308" s="16"/>
      <c r="F308" s="13"/>
      <c r="G308" s="11"/>
      <c r="H308" s="11"/>
      <c r="I308" s="11"/>
      <c r="J308" s="11"/>
      <c r="K308" s="11"/>
      <c r="L308" s="11"/>
      <c r="M308" s="11"/>
      <c r="N308" s="11"/>
      <c r="O308" s="11"/>
    </row>
    <row r="309" spans="1:15" x14ac:dyDescent="0.25">
      <c r="B309"/>
      <c r="C309"/>
      <c r="D309"/>
      <c r="E309" s="16"/>
      <c r="F309" s="13"/>
    </row>
    <row r="310" spans="1:15" x14ac:dyDescent="0.25">
      <c r="B310"/>
      <c r="C310"/>
      <c r="D310"/>
      <c r="E310" s="16"/>
      <c r="F310" s="13"/>
    </row>
    <row r="311" spans="1:15" x14ac:dyDescent="0.25">
      <c r="B311"/>
      <c r="C311"/>
      <c r="D311"/>
      <c r="E311" s="16"/>
      <c r="F311" s="13"/>
    </row>
    <row r="312" spans="1:15" x14ac:dyDescent="0.25">
      <c r="B312"/>
      <c r="C312"/>
      <c r="D312"/>
      <c r="E312" s="16"/>
      <c r="F312" s="13"/>
    </row>
    <row r="313" spans="1:15" x14ac:dyDescent="0.25">
      <c r="B313"/>
      <c r="C313"/>
      <c r="D313"/>
      <c r="E313" s="16"/>
      <c r="F313" s="13"/>
    </row>
    <row r="314" spans="1:15" x14ac:dyDescent="0.25">
      <c r="B314"/>
      <c r="C314"/>
      <c r="D314"/>
      <c r="E314" s="16"/>
      <c r="F314" s="13"/>
    </row>
    <row r="315" spans="1:15" x14ac:dyDescent="0.25">
      <c r="B315"/>
      <c r="C315"/>
      <c r="D315"/>
      <c r="I315" s="12"/>
      <c r="J315" s="12"/>
      <c r="K315" s="12"/>
      <c r="L315" s="12"/>
      <c r="M315" s="12"/>
      <c r="N315" s="12"/>
    </row>
    <row r="316" spans="1:15" x14ac:dyDescent="0.25">
      <c r="A316" s="12"/>
      <c r="B316"/>
      <c r="C316"/>
      <c r="D316"/>
      <c r="I316" s="12"/>
      <c r="J316" s="12"/>
      <c r="K316" s="12"/>
      <c r="L316" s="12"/>
      <c r="M316" s="12"/>
      <c r="N316" s="12"/>
      <c r="O316" s="12"/>
    </row>
    <row r="317" spans="1:15" s="12" customFormat="1" x14ac:dyDescent="0.25">
      <c r="B317"/>
      <c r="C317"/>
      <c r="D317"/>
      <c r="E317" s="14"/>
      <c r="F317" s="11"/>
      <c r="G317" s="11"/>
      <c r="H317" s="11"/>
    </row>
    <row r="318" spans="1:15" s="12" customFormat="1" x14ac:dyDescent="0.25">
      <c r="B318" s="11"/>
      <c r="C318" s="14"/>
      <c r="D318" s="14"/>
      <c r="E318" s="14"/>
      <c r="F318" s="11"/>
      <c r="G318" s="11"/>
      <c r="H318" s="11"/>
    </row>
    <row r="319" spans="1:15" s="12" customFormat="1" x14ac:dyDescent="0.25">
      <c r="B319" s="29" t="s">
        <v>3</v>
      </c>
      <c r="C319" t="s">
        <v>509</v>
      </c>
      <c r="D319" s="14"/>
      <c r="E319" s="14"/>
      <c r="F319" s="11"/>
      <c r="G319" s="11"/>
      <c r="H319" s="11"/>
    </row>
    <row r="320" spans="1:15" s="12" customFormat="1" x14ac:dyDescent="0.25">
      <c r="B320" s="29" t="s">
        <v>295</v>
      </c>
      <c r="C320" t="s">
        <v>74</v>
      </c>
      <c r="D320" s="14"/>
      <c r="E320" s="14"/>
      <c r="F320" s="11"/>
      <c r="G320" s="11"/>
      <c r="H320" s="11"/>
    </row>
    <row r="321" spans="1:158" s="12" customFormat="1" x14ac:dyDescent="0.25">
      <c r="B321" s="11"/>
      <c r="C321" s="14"/>
      <c r="D321" s="14"/>
      <c r="E321" s="14"/>
      <c r="F321" s="11"/>
      <c r="G321" s="11"/>
      <c r="H321" s="11"/>
    </row>
    <row r="322" spans="1:158" s="12" customFormat="1" ht="135" x14ac:dyDescent="0.25">
      <c r="B322" s="376" t="s">
        <v>242</v>
      </c>
      <c r="C322" s="386" t="s">
        <v>746</v>
      </c>
      <c r="D322" s="386" t="s">
        <v>757</v>
      </c>
      <c r="E322" s="14"/>
      <c r="F322" s="11"/>
      <c r="G322" s="11"/>
      <c r="H322" s="11"/>
    </row>
    <row r="323" spans="1:158" s="12" customFormat="1" x14ac:dyDescent="0.25">
      <c r="B323" s="26" t="s">
        <v>218</v>
      </c>
      <c r="C323" s="371">
        <v>0.83320048281673464</v>
      </c>
      <c r="D323" s="371">
        <v>1.9623539593249875E-2</v>
      </c>
      <c r="E323" s="14"/>
      <c r="F323" s="11"/>
      <c r="G323" s="11"/>
      <c r="H323" s="11"/>
    </row>
    <row r="324" spans="1:158" s="12" customFormat="1" x14ac:dyDescent="0.25">
      <c r="B324" s="26" t="s">
        <v>226</v>
      </c>
      <c r="C324" s="371">
        <v>0.90978857178080508</v>
      </c>
      <c r="D324" s="371">
        <v>6.7804968254184236E-6</v>
      </c>
      <c r="E324" s="14"/>
      <c r="F324" s="11"/>
      <c r="G324" s="11"/>
      <c r="H324" s="11"/>
    </row>
    <row r="325" spans="1:158" s="12" customFormat="1" x14ac:dyDescent="0.25">
      <c r="B325" s="26" t="s">
        <v>73</v>
      </c>
      <c r="C325" s="371">
        <v>0.86574553074454852</v>
      </c>
      <c r="D325" s="371">
        <v>1.1287669438805709E-2</v>
      </c>
      <c r="E325" s="14"/>
      <c r="F325" s="11"/>
      <c r="G325" s="11"/>
      <c r="H325" s="11"/>
    </row>
    <row r="326" spans="1:158" s="12" customFormat="1" x14ac:dyDescent="0.25">
      <c r="B326" s="11"/>
      <c r="C326" s="14"/>
      <c r="D326" s="14"/>
      <c r="E326" s="14"/>
      <c r="F326" s="11"/>
      <c r="G326" s="11"/>
      <c r="H326" s="11"/>
    </row>
    <row r="327" spans="1:158" s="12" customFormat="1" x14ac:dyDescent="0.25">
      <c r="A327" s="11"/>
      <c r="B327" s="11"/>
      <c r="C327" s="14"/>
      <c r="D327" s="14"/>
      <c r="E327" s="14"/>
      <c r="F327" s="11"/>
      <c r="G327" s="11"/>
      <c r="H327" s="11"/>
      <c r="O327" s="11"/>
    </row>
    <row r="328" spans="1:158" x14ac:dyDescent="0.25">
      <c r="I328" s="12"/>
      <c r="J328" s="12"/>
      <c r="K328" s="12"/>
      <c r="L328" s="12"/>
      <c r="M328" s="12"/>
      <c r="N328" s="12"/>
      <c r="O328"/>
    </row>
    <row r="329" spans="1:158" x14ac:dyDescent="0.25">
      <c r="B329" s="12"/>
      <c r="I329" s="12"/>
      <c r="J329" s="12"/>
      <c r="K329" s="12"/>
      <c r="L329" s="12"/>
      <c r="M329" s="12"/>
      <c r="N329" s="12"/>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row>
    <row r="330" spans="1:158" x14ac:dyDescent="0.25">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row>
    <row r="331" spans="1:158" x14ac:dyDescent="0.25">
      <c r="B331" s="29" t="s">
        <v>3</v>
      </c>
      <c r="C331" t="s">
        <v>74</v>
      </c>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row>
    <row r="332" spans="1:158" x14ac:dyDescent="0.25">
      <c r="B332" s="29" t="s">
        <v>295</v>
      </c>
      <c r="C332" t="s">
        <v>74</v>
      </c>
      <c r="E332"/>
      <c r="F332"/>
      <c r="G332"/>
      <c r="H332"/>
      <c r="I332"/>
      <c r="J332"/>
      <c r="K332"/>
      <c r="L332"/>
      <c r="M332"/>
      <c r="N332"/>
      <c r="O332"/>
      <c r="P332" s="386"/>
      <c r="Q332" s="386"/>
      <c r="R332" s="386"/>
      <c r="S332" s="386"/>
      <c r="T332" s="386"/>
      <c r="U332" s="386"/>
      <c r="V332" s="386"/>
      <c r="W332" s="386"/>
      <c r="X332" s="386"/>
      <c r="Y332" s="386"/>
      <c r="Z332" s="386"/>
      <c r="AA332" s="386"/>
      <c r="AB332" s="386"/>
      <c r="AC332" s="386"/>
      <c r="AD332" s="386"/>
      <c r="AE332" s="386"/>
      <c r="AF332" s="386"/>
      <c r="AG332" s="386"/>
      <c r="AH332" s="386"/>
      <c r="AI332" s="386"/>
      <c r="AJ332" s="386"/>
      <c r="AK332" s="386"/>
      <c r="AL332" s="386"/>
      <c r="AM332" s="386"/>
      <c r="AN332" s="386"/>
      <c r="AO332" s="386"/>
      <c r="AP332" s="386"/>
      <c r="AQ332" s="386"/>
      <c r="AR332" s="386"/>
      <c r="AS332" s="386"/>
      <c r="AT332" s="386"/>
      <c r="AU332" s="386"/>
      <c r="AV332" s="386"/>
      <c r="AW332" s="386"/>
      <c r="AX332" s="386"/>
      <c r="AY332" s="386"/>
      <c r="AZ332" s="386"/>
      <c r="BA332" s="386"/>
      <c r="BB332" s="386"/>
      <c r="BC332" s="386"/>
      <c r="BD332" s="386"/>
      <c r="BE332" s="386"/>
      <c r="BF332" s="386"/>
      <c r="BG332" s="386"/>
      <c r="BH332" s="386"/>
      <c r="BI332" s="386"/>
      <c r="BJ332" s="386"/>
      <c r="BK332" s="386"/>
      <c r="BL332" s="386"/>
      <c r="BM332" s="386"/>
      <c r="BN332" s="386"/>
      <c r="BO332" s="386"/>
      <c r="BP332" s="386"/>
      <c r="BQ332" s="386"/>
      <c r="BR332" s="386"/>
      <c r="BS332" s="386"/>
      <c r="BT332" s="386"/>
      <c r="BU332" s="386"/>
      <c r="BV332" s="386"/>
      <c r="BW332" s="386"/>
      <c r="BX332" s="386"/>
      <c r="BY332" s="386"/>
      <c r="BZ332" s="386"/>
      <c r="CA332" s="386"/>
      <c r="CB332" s="386"/>
      <c r="CC332" s="386"/>
      <c r="CD332" s="386"/>
      <c r="CE332" s="386"/>
      <c r="CF332" s="386"/>
      <c r="CG332" s="386"/>
      <c r="CH332" s="386"/>
      <c r="CI332" s="386"/>
      <c r="CJ332" s="386"/>
      <c r="CK332" s="386"/>
      <c r="CL332" s="386"/>
      <c r="CM332" s="386"/>
      <c r="CN332" s="386"/>
      <c r="CO332" s="386"/>
      <c r="CP332" s="386"/>
      <c r="CQ332" s="386"/>
      <c r="CR332" s="386"/>
      <c r="CS332" s="386"/>
      <c r="CT332" s="386"/>
      <c r="CU332" s="386"/>
      <c r="CV332" s="386"/>
      <c r="CW332" s="386"/>
      <c r="CX332" s="386"/>
      <c r="CY332" s="386"/>
      <c r="CZ332" s="386"/>
      <c r="DA332" s="386"/>
      <c r="DB332" s="386"/>
      <c r="DC332" s="386"/>
      <c r="DD332" s="386"/>
      <c r="DE332" s="386"/>
      <c r="DF332" s="386"/>
      <c r="DG332" s="386"/>
      <c r="DH332" s="386"/>
      <c r="DI332" s="386"/>
      <c r="DJ332" s="386"/>
      <c r="DK332" s="386"/>
      <c r="DL332" s="386"/>
      <c r="DM332" s="386"/>
      <c r="DN332" s="386"/>
      <c r="DO332" s="386"/>
      <c r="DP332" s="386"/>
      <c r="DQ332" s="386"/>
      <c r="DR332" s="386"/>
      <c r="DS332" s="386"/>
      <c r="DT332" s="386"/>
      <c r="DU332" s="386"/>
      <c r="DV332" s="386"/>
      <c r="DW332" s="386"/>
      <c r="DX332" s="386"/>
      <c r="DY332" s="386"/>
      <c r="DZ332" s="386"/>
      <c r="EA332" s="386"/>
      <c r="EB332" s="386"/>
      <c r="EC332" s="386"/>
      <c r="ED332" s="386"/>
      <c r="EE332" s="386"/>
      <c r="EF332" s="386"/>
      <c r="EG332" s="386"/>
      <c r="EH332" s="386"/>
      <c r="EI332" s="386"/>
      <c r="EJ332" s="386"/>
      <c r="EK332" s="386"/>
      <c r="EL332" s="386"/>
      <c r="EM332" s="386"/>
      <c r="EN332" s="386"/>
      <c r="EO332" s="386"/>
      <c r="EP332" s="386"/>
      <c r="EQ332" s="386"/>
      <c r="ER332" s="386"/>
      <c r="ES332" s="386"/>
      <c r="ET332" s="386"/>
      <c r="EU332" s="386"/>
      <c r="EV332" s="386"/>
      <c r="EW332" s="386"/>
      <c r="EX332" s="386"/>
      <c r="EY332" s="386"/>
      <c r="EZ332" s="386"/>
      <c r="FA332" s="386"/>
      <c r="FB332" s="386"/>
    </row>
    <row r="333" spans="1:158" x14ac:dyDescent="0.25">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row>
    <row r="334" spans="1:158" ht="120" x14ac:dyDescent="0.25">
      <c r="B334" s="376" t="s">
        <v>242</v>
      </c>
      <c r="C334" s="381" t="s">
        <v>747</v>
      </c>
      <c r="D334" s="381" t="s">
        <v>758</v>
      </c>
      <c r="E334" s="386"/>
      <c r="F334" s="386"/>
      <c r="G334" s="386"/>
      <c r="H334" s="386"/>
      <c r="I334" s="386"/>
      <c r="J334" s="386"/>
      <c r="K334" s="386"/>
      <c r="L334" s="386"/>
      <c r="M334" s="386"/>
      <c r="N334" s="386"/>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row>
    <row r="335" spans="1:158" x14ac:dyDescent="0.25">
      <c r="B335" s="26" t="s">
        <v>218</v>
      </c>
      <c r="C335" s="382">
        <v>0.54520658011587098</v>
      </c>
      <c r="D335" s="382">
        <v>1.6285363893940128E-3</v>
      </c>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row>
    <row r="336" spans="1:158" x14ac:dyDescent="0.25">
      <c r="B336" s="26" t="s">
        <v>226</v>
      </c>
      <c r="C336" s="382">
        <v>0.368044731438185</v>
      </c>
      <c r="D336" s="382">
        <v>2.4152007719141734E-3</v>
      </c>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row>
    <row r="337" spans="2:158" x14ac:dyDescent="0.25">
      <c r="B337" s="26" t="s">
        <v>73</v>
      </c>
      <c r="C337" s="382">
        <v>0.46356868423152781</v>
      </c>
      <c r="D337" s="382">
        <v>1.9910389565970768E-3</v>
      </c>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row>
    <row r="338" spans="2:158" x14ac:dyDescent="0.25">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row>
    <row r="339" spans="2:158" x14ac:dyDescent="0.25">
      <c r="C339"/>
      <c r="D339"/>
      <c r="E339"/>
      <c r="F339"/>
      <c r="G339"/>
      <c r="H339"/>
      <c r="I339"/>
      <c r="J339"/>
      <c r="K339"/>
      <c r="L339"/>
      <c r="M339"/>
      <c r="N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row>
    <row r="340" spans="2:158" x14ac:dyDescent="0.25">
      <c r="C340"/>
      <c r="D340"/>
      <c r="E340"/>
      <c r="F340"/>
      <c r="G340"/>
      <c r="H340"/>
      <c r="I340"/>
      <c r="J340"/>
      <c r="K340"/>
      <c r="L340"/>
      <c r="M340"/>
      <c r="N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row>
    <row r="341" spans="2:158" x14ac:dyDescent="0.25">
      <c r="E341" s="16"/>
      <c r="F341" s="13"/>
    </row>
    <row r="342" spans="2:158" x14ac:dyDescent="0.25">
      <c r="E342" s="16"/>
      <c r="F342" s="13"/>
    </row>
    <row r="343" spans="2:158" ht="21" x14ac:dyDescent="0.25">
      <c r="B343" s="370" t="s">
        <v>98</v>
      </c>
      <c r="C343" s="36"/>
      <c r="D343" s="36"/>
      <c r="E343" s="36"/>
      <c r="F343" s="36"/>
      <c r="G343" s="36"/>
      <c r="H343" s="36"/>
      <c r="I343" s="36"/>
      <c r="J343" s="36"/>
      <c r="K343" s="36"/>
      <c r="L343" s="36"/>
      <c r="M343" s="36"/>
      <c r="N343" s="37"/>
    </row>
    <row r="344" spans="2:158" x14ac:dyDescent="0.25">
      <c r="E344" s="16"/>
      <c r="F344" s="13"/>
    </row>
    <row r="345" spans="2:158" x14ac:dyDescent="0.25">
      <c r="E345" s="16"/>
      <c r="F345" s="13"/>
    </row>
    <row r="346" spans="2:158" x14ac:dyDescent="0.25">
      <c r="B346" s="29" t="s">
        <v>3</v>
      </c>
      <c r="C346" t="s">
        <v>509</v>
      </c>
    </row>
    <row r="347" spans="2:158" x14ac:dyDescent="0.25">
      <c r="B347" s="29" t="s">
        <v>0</v>
      </c>
      <c r="C347" t="s">
        <v>74</v>
      </c>
    </row>
    <row r="348" spans="2:158" x14ac:dyDescent="0.25">
      <c r="B348" s="29" t="s">
        <v>4</v>
      </c>
      <c r="C348" t="s">
        <v>74</v>
      </c>
    </row>
    <row r="349" spans="2:158" x14ac:dyDescent="0.25">
      <c r="B349" s="29" t="s">
        <v>295</v>
      </c>
      <c r="C349" t="s">
        <v>74</v>
      </c>
    </row>
    <row r="351" spans="2:158" x14ac:dyDescent="0.25">
      <c r="B351" s="29" t="s">
        <v>242</v>
      </c>
      <c r="C351" s="385" t="s">
        <v>753</v>
      </c>
      <c r="D351"/>
    </row>
    <row r="352" spans="2:158" x14ac:dyDescent="0.25">
      <c r="B352" s="373">
        <v>0</v>
      </c>
      <c r="C352" s="372">
        <v>7477</v>
      </c>
      <c r="D352"/>
    </row>
    <row r="353" spans="2:4" x14ac:dyDescent="0.25">
      <c r="B353" s="373">
        <v>2</v>
      </c>
      <c r="C353" s="372">
        <v>120</v>
      </c>
      <c r="D353"/>
    </row>
    <row r="354" spans="2:4" x14ac:dyDescent="0.25">
      <c r="B354" s="373">
        <v>3</v>
      </c>
      <c r="C354" s="372">
        <v>2064</v>
      </c>
      <c r="D354"/>
    </row>
    <row r="355" spans="2:4" x14ac:dyDescent="0.25">
      <c r="B355" s="373">
        <v>4</v>
      </c>
      <c r="C355" s="372">
        <v>888</v>
      </c>
    </row>
    <row r="356" spans="2:4" x14ac:dyDescent="0.25">
      <c r="B356" s="373">
        <v>5</v>
      </c>
      <c r="C356" s="372">
        <v>1542</v>
      </c>
    </row>
    <row r="357" spans="2:4" x14ac:dyDescent="0.25">
      <c r="B357" s="373">
        <v>6</v>
      </c>
      <c r="C357" s="372">
        <v>72</v>
      </c>
    </row>
    <row r="358" spans="2:4" x14ac:dyDescent="0.25">
      <c r="B358" s="373">
        <v>7</v>
      </c>
      <c r="C358" s="372">
        <v>150</v>
      </c>
    </row>
    <row r="359" spans="2:4" x14ac:dyDescent="0.25">
      <c r="B359" s="373">
        <v>8</v>
      </c>
      <c r="C359" s="372">
        <v>444</v>
      </c>
    </row>
    <row r="360" spans="2:4" x14ac:dyDescent="0.25">
      <c r="B360" s="373">
        <v>9</v>
      </c>
      <c r="C360" s="372">
        <v>837</v>
      </c>
    </row>
    <row r="361" spans="2:4" x14ac:dyDescent="0.25">
      <c r="B361" s="373">
        <v>10</v>
      </c>
      <c r="C361" s="372">
        <v>257</v>
      </c>
    </row>
    <row r="362" spans="2:4" x14ac:dyDescent="0.25">
      <c r="B362" s="373">
        <v>11</v>
      </c>
      <c r="C362" s="372">
        <v>15</v>
      </c>
    </row>
    <row r="363" spans="2:4" x14ac:dyDescent="0.25">
      <c r="B363" s="373">
        <v>12</v>
      </c>
      <c r="C363" s="372">
        <v>1701</v>
      </c>
    </row>
    <row r="364" spans="2:4" x14ac:dyDescent="0.25">
      <c r="B364" s="26" t="s">
        <v>73</v>
      </c>
      <c r="C364" s="372">
        <v>15567</v>
      </c>
    </row>
    <row r="365" spans="2:4" x14ac:dyDescent="0.25">
      <c r="B365"/>
      <c r="C365"/>
    </row>
    <row r="366" spans="2:4" x14ac:dyDescent="0.25">
      <c r="B366"/>
      <c r="C366"/>
    </row>
    <row r="367" spans="2:4" x14ac:dyDescent="0.25">
      <c r="B367"/>
      <c r="C367"/>
    </row>
    <row r="368" spans="2:4" x14ac:dyDescent="0.25">
      <c r="B368" s="12"/>
      <c r="C368" s="16"/>
    </row>
    <row r="369" spans="2:3" x14ac:dyDescent="0.25">
      <c r="B369" s="12"/>
      <c r="C369" s="16"/>
    </row>
    <row r="370" spans="2:3" x14ac:dyDescent="0.25">
      <c r="B370" s="29" t="s">
        <v>3</v>
      </c>
      <c r="C370" t="s">
        <v>509</v>
      </c>
    </row>
    <row r="371" spans="2:3" x14ac:dyDescent="0.25">
      <c r="B371" s="29" t="s">
        <v>4</v>
      </c>
      <c r="C371" t="s">
        <v>74</v>
      </c>
    </row>
    <row r="372" spans="2:3" x14ac:dyDescent="0.25">
      <c r="B372" s="29" t="s">
        <v>295</v>
      </c>
      <c r="C372" t="s">
        <v>74</v>
      </c>
    </row>
    <row r="374" spans="2:3" x14ac:dyDescent="0.25">
      <c r="B374" s="29" t="s">
        <v>242</v>
      </c>
      <c r="C374" t="s">
        <v>736</v>
      </c>
    </row>
    <row r="375" spans="2:3" x14ac:dyDescent="0.25">
      <c r="B375" s="26" t="s">
        <v>180</v>
      </c>
      <c r="C375" s="371">
        <v>0.99515453373269835</v>
      </c>
    </row>
    <row r="376" spans="2:3" x14ac:dyDescent="0.25">
      <c r="B376" s="26" t="s">
        <v>107</v>
      </c>
      <c r="C376" s="371">
        <v>0.98947713653596014</v>
      </c>
    </row>
    <row r="377" spans="2:3" x14ac:dyDescent="0.25">
      <c r="B377" s="26" t="s">
        <v>110</v>
      </c>
      <c r="C377" s="371">
        <v>0.20683060109289617</v>
      </c>
    </row>
    <row r="378" spans="2:3" x14ac:dyDescent="0.25">
      <c r="B378" s="26" t="s">
        <v>128</v>
      </c>
      <c r="C378" s="371">
        <v>0</v>
      </c>
    </row>
    <row r="379" spans="2:3" x14ac:dyDescent="0.25">
      <c r="B379" s="26" t="s">
        <v>205</v>
      </c>
      <c r="C379" s="371">
        <v>0</v>
      </c>
    </row>
    <row r="380" spans="2:3" x14ac:dyDescent="0.25">
      <c r="B380" s="26" t="s">
        <v>326</v>
      </c>
      <c r="C380" s="371">
        <v>0</v>
      </c>
    </row>
    <row r="381" spans="2:3" x14ac:dyDescent="0.25">
      <c r="B381" s="26" t="s">
        <v>186</v>
      </c>
      <c r="C381" s="371">
        <v>0.8131350157038516</v>
      </c>
    </row>
    <row r="382" spans="2:3" x14ac:dyDescent="0.25">
      <c r="B382" s="26" t="s">
        <v>187</v>
      </c>
      <c r="C382" s="371">
        <v>0</v>
      </c>
    </row>
    <row r="383" spans="2:3" x14ac:dyDescent="0.25">
      <c r="B383" s="26" t="s">
        <v>225</v>
      </c>
      <c r="C383" s="371">
        <v>1</v>
      </c>
    </row>
    <row r="384" spans="2:3" x14ac:dyDescent="0.25">
      <c r="B384" s="26" t="s">
        <v>133</v>
      </c>
      <c r="C384" s="371">
        <v>1</v>
      </c>
    </row>
    <row r="385" spans="2:3" x14ac:dyDescent="0.25">
      <c r="B385" s="26" t="s">
        <v>188</v>
      </c>
      <c r="C385" s="371">
        <v>0.4520515136625281</v>
      </c>
    </row>
    <row r="386" spans="2:3" x14ac:dyDescent="0.25">
      <c r="B386" s="26" t="s">
        <v>214</v>
      </c>
      <c r="C386" s="371">
        <v>0.89716089848645519</v>
      </c>
    </row>
    <row r="387" spans="2:3" x14ac:dyDescent="0.25">
      <c r="B387" s="26" t="s">
        <v>135</v>
      </c>
      <c r="C387" s="371">
        <v>1</v>
      </c>
    </row>
    <row r="388" spans="2:3" x14ac:dyDescent="0.25">
      <c r="B388" s="26" t="s">
        <v>538</v>
      </c>
      <c r="C388" s="371">
        <v>0.54005763688760811</v>
      </c>
    </row>
    <row r="389" spans="2:3" x14ac:dyDescent="0.25">
      <c r="B389" s="26" t="s">
        <v>232</v>
      </c>
      <c r="C389" s="371">
        <v>0</v>
      </c>
    </row>
    <row r="390" spans="2:3" x14ac:dyDescent="0.25">
      <c r="B390" s="26" t="s">
        <v>224</v>
      </c>
      <c r="C390" s="371">
        <v>0</v>
      </c>
    </row>
    <row r="391" spans="2:3" x14ac:dyDescent="0.25">
      <c r="B391" s="26" t="s">
        <v>223</v>
      </c>
      <c r="C391" s="371">
        <v>0.87447320891029501</v>
      </c>
    </row>
    <row r="392" spans="2:3" x14ac:dyDescent="0.25">
      <c r="B392" s="26" t="s">
        <v>158</v>
      </c>
      <c r="C392" s="371">
        <v>0.79710433354893273</v>
      </c>
    </row>
    <row r="393" spans="2:3" x14ac:dyDescent="0.25">
      <c r="B393" s="26" t="s">
        <v>885</v>
      </c>
      <c r="C393" s="371">
        <v>0</v>
      </c>
    </row>
    <row r="394" spans="2:3" x14ac:dyDescent="0.25">
      <c r="B394" s="26" t="s">
        <v>73</v>
      </c>
      <c r="C394" s="371">
        <v>0.68214854952601345</v>
      </c>
    </row>
    <row r="395" spans="2:3" x14ac:dyDescent="0.25">
      <c r="B395"/>
      <c r="C395"/>
    </row>
    <row r="396" spans="2:3" x14ac:dyDescent="0.25">
      <c r="B396" s="12"/>
      <c r="C396" s="16"/>
    </row>
    <row r="397" spans="2:3" x14ac:dyDescent="0.25">
      <c r="B397" s="12"/>
      <c r="C397" s="16"/>
    </row>
    <row r="398" spans="2:3" x14ac:dyDescent="0.25">
      <c r="B398" s="29" t="s">
        <v>3</v>
      </c>
      <c r="C398" t="s">
        <v>509</v>
      </c>
    </row>
    <row r="399" spans="2:3" x14ac:dyDescent="0.25">
      <c r="B399" s="29" t="s">
        <v>4</v>
      </c>
      <c r="C399" t="s">
        <v>74</v>
      </c>
    </row>
    <row r="400" spans="2:3" x14ac:dyDescent="0.25">
      <c r="B400" s="29" t="s">
        <v>295</v>
      </c>
      <c r="C400" t="s">
        <v>74</v>
      </c>
    </row>
    <row r="402" spans="2:3" x14ac:dyDescent="0.25">
      <c r="B402" s="29" t="s">
        <v>242</v>
      </c>
      <c r="C402" t="s">
        <v>754</v>
      </c>
    </row>
    <row r="403" spans="2:3" x14ac:dyDescent="0.25">
      <c r="B403" s="26" t="s">
        <v>264</v>
      </c>
      <c r="C403" s="371">
        <v>0.20683060109289617</v>
      </c>
    </row>
    <row r="404" spans="2:3" x14ac:dyDescent="0.25">
      <c r="B404" s="26" t="s">
        <v>265</v>
      </c>
      <c r="C404" s="371">
        <v>1</v>
      </c>
    </row>
    <row r="405" spans="2:3" x14ac:dyDescent="0.25">
      <c r="B405" s="26" t="s">
        <v>266</v>
      </c>
      <c r="C405" s="371">
        <v>1</v>
      </c>
    </row>
    <row r="406" spans="2:3" x14ac:dyDescent="0.25">
      <c r="B406" s="26" t="s">
        <v>267</v>
      </c>
      <c r="C406" s="371">
        <v>0.91755749595954261</v>
      </c>
    </row>
    <row r="407" spans="2:3" x14ac:dyDescent="0.25">
      <c r="B407" s="26" t="s">
        <v>268</v>
      </c>
      <c r="C407" s="371">
        <v>0.40921646862805278</v>
      </c>
    </row>
    <row r="408" spans="2:3" x14ac:dyDescent="0.25">
      <c r="B408" s="26" t="s">
        <v>273</v>
      </c>
      <c r="C408" s="371">
        <v>0.91163164731851287</v>
      </c>
    </row>
    <row r="409" spans="2:3" x14ac:dyDescent="0.25">
      <c r="B409" s="26" t="s">
        <v>274</v>
      </c>
      <c r="C409" s="371">
        <v>0.69209744768316972</v>
      </c>
    </row>
    <row r="410" spans="2:3" x14ac:dyDescent="0.25">
      <c r="B410" s="26" t="s">
        <v>275</v>
      </c>
      <c r="C410" s="371">
        <v>0</v>
      </c>
    </row>
    <row r="411" spans="2:3" x14ac:dyDescent="0.25">
      <c r="B411" s="26" t="s">
        <v>276</v>
      </c>
      <c r="C411" s="371">
        <v>0</v>
      </c>
    </row>
    <row r="412" spans="2:3" x14ac:dyDescent="0.25">
      <c r="B412" s="26" t="s">
        <v>323</v>
      </c>
      <c r="C412" s="371">
        <v>0.90958146712622423</v>
      </c>
    </row>
    <row r="413" spans="2:3" x14ac:dyDescent="0.25">
      <c r="B413" s="26" t="s">
        <v>73</v>
      </c>
      <c r="C413" s="371">
        <v>0.68214854952601367</v>
      </c>
    </row>
    <row r="414" spans="2:3" x14ac:dyDescent="0.25">
      <c r="B414"/>
      <c r="C414"/>
    </row>
    <row r="415" spans="2:3" x14ac:dyDescent="0.25">
      <c r="B415"/>
      <c r="C415"/>
    </row>
    <row r="416" spans="2:3" x14ac:dyDescent="0.25">
      <c r="B416"/>
      <c r="C416"/>
    </row>
    <row r="417" spans="2:3" x14ac:dyDescent="0.25">
      <c r="B417"/>
      <c r="C417"/>
    </row>
    <row r="418" spans="2:3" x14ac:dyDescent="0.25">
      <c r="B418"/>
      <c r="C418"/>
    </row>
    <row r="419" spans="2:3" x14ac:dyDescent="0.25">
      <c r="B419"/>
      <c r="C419"/>
    </row>
    <row r="420" spans="2:3" x14ac:dyDescent="0.25">
      <c r="B420"/>
      <c r="C420"/>
    </row>
    <row r="421" spans="2:3" x14ac:dyDescent="0.25">
      <c r="B421" s="29" t="s">
        <v>3</v>
      </c>
      <c r="C421" t="s">
        <v>74</v>
      </c>
    </row>
    <row r="422" spans="2:3" x14ac:dyDescent="0.25">
      <c r="B422" s="29" t="s">
        <v>263</v>
      </c>
      <c r="C422" t="s">
        <v>74</v>
      </c>
    </row>
    <row r="423" spans="2:3" x14ac:dyDescent="0.25">
      <c r="B423" s="29" t="s">
        <v>295</v>
      </c>
      <c r="C423" t="s">
        <v>74</v>
      </c>
    </row>
    <row r="425" spans="2:3" x14ac:dyDescent="0.25">
      <c r="B425" s="29" t="s">
        <v>242</v>
      </c>
      <c r="C425" t="s">
        <v>755</v>
      </c>
    </row>
    <row r="426" spans="2:3" x14ac:dyDescent="0.25">
      <c r="B426" s="26" t="s">
        <v>218</v>
      </c>
      <c r="C426" s="371">
        <v>0.70327842855330502</v>
      </c>
    </row>
    <row r="427" spans="2:3" x14ac:dyDescent="0.25">
      <c r="B427" s="26" t="s">
        <v>226</v>
      </c>
      <c r="C427" s="371">
        <v>0.55110220440881785</v>
      </c>
    </row>
    <row r="428" spans="2:3" x14ac:dyDescent="0.25">
      <c r="B428" s="26" t="s">
        <v>73</v>
      </c>
      <c r="C428" s="371">
        <v>0.6331541504680035</v>
      </c>
    </row>
    <row r="429" spans="2:3" x14ac:dyDescent="0.25">
      <c r="B429"/>
      <c r="C429"/>
    </row>
    <row r="430" spans="2:3" x14ac:dyDescent="0.25">
      <c r="B430"/>
      <c r="C430"/>
    </row>
    <row r="431" spans="2:3" x14ac:dyDescent="0.25">
      <c r="B431"/>
      <c r="C431"/>
    </row>
    <row r="432" spans="2:3" x14ac:dyDescent="0.25">
      <c r="B432"/>
      <c r="C432"/>
    </row>
    <row r="433" spans="2:8" x14ac:dyDescent="0.25">
      <c r="B433"/>
      <c r="C433"/>
    </row>
    <row r="434" spans="2:8" x14ac:dyDescent="0.25">
      <c r="B434"/>
      <c r="C434"/>
    </row>
    <row r="435" spans="2:8" x14ac:dyDescent="0.25">
      <c r="B435"/>
      <c r="C435"/>
    </row>
    <row r="436" spans="2:8" x14ac:dyDescent="0.25">
      <c r="B436"/>
      <c r="C436"/>
    </row>
    <row r="437" spans="2:8" x14ac:dyDescent="0.25">
      <c r="B437"/>
      <c r="C437"/>
    </row>
    <row r="438" spans="2:8" x14ac:dyDescent="0.25">
      <c r="B438"/>
      <c r="C438"/>
    </row>
    <row r="439" spans="2:8" x14ac:dyDescent="0.25">
      <c r="B439"/>
      <c r="C439"/>
    </row>
    <row r="440" spans="2:8" x14ac:dyDescent="0.25">
      <c r="B440"/>
      <c r="C440"/>
      <c r="D440"/>
      <c r="E440"/>
      <c r="F440"/>
      <c r="G440"/>
      <c r="H440"/>
    </row>
    <row r="441" spans="2:8" x14ac:dyDescent="0.25">
      <c r="B441" s="29" t="s">
        <v>3</v>
      </c>
      <c r="C441" t="s">
        <v>509</v>
      </c>
      <c r="D441"/>
      <c r="E441"/>
      <c r="F441"/>
      <c r="G441"/>
      <c r="H441"/>
    </row>
    <row r="442" spans="2:8" x14ac:dyDescent="0.25">
      <c r="B442" s="29" t="s">
        <v>4</v>
      </c>
      <c r="C442" t="s">
        <v>74</v>
      </c>
      <c r="D442"/>
      <c r="E442"/>
      <c r="F442"/>
      <c r="G442"/>
      <c r="H442"/>
    </row>
    <row r="443" spans="2:8" x14ac:dyDescent="0.25">
      <c r="B443" s="29" t="s">
        <v>295</v>
      </c>
      <c r="C443" t="s">
        <v>74</v>
      </c>
      <c r="D443"/>
      <c r="E443"/>
      <c r="F443"/>
      <c r="G443"/>
      <c r="H443"/>
    </row>
    <row r="444" spans="2:8" x14ac:dyDescent="0.25">
      <c r="D444"/>
      <c r="E444"/>
      <c r="F444"/>
      <c r="G444"/>
      <c r="H444"/>
    </row>
    <row r="445" spans="2:8" ht="45" x14ac:dyDescent="0.25">
      <c r="B445" s="376" t="s">
        <v>242</v>
      </c>
      <c r="C445" s="386" t="s">
        <v>297</v>
      </c>
      <c r="D445" s="386"/>
      <c r="E445" s="386"/>
      <c r="F445" s="386"/>
      <c r="G445" s="386"/>
      <c r="H445" s="386"/>
    </row>
    <row r="446" spans="2:8" x14ac:dyDescent="0.25">
      <c r="B446" s="26" t="s">
        <v>813</v>
      </c>
      <c r="C446" s="372">
        <v>2</v>
      </c>
      <c r="D446"/>
      <c r="E446"/>
      <c r="F446"/>
      <c r="G446"/>
      <c r="H446"/>
    </row>
    <row r="447" spans="2:8" x14ac:dyDescent="0.25">
      <c r="B447" s="26" t="s">
        <v>65</v>
      </c>
      <c r="C447" s="372">
        <v>79</v>
      </c>
      <c r="D447"/>
      <c r="E447"/>
      <c r="F447"/>
      <c r="G447"/>
      <c r="H447"/>
    </row>
    <row r="448" spans="2:8" x14ac:dyDescent="0.25">
      <c r="B448" s="26" t="s">
        <v>543</v>
      </c>
      <c r="C448" s="372">
        <v>3</v>
      </c>
      <c r="D448"/>
      <c r="E448"/>
      <c r="F448"/>
      <c r="G448"/>
      <c r="H448"/>
    </row>
    <row r="449" spans="2:8" x14ac:dyDescent="0.25">
      <c r="B449" s="26" t="s">
        <v>66</v>
      </c>
      <c r="C449" s="372">
        <v>12</v>
      </c>
      <c r="D449"/>
      <c r="E449"/>
      <c r="F449"/>
      <c r="G449"/>
      <c r="H449"/>
    </row>
    <row r="450" spans="2:8" x14ac:dyDescent="0.25">
      <c r="B450" s="26" t="s">
        <v>302</v>
      </c>
      <c r="C450" s="372">
        <v>56</v>
      </c>
      <c r="D450"/>
      <c r="E450"/>
      <c r="F450"/>
      <c r="G450"/>
      <c r="H450"/>
    </row>
    <row r="451" spans="2:8" x14ac:dyDescent="0.25">
      <c r="B451" s="26" t="s">
        <v>922</v>
      </c>
      <c r="C451" s="372">
        <v>1</v>
      </c>
      <c r="D451"/>
      <c r="E451"/>
      <c r="F451"/>
      <c r="G451"/>
      <c r="H451"/>
    </row>
    <row r="452" spans="2:8" x14ac:dyDescent="0.25">
      <c r="B452" s="26" t="s">
        <v>73</v>
      </c>
      <c r="C452" s="372">
        <v>153</v>
      </c>
      <c r="D452"/>
      <c r="E452"/>
      <c r="F452"/>
      <c r="G452"/>
      <c r="H452"/>
    </row>
    <row r="453" spans="2:8" x14ac:dyDescent="0.25">
      <c r="B453"/>
      <c r="C453"/>
      <c r="D453"/>
      <c r="E453"/>
      <c r="F453"/>
      <c r="G453"/>
      <c r="H453"/>
    </row>
    <row r="454" spans="2:8" x14ac:dyDescent="0.25">
      <c r="B454"/>
      <c r="C454"/>
      <c r="D454"/>
      <c r="E454"/>
      <c r="F454"/>
      <c r="G454"/>
      <c r="H454"/>
    </row>
    <row r="455" spans="2:8" x14ac:dyDescent="0.25">
      <c r="B455"/>
      <c r="C455"/>
      <c r="D455"/>
      <c r="E455"/>
      <c r="F455"/>
      <c r="G455"/>
      <c r="H455"/>
    </row>
    <row r="456" spans="2:8" x14ac:dyDescent="0.25">
      <c r="B456"/>
      <c r="C456"/>
      <c r="D456"/>
      <c r="E456"/>
      <c r="F456"/>
      <c r="G456"/>
      <c r="H456"/>
    </row>
    <row r="458" spans="2:8" x14ac:dyDescent="0.25">
      <c r="B458"/>
      <c r="C458"/>
    </row>
    <row r="459" spans="2:8" x14ac:dyDescent="0.25">
      <c r="B459"/>
      <c r="C459"/>
    </row>
    <row r="460" spans="2:8" x14ac:dyDescent="0.25">
      <c r="B460" s="29" t="s">
        <v>3</v>
      </c>
      <c r="C460" t="s">
        <v>509</v>
      </c>
    </row>
    <row r="461" spans="2:8" x14ac:dyDescent="0.25">
      <c r="B461" s="29" t="s">
        <v>4</v>
      </c>
      <c r="C461" t="s">
        <v>74</v>
      </c>
    </row>
    <row r="462" spans="2:8" x14ac:dyDescent="0.25">
      <c r="B462" s="29" t="s">
        <v>295</v>
      </c>
      <c r="C462" t="s">
        <v>74</v>
      </c>
    </row>
    <row r="464" spans="2:8" x14ac:dyDescent="0.25">
      <c r="B464" s="29" t="s">
        <v>242</v>
      </c>
      <c r="C464" t="s">
        <v>739</v>
      </c>
    </row>
    <row r="465" spans="2:6" x14ac:dyDescent="0.25">
      <c r="B465" s="26" t="s">
        <v>299</v>
      </c>
      <c r="C465" s="375">
        <v>75</v>
      </c>
    </row>
    <row r="466" spans="2:6" x14ac:dyDescent="0.25">
      <c r="B466" s="26" t="s">
        <v>91</v>
      </c>
      <c r="C466" s="375">
        <v>38</v>
      </c>
    </row>
    <row r="467" spans="2:6" x14ac:dyDescent="0.25">
      <c r="B467" s="26" t="s">
        <v>301</v>
      </c>
      <c r="C467" s="375">
        <v>7</v>
      </c>
    </row>
    <row r="468" spans="2:6" x14ac:dyDescent="0.25">
      <c r="B468" s="26" t="s">
        <v>300</v>
      </c>
      <c r="C468" s="375">
        <v>31</v>
      </c>
    </row>
    <row r="469" spans="2:6" x14ac:dyDescent="0.25">
      <c r="B469" s="26" t="s">
        <v>767</v>
      </c>
      <c r="C469" s="375">
        <v>1</v>
      </c>
    </row>
    <row r="470" spans="2:6" x14ac:dyDescent="0.25">
      <c r="B470" s="26" t="s">
        <v>768</v>
      </c>
      <c r="C470" s="375">
        <v>1</v>
      </c>
    </row>
    <row r="471" spans="2:6" x14ac:dyDescent="0.25">
      <c r="B471" s="26" t="s">
        <v>73</v>
      </c>
      <c r="C471" s="375">
        <v>153</v>
      </c>
    </row>
    <row r="472" spans="2:6" x14ac:dyDescent="0.25">
      <c r="B472" s="12"/>
      <c r="C472" s="17"/>
    </row>
    <row r="473" spans="2:6" x14ac:dyDescent="0.25">
      <c r="B473" s="12"/>
      <c r="C473" s="17"/>
    </row>
    <row r="474" spans="2:6" x14ac:dyDescent="0.25">
      <c r="B474" s="12"/>
      <c r="C474" s="17"/>
    </row>
    <row r="475" spans="2:6" x14ac:dyDescent="0.25">
      <c r="B475" s="12"/>
      <c r="C475" s="17"/>
    </row>
    <row r="476" spans="2:6" x14ac:dyDescent="0.25">
      <c r="B476" s="12"/>
      <c r="C476" s="17"/>
    </row>
    <row r="477" spans="2:6" x14ac:dyDescent="0.25">
      <c r="B477" s="12"/>
      <c r="C477" s="17"/>
    </row>
    <row r="478" spans="2:6" x14ac:dyDescent="0.25">
      <c r="B478" s="29" t="s">
        <v>3</v>
      </c>
      <c r="C478" t="s">
        <v>509</v>
      </c>
      <c r="D478" s="16"/>
      <c r="E478" s="16"/>
      <c r="F478" s="13"/>
    </row>
    <row r="479" spans="2:6" x14ac:dyDescent="0.25">
      <c r="B479" s="29" t="s">
        <v>4</v>
      </c>
      <c r="C479" t="s">
        <v>74</v>
      </c>
    </row>
    <row r="480" spans="2:6" x14ac:dyDescent="0.25">
      <c r="B480" s="29" t="s">
        <v>295</v>
      </c>
      <c r="C480" t="s">
        <v>74</v>
      </c>
    </row>
    <row r="482" spans="1:15" ht="30" x14ac:dyDescent="0.25">
      <c r="B482" s="376" t="s">
        <v>242</v>
      </c>
      <c r="C482" s="383" t="s">
        <v>93</v>
      </c>
    </row>
    <row r="483" spans="1:15" x14ac:dyDescent="0.25">
      <c r="B483" s="26" t="s">
        <v>299</v>
      </c>
      <c r="C483" s="375">
        <v>2</v>
      </c>
    </row>
    <row r="484" spans="1:15" x14ac:dyDescent="0.25">
      <c r="B484" s="26" t="s">
        <v>91</v>
      </c>
      <c r="C484" s="375">
        <v>59</v>
      </c>
    </row>
    <row r="485" spans="1:15" x14ac:dyDescent="0.25">
      <c r="B485" s="26" t="s">
        <v>301</v>
      </c>
      <c r="C485" s="375">
        <v>17</v>
      </c>
    </row>
    <row r="486" spans="1:15" ht="31.5" customHeight="1" x14ac:dyDescent="0.25">
      <c r="B486" s="26" t="s">
        <v>300</v>
      </c>
      <c r="C486" s="375">
        <v>66</v>
      </c>
      <c r="O486" s="12"/>
    </row>
    <row r="487" spans="1:15" x14ac:dyDescent="0.25">
      <c r="B487" s="26" t="s">
        <v>767</v>
      </c>
      <c r="C487" s="375">
        <v>6</v>
      </c>
      <c r="O487" s="12"/>
    </row>
    <row r="488" spans="1:15" x14ac:dyDescent="0.25">
      <c r="B488" s="26" t="s">
        <v>738</v>
      </c>
      <c r="C488" s="375"/>
      <c r="O488" s="12"/>
    </row>
    <row r="489" spans="1:15" x14ac:dyDescent="0.25">
      <c r="B489" s="26" t="s">
        <v>73</v>
      </c>
      <c r="C489" s="375">
        <v>150</v>
      </c>
      <c r="O489" s="12"/>
    </row>
    <row r="490" spans="1:15" x14ac:dyDescent="0.25">
      <c r="A490" s="12"/>
      <c r="O490" s="12"/>
    </row>
    <row r="491" spans="1:15" s="12" customFormat="1" ht="24.6" customHeight="1" x14ac:dyDescent="0.25">
      <c r="B491" s="11"/>
      <c r="C491" s="14"/>
      <c r="D491" s="14"/>
      <c r="E491" s="14"/>
      <c r="F491" s="11"/>
      <c r="G491" s="11"/>
      <c r="H491" s="11"/>
      <c r="I491" s="11"/>
      <c r="J491" s="11"/>
      <c r="K491" s="11"/>
      <c r="L491" s="11"/>
      <c r="M491" s="11"/>
      <c r="N491" s="11"/>
    </row>
    <row r="492" spans="1:15" s="12" customFormat="1" x14ac:dyDescent="0.25">
      <c r="B492" s="11"/>
      <c r="C492" s="14"/>
      <c r="D492" s="14"/>
      <c r="E492" s="14"/>
      <c r="F492" s="11"/>
      <c r="G492" s="11"/>
      <c r="H492" s="11"/>
      <c r="I492" s="11"/>
      <c r="J492" s="11"/>
      <c r="K492" s="11"/>
      <c r="L492" s="11"/>
      <c r="M492" s="11"/>
      <c r="N492" s="11"/>
    </row>
    <row r="493" spans="1:15" s="12" customFormat="1" x14ac:dyDescent="0.25">
      <c r="B493" s="11"/>
      <c r="C493" s="14"/>
      <c r="D493" s="14"/>
      <c r="E493" s="14"/>
      <c r="F493" s="11"/>
      <c r="G493" s="11"/>
      <c r="H493" s="11"/>
      <c r="I493" s="11"/>
      <c r="J493" s="11"/>
      <c r="K493" s="11"/>
      <c r="L493" s="11"/>
      <c r="M493" s="11"/>
      <c r="N493" s="11"/>
    </row>
    <row r="494" spans="1:15" s="12" customFormat="1" x14ac:dyDescent="0.25">
      <c r="B494" s="11"/>
      <c r="C494" s="14"/>
      <c r="D494" s="14"/>
      <c r="E494" s="14"/>
      <c r="F494" s="11"/>
      <c r="G494" s="11"/>
      <c r="H494" s="11"/>
      <c r="I494" s="11"/>
      <c r="J494" s="11"/>
      <c r="K494" s="11"/>
      <c r="L494" s="11"/>
      <c r="M494" s="11"/>
      <c r="N494" s="11"/>
    </row>
    <row r="495" spans="1:15" s="12" customFormat="1" ht="21" x14ac:dyDescent="0.25">
      <c r="B495" s="370" t="s">
        <v>816</v>
      </c>
      <c r="C495" s="36"/>
      <c r="D495" s="36"/>
      <c r="E495" s="36"/>
      <c r="F495" s="36"/>
      <c r="G495" s="36"/>
      <c r="H495" s="36"/>
      <c r="I495" s="36"/>
      <c r="J495" s="36"/>
      <c r="K495" s="36"/>
      <c r="L495" s="36"/>
      <c r="M495" s="36"/>
      <c r="N495" s="37"/>
    </row>
    <row r="496" spans="1:15" s="12" customFormat="1" x14ac:dyDescent="0.25">
      <c r="B496" s="11"/>
      <c r="C496" s="14"/>
      <c r="D496" s="14"/>
      <c r="E496" s="14"/>
      <c r="F496" s="11"/>
      <c r="G496" s="11"/>
      <c r="H496" s="11"/>
    </row>
    <row r="497" spans="1:15" s="12" customFormat="1" x14ac:dyDescent="0.25">
      <c r="B497" s="11"/>
      <c r="C497"/>
      <c r="D497"/>
      <c r="E497"/>
      <c r="F497"/>
      <c r="G497"/>
      <c r="H497"/>
      <c r="I497"/>
      <c r="J497"/>
      <c r="K497"/>
      <c r="L497"/>
      <c r="M497" s="11"/>
      <c r="N497" s="11"/>
    </row>
    <row r="498" spans="1:15" s="12" customFormat="1" x14ac:dyDescent="0.25">
      <c r="B498" s="11"/>
      <c r="C498"/>
      <c r="D498"/>
      <c r="E498"/>
      <c r="F498"/>
      <c r="G498"/>
      <c r="H498"/>
      <c r="I498"/>
      <c r="J498"/>
      <c r="K498"/>
      <c r="L498"/>
      <c r="M498" s="11"/>
      <c r="N498" s="11"/>
      <c r="O498" s="11"/>
    </row>
    <row r="499" spans="1:15" s="12" customFormat="1" x14ac:dyDescent="0.25">
      <c r="B499" s="11"/>
      <c r="C499"/>
      <c r="D499"/>
      <c r="E499"/>
      <c r="F499" s="119"/>
      <c r="G499"/>
      <c r="H499"/>
      <c r="I499"/>
      <c r="J499"/>
      <c r="K499"/>
      <c r="L499"/>
      <c r="M499" s="11"/>
      <c r="N499" s="11"/>
      <c r="O499" s="11"/>
    </row>
    <row r="500" spans="1:15" s="12" customFormat="1" x14ac:dyDescent="0.25">
      <c r="B500" s="11"/>
      <c r="C500"/>
      <c r="D500"/>
      <c r="E500"/>
      <c r="F500"/>
      <c r="G500"/>
      <c r="H500"/>
      <c r="I500"/>
      <c r="J500"/>
      <c r="K500"/>
      <c r="L500"/>
      <c r="M500" s="11"/>
      <c r="N500" s="11"/>
      <c r="O500" s="11"/>
    </row>
    <row r="501" spans="1:15" s="12" customFormat="1" ht="30" customHeight="1" x14ac:dyDescent="0.25">
      <c r="B501" s="11"/>
      <c r="C501"/>
      <c r="D501"/>
      <c r="E501"/>
      <c r="F501"/>
      <c r="G501"/>
      <c r="H501"/>
      <c r="I501"/>
      <c r="J501"/>
      <c r="K501"/>
      <c r="L501"/>
      <c r="M501" s="11"/>
      <c r="N501" s="11"/>
      <c r="O501" s="11"/>
    </row>
    <row r="502" spans="1:15" s="12" customFormat="1" x14ac:dyDescent="0.25">
      <c r="A502" s="11"/>
      <c r="B502" s="11"/>
      <c r="C502"/>
      <c r="D502"/>
      <c r="E502"/>
      <c r="F502"/>
      <c r="G502"/>
      <c r="H502"/>
      <c r="I502"/>
      <c r="J502"/>
      <c r="K502"/>
      <c r="L502"/>
      <c r="M502" s="11"/>
      <c r="N502" s="11"/>
      <c r="O502" s="11"/>
    </row>
    <row r="503" spans="1:15" x14ac:dyDescent="0.25">
      <c r="C503"/>
      <c r="D503"/>
      <c r="E503"/>
      <c r="F503"/>
      <c r="G503"/>
      <c r="H503"/>
      <c r="I503"/>
      <c r="J503"/>
      <c r="K503"/>
      <c r="L503"/>
    </row>
    <row r="504" spans="1:15" x14ac:dyDescent="0.25">
      <c r="C504"/>
      <c r="D504"/>
      <c r="E504"/>
      <c r="F504"/>
      <c r="G504"/>
      <c r="H504"/>
      <c r="I504"/>
      <c r="J504"/>
      <c r="K504"/>
      <c r="L504"/>
    </row>
    <row r="505" spans="1:15" x14ac:dyDescent="0.25">
      <c r="C505"/>
      <c r="D505"/>
      <c r="E505"/>
      <c r="F505"/>
      <c r="G505"/>
      <c r="H505"/>
      <c r="I505"/>
      <c r="J505"/>
      <c r="K505"/>
      <c r="L505"/>
    </row>
    <row r="506" spans="1:15" x14ac:dyDescent="0.25">
      <c r="C506"/>
      <c r="D506"/>
      <c r="E506"/>
      <c r="F506"/>
      <c r="G506"/>
      <c r="H506"/>
      <c r="I506"/>
      <c r="J506"/>
      <c r="K506"/>
      <c r="L506"/>
    </row>
    <row r="507" spans="1:15" x14ac:dyDescent="0.25">
      <c r="C507"/>
      <c r="D507"/>
      <c r="E507"/>
      <c r="F507"/>
      <c r="G507"/>
      <c r="H507"/>
      <c r="I507"/>
      <c r="J507"/>
      <c r="K507"/>
      <c r="L507"/>
    </row>
    <row r="508" spans="1:15" x14ac:dyDescent="0.25">
      <c r="C508"/>
      <c r="D508"/>
      <c r="E508"/>
      <c r="F508"/>
      <c r="G508"/>
      <c r="H508"/>
      <c r="I508"/>
      <c r="J508"/>
      <c r="K508"/>
      <c r="L508"/>
    </row>
    <row r="509" spans="1:15" x14ac:dyDescent="0.25">
      <c r="C509"/>
      <c r="D509"/>
      <c r="E509"/>
      <c r="F509"/>
      <c r="G509"/>
      <c r="H509"/>
      <c r="I509"/>
      <c r="J509"/>
      <c r="K509"/>
      <c r="L509"/>
    </row>
    <row r="510" spans="1:15" x14ac:dyDescent="0.25">
      <c r="C510"/>
      <c r="D510"/>
      <c r="E510"/>
      <c r="F510"/>
      <c r="G510"/>
      <c r="H510"/>
      <c r="I510"/>
      <c r="J510"/>
      <c r="K510"/>
      <c r="L510"/>
    </row>
    <row r="511" spans="1:15" x14ac:dyDescent="0.25">
      <c r="C511"/>
      <c r="D511"/>
      <c r="E511"/>
      <c r="F511"/>
      <c r="G511"/>
      <c r="H511"/>
      <c r="I511"/>
      <c r="J511"/>
      <c r="K511"/>
      <c r="L511"/>
    </row>
    <row r="512" spans="1:15" x14ac:dyDescent="0.25">
      <c r="C512"/>
      <c r="D512"/>
      <c r="E512"/>
      <c r="F512"/>
      <c r="G512"/>
      <c r="H512"/>
      <c r="I512"/>
      <c r="J512"/>
      <c r="K512"/>
      <c r="L512"/>
    </row>
    <row r="513" spans="3:12" x14ac:dyDescent="0.25">
      <c r="C513"/>
      <c r="D513"/>
      <c r="E513"/>
      <c r="F513"/>
      <c r="G513"/>
      <c r="H513"/>
      <c r="I513"/>
      <c r="J513"/>
      <c r="K513"/>
      <c r="L513"/>
    </row>
    <row r="514" spans="3:12" x14ac:dyDescent="0.25">
      <c r="C514"/>
      <c r="D514"/>
      <c r="E514"/>
      <c r="F514"/>
      <c r="G514"/>
      <c r="H514"/>
      <c r="I514"/>
      <c r="J514"/>
      <c r="K514"/>
      <c r="L514"/>
    </row>
    <row r="515" spans="3:12" x14ac:dyDescent="0.25">
      <c r="C515"/>
      <c r="D515"/>
      <c r="E515"/>
      <c r="F515"/>
      <c r="G515"/>
      <c r="H515"/>
      <c r="I515"/>
      <c r="J515"/>
      <c r="K515"/>
      <c r="L515"/>
    </row>
    <row r="516" spans="3:12" x14ac:dyDescent="0.25">
      <c r="C516"/>
      <c r="D516"/>
      <c r="E516"/>
      <c r="F516"/>
      <c r="G516"/>
      <c r="H516"/>
      <c r="I516"/>
      <c r="J516"/>
      <c r="K516"/>
      <c r="L516"/>
    </row>
    <row r="517" spans="3:12" x14ac:dyDescent="0.25">
      <c r="C517"/>
      <c r="D517"/>
      <c r="E517"/>
      <c r="F517"/>
      <c r="G517"/>
      <c r="H517"/>
      <c r="I517"/>
      <c r="J517"/>
      <c r="K517"/>
      <c r="L517"/>
    </row>
    <row r="518" spans="3:12" x14ac:dyDescent="0.25">
      <c r="C518"/>
      <c r="D518"/>
      <c r="E518"/>
      <c r="F518"/>
      <c r="G518"/>
      <c r="H518"/>
      <c r="I518"/>
      <c r="J518"/>
      <c r="K518"/>
      <c r="L518"/>
    </row>
    <row r="519" spans="3:12" x14ac:dyDescent="0.25">
      <c r="C519"/>
      <c r="D519"/>
      <c r="E519"/>
      <c r="F519"/>
      <c r="G519"/>
      <c r="H519"/>
      <c r="I519"/>
      <c r="J519"/>
      <c r="K519"/>
      <c r="L519"/>
    </row>
    <row r="520" spans="3:12" x14ac:dyDescent="0.25">
      <c r="C520"/>
      <c r="D520"/>
      <c r="E520"/>
      <c r="F520"/>
      <c r="G520"/>
      <c r="H520"/>
      <c r="I520"/>
      <c r="J520"/>
      <c r="K520"/>
      <c r="L520"/>
    </row>
    <row r="521" spans="3:12" x14ac:dyDescent="0.25">
      <c r="C521"/>
      <c r="D521"/>
      <c r="E521"/>
      <c r="F521"/>
      <c r="G521"/>
      <c r="H521"/>
      <c r="I521"/>
      <c r="J521"/>
      <c r="K521"/>
      <c r="L521"/>
    </row>
    <row r="522" spans="3:12" x14ac:dyDescent="0.25">
      <c r="C522"/>
      <c r="D522"/>
      <c r="E522"/>
      <c r="F522"/>
      <c r="G522"/>
      <c r="H522"/>
      <c r="I522"/>
      <c r="J522"/>
      <c r="K522"/>
      <c r="L522"/>
    </row>
    <row r="523" spans="3:12" x14ac:dyDescent="0.25">
      <c r="C523"/>
      <c r="D523"/>
      <c r="E523"/>
      <c r="F523"/>
      <c r="G523"/>
      <c r="H523"/>
      <c r="I523"/>
      <c r="J523"/>
      <c r="K523"/>
      <c r="L523"/>
    </row>
    <row r="524" spans="3:12" x14ac:dyDescent="0.25">
      <c r="C524"/>
      <c r="D524"/>
      <c r="E524"/>
      <c r="F524"/>
      <c r="G524"/>
      <c r="H524"/>
      <c r="I524"/>
      <c r="J524"/>
      <c r="K524"/>
      <c r="L524"/>
    </row>
    <row r="525" spans="3:12" x14ac:dyDescent="0.25">
      <c r="C525"/>
      <c r="D525"/>
      <c r="E525"/>
      <c r="F525"/>
      <c r="G525"/>
      <c r="H525"/>
      <c r="I525"/>
      <c r="J525"/>
      <c r="K525"/>
      <c r="L525"/>
    </row>
    <row r="526" spans="3:12" x14ac:dyDescent="0.25">
      <c r="C526"/>
      <c r="D526"/>
      <c r="E526"/>
      <c r="F526"/>
      <c r="G526"/>
      <c r="H526"/>
      <c r="I526"/>
      <c r="J526"/>
      <c r="K526"/>
      <c r="L526"/>
    </row>
    <row r="527" spans="3:12" x14ac:dyDescent="0.25">
      <c r="C527"/>
      <c r="D527"/>
      <c r="E527"/>
      <c r="F527"/>
      <c r="G527"/>
      <c r="H527"/>
      <c r="I527"/>
      <c r="J527"/>
      <c r="K527"/>
      <c r="L527"/>
    </row>
    <row r="528" spans="3:12" x14ac:dyDescent="0.25">
      <c r="C528"/>
      <c r="D528"/>
      <c r="E528"/>
      <c r="F528"/>
      <c r="G528"/>
      <c r="H528"/>
      <c r="I528"/>
      <c r="J528"/>
      <c r="K528"/>
      <c r="L528"/>
    </row>
    <row r="529" spans="3:12" x14ac:dyDescent="0.25">
      <c r="C529"/>
      <c r="D529"/>
      <c r="E529"/>
      <c r="F529"/>
      <c r="G529"/>
      <c r="H529"/>
      <c r="I529"/>
      <c r="J529"/>
      <c r="K529"/>
      <c r="L529"/>
    </row>
    <row r="530" spans="3:12" x14ac:dyDescent="0.25">
      <c r="C530"/>
      <c r="D530"/>
      <c r="E530"/>
      <c r="F530"/>
      <c r="G530"/>
      <c r="H530"/>
      <c r="I530"/>
      <c r="J530"/>
      <c r="K530"/>
      <c r="L530"/>
    </row>
    <row r="531" spans="3:12" x14ac:dyDescent="0.25">
      <c r="C531"/>
      <c r="D531"/>
      <c r="E531"/>
      <c r="F531"/>
      <c r="G531"/>
      <c r="H531"/>
      <c r="I531"/>
      <c r="J531"/>
      <c r="K531"/>
      <c r="L531"/>
    </row>
    <row r="532" spans="3:12" x14ac:dyDescent="0.25">
      <c r="C532"/>
      <c r="D532"/>
      <c r="E532"/>
      <c r="F532"/>
      <c r="G532"/>
      <c r="H532"/>
      <c r="I532"/>
      <c r="J532"/>
      <c r="K532"/>
      <c r="L532"/>
    </row>
    <row r="533" spans="3:12" x14ac:dyDescent="0.25">
      <c r="C533"/>
      <c r="D533"/>
      <c r="E533"/>
      <c r="F533"/>
      <c r="G533"/>
      <c r="H533"/>
      <c r="I533"/>
      <c r="J533"/>
      <c r="K533"/>
      <c r="L533"/>
    </row>
    <row r="534" spans="3:12" x14ac:dyDescent="0.25">
      <c r="C534"/>
      <c r="D534"/>
      <c r="E534"/>
      <c r="F534"/>
      <c r="G534"/>
      <c r="H534"/>
      <c r="I534"/>
      <c r="J534"/>
      <c r="K534"/>
      <c r="L534"/>
    </row>
    <row r="535" spans="3:12" x14ac:dyDescent="0.25">
      <c r="C535"/>
      <c r="D535"/>
      <c r="E535"/>
      <c r="F535"/>
      <c r="G535"/>
      <c r="H535"/>
      <c r="I535"/>
      <c r="J535"/>
      <c r="K535"/>
      <c r="L535"/>
    </row>
    <row r="536" spans="3:12" x14ac:dyDescent="0.25">
      <c r="C536"/>
      <c r="D536"/>
      <c r="E536"/>
      <c r="F536"/>
      <c r="G536"/>
      <c r="H536"/>
      <c r="I536"/>
      <c r="J536"/>
      <c r="K536"/>
      <c r="L536"/>
    </row>
    <row r="537" spans="3:12" x14ac:dyDescent="0.25">
      <c r="C537"/>
      <c r="D537"/>
      <c r="E537"/>
      <c r="F537"/>
      <c r="G537"/>
      <c r="H537"/>
      <c r="I537"/>
      <c r="J537"/>
      <c r="K537"/>
      <c r="L537"/>
    </row>
    <row r="538" spans="3:12" x14ac:dyDescent="0.25">
      <c r="C538"/>
      <c r="D538"/>
      <c r="E538"/>
      <c r="F538"/>
      <c r="G538"/>
      <c r="H538"/>
      <c r="I538"/>
      <c r="J538"/>
      <c r="K538"/>
      <c r="L538"/>
    </row>
    <row r="539" spans="3:12" x14ac:dyDescent="0.25">
      <c r="C539"/>
      <c r="D539"/>
      <c r="E539"/>
      <c r="F539"/>
      <c r="G539"/>
      <c r="H539"/>
      <c r="I539"/>
      <c r="J539"/>
      <c r="K539"/>
      <c r="L539"/>
    </row>
    <row r="540" spans="3:12" x14ac:dyDescent="0.25">
      <c r="C540"/>
      <c r="D540"/>
      <c r="E540"/>
      <c r="F540"/>
      <c r="G540"/>
      <c r="H540"/>
      <c r="I540"/>
      <c r="J540"/>
      <c r="K540"/>
      <c r="L540"/>
    </row>
    <row r="541" spans="3:12" x14ac:dyDescent="0.25">
      <c r="C541"/>
      <c r="D541"/>
      <c r="E541"/>
      <c r="F541"/>
      <c r="G541"/>
      <c r="H541"/>
      <c r="I541"/>
      <c r="J541"/>
      <c r="K541"/>
      <c r="L541"/>
    </row>
    <row r="542" spans="3:12" x14ac:dyDescent="0.25">
      <c r="C542"/>
      <c r="D542"/>
      <c r="E542"/>
      <c r="F542"/>
      <c r="G542"/>
      <c r="H542"/>
      <c r="I542"/>
      <c r="J542"/>
      <c r="K542"/>
      <c r="L542"/>
    </row>
    <row r="543" spans="3:12" x14ac:dyDescent="0.25">
      <c r="C543"/>
      <c r="D543"/>
      <c r="E543"/>
      <c r="F543"/>
      <c r="G543"/>
      <c r="H543"/>
      <c r="I543"/>
      <c r="J543"/>
      <c r="K543"/>
      <c r="L543"/>
    </row>
    <row r="544" spans="3:12" x14ac:dyDescent="0.25">
      <c r="C544"/>
      <c r="D544"/>
      <c r="E544"/>
      <c r="F544"/>
      <c r="G544"/>
      <c r="H544"/>
      <c r="I544"/>
      <c r="J544"/>
      <c r="K544"/>
      <c r="L544"/>
    </row>
    <row r="545" spans="3:12" x14ac:dyDescent="0.25">
      <c r="C545"/>
      <c r="D545"/>
      <c r="E545"/>
      <c r="F545"/>
      <c r="G545"/>
      <c r="H545"/>
      <c r="I545"/>
      <c r="J545"/>
      <c r="K545"/>
      <c r="L545"/>
    </row>
    <row r="546" spans="3:12" x14ac:dyDescent="0.25">
      <c r="C546"/>
      <c r="D546"/>
      <c r="E546"/>
      <c r="F546"/>
      <c r="G546"/>
      <c r="H546"/>
      <c r="I546"/>
      <c r="J546"/>
      <c r="K546"/>
      <c r="L546"/>
    </row>
    <row r="547" spans="3:12" x14ac:dyDescent="0.25">
      <c r="C547"/>
      <c r="D547"/>
      <c r="E547"/>
      <c r="F547"/>
      <c r="G547"/>
      <c r="H547"/>
      <c r="I547"/>
      <c r="J547"/>
      <c r="K547"/>
      <c r="L547"/>
    </row>
    <row r="548" spans="3:12" x14ac:dyDescent="0.25">
      <c r="C548"/>
      <c r="D548"/>
      <c r="E548"/>
      <c r="F548"/>
      <c r="G548"/>
      <c r="H548"/>
      <c r="I548"/>
      <c r="J548"/>
      <c r="K548"/>
      <c r="L548"/>
    </row>
    <row r="549" spans="3:12" x14ac:dyDescent="0.25">
      <c r="C549"/>
      <c r="D549"/>
      <c r="E549"/>
      <c r="F549"/>
      <c r="G549"/>
      <c r="H549"/>
      <c r="I549"/>
      <c r="J549"/>
      <c r="K549"/>
      <c r="L549"/>
    </row>
    <row r="550" spans="3:12" x14ac:dyDescent="0.25">
      <c r="C550"/>
      <c r="D550"/>
      <c r="E550"/>
      <c r="F550"/>
      <c r="G550"/>
      <c r="H550"/>
      <c r="I550"/>
      <c r="J550"/>
      <c r="K550"/>
      <c r="L550"/>
    </row>
    <row r="551" spans="3:12" x14ac:dyDescent="0.25">
      <c r="C551"/>
      <c r="D551"/>
      <c r="E551"/>
      <c r="F551"/>
      <c r="G551"/>
      <c r="H551"/>
      <c r="I551"/>
      <c r="J551"/>
      <c r="K551"/>
      <c r="L551"/>
    </row>
    <row r="552" spans="3:12" x14ac:dyDescent="0.25">
      <c r="C552"/>
      <c r="D552"/>
      <c r="E552"/>
      <c r="F552"/>
      <c r="G552"/>
      <c r="H552"/>
      <c r="I552"/>
      <c r="J552"/>
      <c r="K552"/>
      <c r="L552"/>
    </row>
    <row r="553" spans="3:12" x14ac:dyDescent="0.25">
      <c r="C553"/>
      <c r="D553"/>
      <c r="E553"/>
      <c r="F553"/>
      <c r="G553"/>
      <c r="H553"/>
      <c r="I553"/>
      <c r="J553"/>
      <c r="K553"/>
      <c r="L553"/>
    </row>
    <row r="554" spans="3:12" x14ac:dyDescent="0.25">
      <c r="C554"/>
      <c r="D554"/>
      <c r="E554"/>
      <c r="F554"/>
      <c r="G554"/>
      <c r="H554"/>
      <c r="I554"/>
      <c r="J554"/>
      <c r="K554"/>
      <c r="L554"/>
    </row>
    <row r="555" spans="3:12" x14ac:dyDescent="0.25">
      <c r="C555"/>
      <c r="D555"/>
      <c r="E555"/>
      <c r="F555"/>
      <c r="G555"/>
      <c r="H555"/>
      <c r="I555"/>
      <c r="J555"/>
      <c r="K555"/>
      <c r="L555"/>
    </row>
    <row r="556" spans="3:12" x14ac:dyDescent="0.25">
      <c r="C556"/>
      <c r="D556"/>
      <c r="E556"/>
      <c r="F556"/>
      <c r="G556"/>
      <c r="H556"/>
      <c r="I556"/>
      <c r="J556"/>
      <c r="K556"/>
      <c r="L556"/>
    </row>
    <row r="557" spans="3:12" x14ac:dyDescent="0.25">
      <c r="C557"/>
      <c r="D557"/>
      <c r="E557"/>
      <c r="F557"/>
      <c r="G557"/>
      <c r="H557"/>
      <c r="I557"/>
      <c r="J557"/>
      <c r="K557"/>
      <c r="L557"/>
    </row>
    <row r="558" spans="3:12" x14ac:dyDescent="0.25">
      <c r="C558"/>
      <c r="D558"/>
      <c r="E558"/>
      <c r="F558"/>
      <c r="G558"/>
      <c r="H558"/>
      <c r="I558"/>
      <c r="J558"/>
      <c r="K558"/>
      <c r="L558"/>
    </row>
    <row r="559" spans="3:12" x14ac:dyDescent="0.25">
      <c r="C559"/>
      <c r="D559"/>
      <c r="E559"/>
      <c r="F559"/>
      <c r="G559"/>
      <c r="H559"/>
      <c r="I559"/>
      <c r="J559"/>
      <c r="K559"/>
      <c r="L559"/>
    </row>
    <row r="560" spans="3:12" x14ac:dyDescent="0.25">
      <c r="C560"/>
      <c r="D560"/>
      <c r="E560"/>
      <c r="F560"/>
      <c r="G560"/>
      <c r="H560"/>
      <c r="I560"/>
      <c r="J560"/>
      <c r="K560"/>
      <c r="L560"/>
    </row>
    <row r="561" spans="3:15" x14ac:dyDescent="0.25">
      <c r="C561"/>
      <c r="D561"/>
      <c r="E561"/>
      <c r="F561"/>
      <c r="G561"/>
      <c r="H561"/>
      <c r="I561"/>
      <c r="J561"/>
      <c r="K561"/>
      <c r="L561"/>
    </row>
    <row r="562" spans="3:15" x14ac:dyDescent="0.25">
      <c r="C562"/>
      <c r="D562"/>
      <c r="E562"/>
      <c r="F562"/>
      <c r="G562"/>
      <c r="H562"/>
      <c r="I562"/>
      <c r="J562"/>
      <c r="K562"/>
      <c r="L562"/>
    </row>
    <row r="563" spans="3:15" x14ac:dyDescent="0.25">
      <c r="C563"/>
      <c r="D563"/>
      <c r="E563"/>
      <c r="F563"/>
      <c r="G563"/>
      <c r="H563"/>
      <c r="I563"/>
      <c r="J563"/>
      <c r="K563"/>
      <c r="L563"/>
    </row>
    <row r="564" spans="3:15" x14ac:dyDescent="0.25">
      <c r="C564"/>
      <c r="D564"/>
      <c r="E564"/>
      <c r="F564"/>
      <c r="G564"/>
      <c r="H564"/>
      <c r="I564"/>
      <c r="J564"/>
      <c r="K564"/>
      <c r="L564"/>
    </row>
    <row r="565" spans="3:15" x14ac:dyDescent="0.25">
      <c r="C565"/>
      <c r="D565"/>
      <c r="E565"/>
      <c r="F565"/>
      <c r="G565"/>
      <c r="H565"/>
      <c r="I565"/>
      <c r="J565"/>
      <c r="K565"/>
      <c r="L565"/>
    </row>
    <row r="566" spans="3:15" x14ac:dyDescent="0.25">
      <c r="C566"/>
      <c r="D566"/>
      <c r="E566"/>
      <c r="F566"/>
      <c r="G566"/>
      <c r="H566"/>
      <c r="I566"/>
      <c r="J566"/>
      <c r="K566"/>
      <c r="L566"/>
    </row>
    <row r="567" spans="3:15" x14ac:dyDescent="0.25">
      <c r="C567"/>
      <c r="D567"/>
      <c r="E567"/>
      <c r="F567"/>
      <c r="G567"/>
      <c r="H567"/>
      <c r="I567"/>
      <c r="J567"/>
      <c r="K567"/>
      <c r="L567"/>
    </row>
    <row r="568" spans="3:15" x14ac:dyDescent="0.25">
      <c r="C568"/>
      <c r="D568"/>
      <c r="E568"/>
      <c r="F568"/>
      <c r="G568"/>
      <c r="H568"/>
      <c r="I568"/>
      <c r="J568"/>
      <c r="K568"/>
      <c r="L568"/>
    </row>
    <row r="569" spans="3:15" x14ac:dyDescent="0.25">
      <c r="C569"/>
      <c r="D569"/>
      <c r="E569"/>
      <c r="F569"/>
      <c r="G569"/>
      <c r="H569"/>
      <c r="I569"/>
      <c r="J569"/>
      <c r="K569"/>
      <c r="L569"/>
    </row>
    <row r="570" spans="3:15" x14ac:dyDescent="0.25">
      <c r="C570"/>
      <c r="D570"/>
      <c r="E570"/>
      <c r="F570"/>
      <c r="G570"/>
      <c r="H570"/>
      <c r="I570"/>
      <c r="J570"/>
      <c r="K570"/>
      <c r="L570"/>
    </row>
    <row r="571" spans="3:15" x14ac:dyDescent="0.25">
      <c r="C571"/>
      <c r="D571"/>
      <c r="E571"/>
      <c r="F571"/>
      <c r="G571"/>
      <c r="H571"/>
      <c r="I571"/>
      <c r="J571"/>
      <c r="K571"/>
      <c r="L571"/>
    </row>
    <row r="572" spans="3:15" x14ac:dyDescent="0.25">
      <c r="C572"/>
      <c r="D572"/>
      <c r="E572"/>
      <c r="F572"/>
      <c r="G572"/>
      <c r="H572"/>
      <c r="I572"/>
      <c r="J572"/>
      <c r="K572"/>
      <c r="L572"/>
    </row>
    <row r="573" spans="3:15" x14ac:dyDescent="0.25">
      <c r="C573"/>
      <c r="D573"/>
      <c r="E573"/>
      <c r="F573"/>
      <c r="G573"/>
      <c r="H573"/>
      <c r="I573"/>
      <c r="J573"/>
      <c r="K573"/>
      <c r="L573"/>
    </row>
    <row r="574" spans="3:15" x14ac:dyDescent="0.25">
      <c r="C574"/>
      <c r="D574"/>
      <c r="E574"/>
      <c r="F574"/>
      <c r="G574"/>
      <c r="H574"/>
      <c r="I574"/>
      <c r="J574"/>
      <c r="K574"/>
      <c r="L574"/>
    </row>
    <row r="575" spans="3:15" x14ac:dyDescent="0.25">
      <c r="C575"/>
      <c r="D575"/>
      <c r="E575"/>
      <c r="F575"/>
      <c r="G575"/>
      <c r="H575"/>
      <c r="I575"/>
      <c r="J575"/>
      <c r="K575"/>
      <c r="L575"/>
    </row>
    <row r="576" spans="3:15" x14ac:dyDescent="0.25">
      <c r="C576"/>
      <c r="D576"/>
      <c r="E576"/>
      <c r="F576"/>
      <c r="G576"/>
      <c r="H576"/>
      <c r="I576"/>
      <c r="J576"/>
      <c r="K576"/>
      <c r="L576"/>
      <c r="O576"/>
    </row>
    <row r="577" spans="1:22" x14ac:dyDescent="0.25">
      <c r="C577"/>
      <c r="D577"/>
      <c r="E577"/>
      <c r="F577"/>
      <c r="G577"/>
      <c r="H577"/>
      <c r="I577"/>
      <c r="J577"/>
      <c r="K577"/>
      <c r="L577"/>
      <c r="O577"/>
    </row>
    <row r="578" spans="1:22" x14ac:dyDescent="0.25">
      <c r="A578"/>
      <c r="C578"/>
      <c r="D578"/>
      <c r="E578"/>
      <c r="F578"/>
      <c r="G578"/>
      <c r="H578"/>
      <c r="I578"/>
      <c r="J578"/>
      <c r="K578"/>
      <c r="L578"/>
      <c r="O578"/>
    </row>
    <row r="579" spans="1:22" x14ac:dyDescent="0.25">
      <c r="A579"/>
      <c r="C579"/>
      <c r="D579"/>
      <c r="E579"/>
      <c r="F579"/>
      <c r="G579"/>
      <c r="H579"/>
      <c r="I579"/>
      <c r="J579"/>
      <c r="K579"/>
      <c r="L579"/>
      <c r="O579"/>
    </row>
    <row r="580" spans="1:22" x14ac:dyDescent="0.25">
      <c r="A580"/>
      <c r="C580"/>
      <c r="D580"/>
      <c r="E580"/>
      <c r="F580"/>
      <c r="G580"/>
      <c r="H580"/>
      <c r="I580"/>
      <c r="J580"/>
      <c r="K580"/>
      <c r="L580"/>
      <c r="O580"/>
    </row>
    <row r="581" spans="1:22" x14ac:dyDescent="0.25">
      <c r="A581"/>
      <c r="C581"/>
      <c r="D581"/>
      <c r="E581"/>
      <c r="F581"/>
      <c r="G581"/>
      <c r="H581"/>
      <c r="I581"/>
      <c r="J581"/>
      <c r="K581"/>
      <c r="L581"/>
      <c r="O581"/>
      <c r="P581"/>
      <c r="Q581"/>
      <c r="R581"/>
      <c r="S581"/>
      <c r="T581"/>
      <c r="U581"/>
      <c r="V581"/>
    </row>
    <row r="582" spans="1:22" x14ac:dyDescent="0.25">
      <c r="A582"/>
      <c r="C582"/>
      <c r="D582"/>
      <c r="E582"/>
      <c r="F582"/>
      <c r="G582"/>
      <c r="H582"/>
      <c r="I582"/>
      <c r="J582"/>
      <c r="K582"/>
      <c r="L582"/>
      <c r="O582"/>
      <c r="P582"/>
      <c r="Q582"/>
      <c r="R582"/>
      <c r="S582"/>
      <c r="T582"/>
      <c r="U582"/>
      <c r="V582"/>
    </row>
    <row r="583" spans="1:22" x14ac:dyDescent="0.25">
      <c r="A583"/>
      <c r="C583" s="11"/>
      <c r="D583" s="11"/>
      <c r="E583" s="11"/>
      <c r="O583"/>
      <c r="P583"/>
      <c r="Q583"/>
      <c r="R583"/>
      <c r="S583"/>
      <c r="T583"/>
      <c r="U583"/>
      <c r="V583"/>
    </row>
    <row r="584" spans="1:22" x14ac:dyDescent="0.25">
      <c r="A584"/>
      <c r="B584"/>
      <c r="C584"/>
      <c r="D584"/>
      <c r="E584"/>
      <c r="F584"/>
      <c r="G584"/>
      <c r="H584"/>
      <c r="I584"/>
      <c r="J584"/>
      <c r="K584"/>
      <c r="L584"/>
      <c r="M584"/>
      <c r="N584"/>
      <c r="O584"/>
      <c r="P584"/>
      <c r="Q584"/>
      <c r="R584"/>
      <c r="S584"/>
      <c r="T584"/>
      <c r="U584"/>
      <c r="V584"/>
    </row>
    <row r="585" spans="1:22" x14ac:dyDescent="0.25">
      <c r="A585"/>
      <c r="B585"/>
      <c r="C585"/>
      <c r="D585"/>
      <c r="E585"/>
      <c r="F585"/>
      <c r="G585"/>
      <c r="H585"/>
      <c r="I585"/>
      <c r="J585"/>
      <c r="K585"/>
      <c r="L585"/>
      <c r="M585"/>
      <c r="N585"/>
      <c r="O585"/>
      <c r="P585"/>
      <c r="Q585"/>
      <c r="R585"/>
      <c r="S585"/>
      <c r="T585"/>
      <c r="U585"/>
      <c r="V585"/>
    </row>
    <row r="586" spans="1:22" x14ac:dyDescent="0.25">
      <c r="A586"/>
      <c r="B586"/>
      <c r="C586"/>
      <c r="D586"/>
      <c r="E586"/>
      <c r="F586"/>
      <c r="G586"/>
      <c r="H586"/>
      <c r="I586"/>
      <c r="J586"/>
      <c r="K586"/>
      <c r="L586"/>
      <c r="M586"/>
      <c r="N586"/>
      <c r="O586"/>
      <c r="P586"/>
      <c r="Q586"/>
      <c r="R586"/>
      <c r="S586"/>
      <c r="T586"/>
      <c r="U586"/>
      <c r="V586"/>
    </row>
    <row r="587" spans="1:22" x14ac:dyDescent="0.25">
      <c r="A587"/>
      <c r="B587" s="29" t="s">
        <v>3</v>
      </c>
      <c r="C587" t="s">
        <v>269</v>
      </c>
      <c r="E587"/>
      <c r="F587"/>
      <c r="G587"/>
      <c r="H587"/>
      <c r="I587"/>
      <c r="J587"/>
      <c r="K587"/>
      <c r="L587"/>
      <c r="M587"/>
      <c r="N587"/>
      <c r="O587"/>
      <c r="P587"/>
      <c r="Q587"/>
      <c r="R587"/>
      <c r="S587"/>
      <c r="T587"/>
      <c r="U587"/>
      <c r="V587"/>
    </row>
    <row r="588" spans="1:22" x14ac:dyDescent="0.25">
      <c r="A588"/>
      <c r="E588"/>
      <c r="F588"/>
      <c r="G588"/>
      <c r="H588"/>
      <c r="I588"/>
      <c r="J588"/>
      <c r="K588"/>
      <c r="L588"/>
      <c r="M588"/>
      <c r="N588"/>
      <c r="O588"/>
      <c r="P588"/>
      <c r="Q588"/>
      <c r="R588"/>
      <c r="S588"/>
      <c r="T588"/>
      <c r="U588"/>
      <c r="V588"/>
    </row>
    <row r="589" spans="1:22" x14ac:dyDescent="0.25">
      <c r="A589"/>
      <c r="B589" s="29" t="s">
        <v>741</v>
      </c>
      <c r="C589" s="29" t="s">
        <v>256</v>
      </c>
      <c r="D589"/>
      <c r="E589"/>
      <c r="F589"/>
      <c r="G589"/>
      <c r="H589"/>
      <c r="I589"/>
      <c r="J589"/>
      <c r="K589"/>
      <c r="L589"/>
      <c r="M589"/>
      <c r="N589"/>
      <c r="O589"/>
      <c r="P589"/>
      <c r="Q589"/>
      <c r="R589"/>
      <c r="S589"/>
      <c r="T589"/>
      <c r="U589"/>
      <c r="V589"/>
    </row>
    <row r="590" spans="1:22" x14ac:dyDescent="0.25">
      <c r="A590"/>
      <c r="B590" s="29" t="s">
        <v>242</v>
      </c>
      <c r="C590" t="s">
        <v>742</v>
      </c>
      <c r="D590" t="s">
        <v>743</v>
      </c>
      <c r="E590" t="s">
        <v>73</v>
      </c>
      <c r="F590"/>
      <c r="G590"/>
      <c r="H590"/>
      <c r="I590"/>
      <c r="J590"/>
      <c r="K590"/>
      <c r="L590"/>
      <c r="M590"/>
      <c r="N590"/>
      <c r="O590"/>
      <c r="P590"/>
      <c r="Q590"/>
      <c r="R590"/>
      <c r="S590"/>
      <c r="T590"/>
      <c r="U590"/>
      <c r="V590"/>
    </row>
    <row r="591" spans="1:22" x14ac:dyDescent="0.25">
      <c r="A591"/>
      <c r="B591" s="26" t="s">
        <v>218</v>
      </c>
      <c r="C591" s="375">
        <v>132</v>
      </c>
      <c r="D591" s="375">
        <v>10</v>
      </c>
      <c r="E591" s="375">
        <v>142</v>
      </c>
      <c r="F591"/>
      <c r="G591"/>
      <c r="H591"/>
      <c r="I591"/>
      <c r="J591"/>
      <c r="K591"/>
      <c r="L591"/>
      <c r="M591"/>
      <c r="N591"/>
      <c r="O591"/>
      <c r="P591"/>
      <c r="Q591"/>
      <c r="R591"/>
      <c r="S591"/>
      <c r="T591"/>
      <c r="U591"/>
      <c r="V591"/>
    </row>
    <row r="592" spans="1:22" x14ac:dyDescent="0.25">
      <c r="A592"/>
      <c r="B592" s="26" t="s">
        <v>226</v>
      </c>
      <c r="C592" s="375">
        <v>25</v>
      </c>
      <c r="D592" s="375">
        <v>1</v>
      </c>
      <c r="E592" s="375">
        <v>26</v>
      </c>
      <c r="F592"/>
      <c r="G592"/>
      <c r="H592"/>
      <c r="I592"/>
      <c r="J592"/>
      <c r="K592"/>
      <c r="L592"/>
      <c r="M592"/>
      <c r="N592"/>
      <c r="O592"/>
      <c r="P592"/>
      <c r="Q592"/>
      <c r="R592"/>
      <c r="S592"/>
      <c r="T592"/>
      <c r="U592"/>
      <c r="V592"/>
    </row>
    <row r="593" spans="1:22" x14ac:dyDescent="0.25">
      <c r="A593"/>
      <c r="B593" s="26" t="s">
        <v>73</v>
      </c>
      <c r="C593" s="375">
        <v>157</v>
      </c>
      <c r="D593" s="375">
        <v>11</v>
      </c>
      <c r="E593" s="375">
        <v>168</v>
      </c>
      <c r="F593"/>
      <c r="G593"/>
      <c r="H593"/>
      <c r="I593"/>
      <c r="J593"/>
      <c r="K593"/>
      <c r="L593"/>
      <c r="M593"/>
      <c r="N593"/>
      <c r="O593"/>
      <c r="P593"/>
      <c r="Q593"/>
      <c r="R593"/>
      <c r="S593"/>
      <c r="T593"/>
      <c r="U593"/>
      <c r="V593"/>
    </row>
    <row r="594" spans="1:22" x14ac:dyDescent="0.25">
      <c r="A594"/>
      <c r="B594"/>
      <c r="C594"/>
      <c r="D594"/>
      <c r="E594"/>
      <c r="F594"/>
      <c r="G594"/>
      <c r="H594"/>
      <c r="I594"/>
      <c r="J594"/>
      <c r="K594"/>
      <c r="L594"/>
      <c r="M594"/>
      <c r="N594"/>
      <c r="O594"/>
      <c r="P594"/>
      <c r="Q594"/>
      <c r="R594"/>
      <c r="S594"/>
      <c r="T594"/>
      <c r="U594"/>
      <c r="V594"/>
    </row>
    <row r="595" spans="1:22" x14ac:dyDescent="0.25">
      <c r="A595"/>
      <c r="B595"/>
      <c r="C595"/>
      <c r="D595"/>
      <c r="E595"/>
      <c r="F595"/>
      <c r="G595"/>
      <c r="H595"/>
      <c r="I595"/>
      <c r="J595"/>
      <c r="K595"/>
      <c r="L595"/>
      <c r="M595"/>
      <c r="N595"/>
      <c r="O595"/>
      <c r="P595"/>
      <c r="Q595"/>
      <c r="R595"/>
      <c r="S595"/>
      <c r="T595"/>
      <c r="U595"/>
      <c r="V595"/>
    </row>
    <row r="596" spans="1:22" x14ac:dyDescent="0.25">
      <c r="A596"/>
      <c r="B596"/>
      <c r="C596"/>
      <c r="D596"/>
      <c r="E596"/>
      <c r="F596"/>
      <c r="G596"/>
      <c r="H596"/>
      <c r="I596"/>
      <c r="J596"/>
      <c r="K596"/>
      <c r="L596"/>
      <c r="M596"/>
      <c r="N596"/>
      <c r="O596"/>
      <c r="P596"/>
      <c r="Q596"/>
      <c r="R596"/>
      <c r="S596"/>
      <c r="T596"/>
      <c r="U596"/>
      <c r="V596"/>
    </row>
    <row r="597" spans="1:22" x14ac:dyDescent="0.25">
      <c r="A597"/>
      <c r="B597"/>
      <c r="C597"/>
      <c r="D597"/>
      <c r="E597"/>
      <c r="F597"/>
      <c r="G597"/>
      <c r="H597"/>
      <c r="I597"/>
      <c r="J597"/>
      <c r="K597"/>
      <c r="L597"/>
      <c r="M597"/>
      <c r="N597"/>
      <c r="O597"/>
      <c r="P597"/>
      <c r="Q597"/>
      <c r="R597"/>
      <c r="S597"/>
      <c r="T597"/>
      <c r="U597"/>
      <c r="V597"/>
    </row>
    <row r="598" spans="1:22" x14ac:dyDescent="0.25">
      <c r="A598"/>
      <c r="B598"/>
      <c r="C598"/>
      <c r="D598"/>
      <c r="E598"/>
      <c r="F598"/>
      <c r="G598"/>
      <c r="H598"/>
      <c r="I598"/>
      <c r="J598"/>
      <c r="K598"/>
      <c r="L598"/>
      <c r="M598"/>
      <c r="N598"/>
      <c r="O598"/>
      <c r="P598"/>
      <c r="Q598"/>
      <c r="R598"/>
      <c r="S598"/>
      <c r="T598"/>
      <c r="U598"/>
      <c r="V598"/>
    </row>
    <row r="599" spans="1:22" x14ac:dyDescent="0.25">
      <c r="A599"/>
      <c r="B599"/>
      <c r="C599"/>
      <c r="D599"/>
      <c r="E599"/>
      <c r="F599"/>
      <c r="G599"/>
      <c r="H599"/>
      <c r="I599"/>
      <c r="J599"/>
      <c r="K599"/>
      <c r="L599"/>
      <c r="M599"/>
      <c r="N599"/>
      <c r="O599"/>
      <c r="P599"/>
      <c r="Q599"/>
      <c r="R599"/>
      <c r="S599"/>
      <c r="T599"/>
      <c r="U599"/>
      <c r="V599"/>
    </row>
    <row r="600" spans="1:22" x14ac:dyDescent="0.25">
      <c r="A600"/>
      <c r="B600"/>
      <c r="C600"/>
      <c r="D600"/>
      <c r="E600"/>
      <c r="F600"/>
      <c r="G600"/>
      <c r="H600"/>
      <c r="I600"/>
      <c r="J600"/>
      <c r="K600"/>
      <c r="L600"/>
      <c r="M600"/>
      <c r="N600"/>
      <c r="O600"/>
      <c r="P600"/>
      <c r="Q600"/>
      <c r="R600"/>
      <c r="S600"/>
      <c r="T600"/>
      <c r="U600"/>
      <c r="V600"/>
    </row>
    <row r="601" spans="1:22" x14ac:dyDescent="0.25">
      <c r="A601"/>
      <c r="B601"/>
      <c r="C601"/>
      <c r="D601"/>
      <c r="E601"/>
      <c r="F601"/>
      <c r="G601"/>
      <c r="H601"/>
      <c r="I601"/>
      <c r="J601"/>
      <c r="K601"/>
      <c r="L601"/>
      <c r="M601"/>
      <c r="N601"/>
      <c r="O601"/>
      <c r="P601"/>
      <c r="Q601"/>
      <c r="R601"/>
      <c r="S601"/>
      <c r="T601"/>
      <c r="U601"/>
      <c r="V601"/>
    </row>
    <row r="602" spans="1:22" x14ac:dyDescent="0.25">
      <c r="A602"/>
      <c r="B602"/>
      <c r="C602"/>
      <c r="D602"/>
      <c r="E602"/>
      <c r="F602"/>
      <c r="G602"/>
      <c r="H602"/>
      <c r="I602"/>
      <c r="J602"/>
      <c r="K602"/>
      <c r="L602"/>
      <c r="M602"/>
      <c r="N602"/>
      <c r="O602"/>
      <c r="P602"/>
      <c r="Q602"/>
      <c r="R602"/>
      <c r="S602"/>
      <c r="T602"/>
      <c r="U602"/>
      <c r="V602"/>
    </row>
    <row r="603" spans="1:22" x14ac:dyDescent="0.25">
      <c r="A603"/>
      <c r="B603"/>
      <c r="C603"/>
      <c r="D603"/>
      <c r="E603"/>
      <c r="F603"/>
      <c r="G603"/>
      <c r="H603"/>
      <c r="I603"/>
      <c r="J603"/>
      <c r="K603"/>
      <c r="L603"/>
      <c r="M603"/>
      <c r="N603"/>
      <c r="O603"/>
      <c r="P603"/>
      <c r="Q603"/>
      <c r="R603"/>
      <c r="S603"/>
      <c r="T603"/>
      <c r="U603"/>
      <c r="V603"/>
    </row>
    <row r="604" spans="1:22" x14ac:dyDescent="0.25">
      <c r="A604"/>
      <c r="B604"/>
      <c r="C604"/>
      <c r="D604"/>
      <c r="E604"/>
      <c r="F604"/>
      <c r="G604"/>
      <c r="H604"/>
      <c r="I604"/>
      <c r="J604"/>
      <c r="K604"/>
      <c r="L604"/>
      <c r="M604"/>
      <c r="N604"/>
      <c r="O604"/>
      <c r="P604"/>
      <c r="Q604"/>
      <c r="R604"/>
      <c r="S604"/>
      <c r="T604"/>
      <c r="U604"/>
      <c r="V604"/>
    </row>
    <row r="605" spans="1:22" x14ac:dyDescent="0.25">
      <c r="A605"/>
      <c r="B605"/>
      <c r="C605"/>
      <c r="D605"/>
      <c r="E605"/>
      <c r="F605"/>
      <c r="G605"/>
      <c r="H605"/>
      <c r="I605"/>
      <c r="J605"/>
      <c r="K605"/>
      <c r="L605"/>
      <c r="M605"/>
      <c r="N605"/>
      <c r="O605"/>
      <c r="P605"/>
      <c r="Q605"/>
      <c r="R605"/>
      <c r="S605"/>
      <c r="T605"/>
      <c r="U605"/>
      <c r="V605"/>
    </row>
    <row r="606" spans="1:22" x14ac:dyDescent="0.25">
      <c r="A606"/>
      <c r="B606"/>
      <c r="C606"/>
      <c r="D606"/>
      <c r="E606"/>
      <c r="F606"/>
      <c r="G606"/>
      <c r="H606"/>
      <c r="I606"/>
      <c r="J606"/>
      <c r="K606"/>
      <c r="L606"/>
      <c r="M606"/>
      <c r="N606"/>
      <c r="O606"/>
      <c r="P606"/>
      <c r="Q606"/>
      <c r="R606"/>
      <c r="S606"/>
      <c r="T606"/>
      <c r="U606"/>
      <c r="V606"/>
    </row>
    <row r="607" spans="1:22" x14ac:dyDescent="0.25">
      <c r="A607"/>
      <c r="B607" s="29" t="s">
        <v>3</v>
      </c>
      <c r="C607" t="s">
        <v>269</v>
      </c>
      <c r="D607"/>
      <c r="E607"/>
      <c r="F607"/>
      <c r="G607"/>
      <c r="H607"/>
      <c r="I607"/>
      <c r="J607"/>
      <c r="K607"/>
      <c r="L607"/>
      <c r="M607"/>
      <c r="N607"/>
      <c r="O607"/>
      <c r="P607"/>
      <c r="Q607"/>
      <c r="R607"/>
      <c r="S607"/>
      <c r="T607"/>
      <c r="U607"/>
      <c r="V607"/>
    </row>
    <row r="608" spans="1:22" x14ac:dyDescent="0.25">
      <c r="A608"/>
      <c r="B608" s="29" t="s">
        <v>4</v>
      </c>
      <c r="C608" t="s">
        <v>74</v>
      </c>
      <c r="E608"/>
      <c r="F608"/>
      <c r="G608"/>
      <c r="H608"/>
      <c r="I608"/>
      <c r="J608"/>
      <c r="K608"/>
      <c r="L608"/>
      <c r="M608"/>
      <c r="N608"/>
      <c r="O608"/>
      <c r="P608"/>
      <c r="Q608"/>
      <c r="R608"/>
      <c r="S608"/>
      <c r="T608"/>
      <c r="U608"/>
      <c r="V608"/>
    </row>
    <row r="609" spans="1:22" x14ac:dyDescent="0.25">
      <c r="A609"/>
      <c r="E609"/>
      <c r="F609"/>
      <c r="G609"/>
      <c r="H609"/>
      <c r="I609"/>
      <c r="J609"/>
      <c r="K609"/>
      <c r="L609"/>
      <c r="M609"/>
      <c r="N609"/>
      <c r="O609"/>
      <c r="P609"/>
      <c r="Q609"/>
      <c r="R609"/>
      <c r="S609"/>
      <c r="T609"/>
      <c r="U609"/>
      <c r="V609"/>
    </row>
    <row r="610" spans="1:22" x14ac:dyDescent="0.25">
      <c r="A610"/>
      <c r="B610" s="29" t="s">
        <v>741</v>
      </c>
      <c r="C610" s="29" t="s">
        <v>256</v>
      </c>
      <c r="D610"/>
      <c r="E610"/>
      <c r="F610"/>
      <c r="G610"/>
      <c r="H610"/>
      <c r="I610"/>
      <c r="J610"/>
      <c r="K610"/>
      <c r="L610"/>
      <c r="M610"/>
      <c r="N610"/>
      <c r="O610"/>
      <c r="P610"/>
      <c r="Q610"/>
      <c r="R610"/>
      <c r="S610"/>
      <c r="T610"/>
      <c r="U610"/>
      <c r="V610"/>
    </row>
    <row r="611" spans="1:22" x14ac:dyDescent="0.25">
      <c r="A611"/>
      <c r="B611" s="29" t="s">
        <v>242</v>
      </c>
      <c r="C611" t="s">
        <v>742</v>
      </c>
      <c r="D611" t="s">
        <v>743</v>
      </c>
      <c r="E611" t="s">
        <v>73</v>
      </c>
      <c r="F611"/>
      <c r="G611"/>
      <c r="H611"/>
      <c r="I611"/>
      <c r="J611"/>
      <c r="K611"/>
      <c r="L611"/>
      <c r="M611"/>
      <c r="N611"/>
      <c r="O611"/>
      <c r="P611"/>
      <c r="Q611"/>
      <c r="R611"/>
      <c r="S611"/>
      <c r="T611"/>
      <c r="U611"/>
      <c r="V611"/>
    </row>
    <row r="612" spans="1:22" x14ac:dyDescent="0.25">
      <c r="A612"/>
      <c r="B612" s="26" t="s">
        <v>264</v>
      </c>
      <c r="C612" s="375">
        <v>21</v>
      </c>
      <c r="D612" s="375">
        <v>1</v>
      </c>
      <c r="E612" s="375">
        <v>22</v>
      </c>
      <c r="F612"/>
      <c r="G612"/>
      <c r="H612"/>
      <c r="I612"/>
      <c r="J612"/>
      <c r="K612"/>
      <c r="L612"/>
      <c r="M612"/>
      <c r="N612"/>
      <c r="O612"/>
      <c r="P612"/>
      <c r="Q612"/>
      <c r="R612"/>
      <c r="S612"/>
      <c r="T612"/>
      <c r="U612"/>
      <c r="V612"/>
    </row>
    <row r="613" spans="1:22" x14ac:dyDescent="0.25">
      <c r="A613"/>
      <c r="B613" s="26" t="s">
        <v>265</v>
      </c>
      <c r="C613" s="375">
        <v>39</v>
      </c>
      <c r="D613" s="375">
        <v>1</v>
      </c>
      <c r="E613" s="375">
        <v>40</v>
      </c>
      <c r="F613"/>
      <c r="G613"/>
      <c r="H613"/>
      <c r="I613"/>
      <c r="J613"/>
      <c r="K613"/>
      <c r="L613"/>
      <c r="M613"/>
      <c r="N613"/>
      <c r="O613"/>
      <c r="P613"/>
      <c r="Q613"/>
      <c r="R613"/>
      <c r="S613"/>
      <c r="T613"/>
      <c r="U613"/>
      <c r="V613"/>
    </row>
    <row r="614" spans="1:22" x14ac:dyDescent="0.25">
      <c r="A614"/>
      <c r="B614" s="26" t="s">
        <v>266</v>
      </c>
      <c r="C614" s="375">
        <v>5</v>
      </c>
      <c r="D614" s="375"/>
      <c r="E614" s="375">
        <v>5</v>
      </c>
      <c r="F614"/>
      <c r="G614"/>
      <c r="H614"/>
      <c r="I614"/>
      <c r="J614"/>
      <c r="K614"/>
      <c r="L614"/>
      <c r="M614"/>
      <c r="N614"/>
      <c r="O614"/>
      <c r="P614"/>
      <c r="Q614"/>
      <c r="R614"/>
      <c r="S614"/>
      <c r="T614"/>
      <c r="U614"/>
      <c r="V614"/>
    </row>
    <row r="615" spans="1:22" x14ac:dyDescent="0.25">
      <c r="A615"/>
      <c r="B615" s="26" t="s">
        <v>267</v>
      </c>
      <c r="C615" s="375">
        <v>24</v>
      </c>
      <c r="D615" s="375">
        <v>7</v>
      </c>
      <c r="E615" s="375">
        <v>31</v>
      </c>
      <c r="F615"/>
      <c r="G615"/>
      <c r="H615"/>
      <c r="I615"/>
      <c r="J615"/>
      <c r="K615"/>
      <c r="L615"/>
      <c r="M615"/>
      <c r="N615"/>
      <c r="O615"/>
      <c r="P615"/>
      <c r="Q615"/>
      <c r="R615"/>
      <c r="S615"/>
      <c r="T615"/>
      <c r="U615"/>
      <c r="V615"/>
    </row>
    <row r="616" spans="1:22" x14ac:dyDescent="0.25">
      <c r="A616"/>
      <c r="B616" s="26" t="s">
        <v>268</v>
      </c>
      <c r="C616" s="375">
        <v>13</v>
      </c>
      <c r="D616" s="375"/>
      <c r="E616" s="375">
        <v>13</v>
      </c>
      <c r="F616"/>
      <c r="G616"/>
      <c r="H616"/>
      <c r="I616"/>
      <c r="J616"/>
      <c r="K616"/>
      <c r="L616"/>
      <c r="M616"/>
      <c r="N616"/>
      <c r="O616"/>
      <c r="P616"/>
      <c r="Q616"/>
      <c r="R616"/>
      <c r="S616"/>
      <c r="T616"/>
      <c r="U616"/>
      <c r="V616"/>
    </row>
    <row r="617" spans="1:22" x14ac:dyDescent="0.25">
      <c r="A617"/>
      <c r="B617" s="26" t="s">
        <v>273</v>
      </c>
      <c r="C617" s="375">
        <v>20</v>
      </c>
      <c r="D617" s="375"/>
      <c r="E617" s="375">
        <v>20</v>
      </c>
      <c r="F617"/>
      <c r="G617"/>
      <c r="H617"/>
      <c r="I617"/>
      <c r="J617"/>
      <c r="K617"/>
      <c r="L617"/>
      <c r="M617"/>
      <c r="N617"/>
      <c r="O617"/>
      <c r="P617"/>
      <c r="Q617"/>
      <c r="R617"/>
      <c r="S617"/>
      <c r="T617"/>
      <c r="U617"/>
      <c r="V617"/>
    </row>
    <row r="618" spans="1:22" x14ac:dyDescent="0.25">
      <c r="A618"/>
      <c r="B618" s="26" t="s">
        <v>274</v>
      </c>
      <c r="C618" s="375">
        <v>12</v>
      </c>
      <c r="D618" s="375"/>
      <c r="E618" s="375">
        <v>12</v>
      </c>
      <c r="F618"/>
      <c r="G618"/>
      <c r="H618"/>
      <c r="I618"/>
      <c r="J618"/>
      <c r="K618"/>
      <c r="L618"/>
      <c r="M618"/>
      <c r="N618"/>
      <c r="O618"/>
      <c r="P618"/>
      <c r="Q618"/>
      <c r="R618"/>
      <c r="S618"/>
      <c r="T618"/>
      <c r="U618"/>
      <c r="V618"/>
    </row>
    <row r="619" spans="1:22" x14ac:dyDescent="0.25">
      <c r="A619"/>
      <c r="B619" s="26" t="s">
        <v>275</v>
      </c>
      <c r="C619" s="375">
        <v>10</v>
      </c>
      <c r="D619" s="375"/>
      <c r="E619" s="375">
        <v>10</v>
      </c>
      <c r="F619"/>
      <c r="G619"/>
      <c r="H619"/>
      <c r="I619"/>
      <c r="J619"/>
      <c r="K619"/>
      <c r="L619"/>
      <c r="M619"/>
      <c r="N619"/>
      <c r="O619"/>
      <c r="P619"/>
      <c r="Q619"/>
      <c r="R619"/>
      <c r="S619"/>
      <c r="T619"/>
      <c r="U619"/>
      <c r="V619"/>
    </row>
    <row r="620" spans="1:22" x14ac:dyDescent="0.25">
      <c r="A620"/>
      <c r="B620" s="26" t="s">
        <v>276</v>
      </c>
      <c r="C620" s="375">
        <v>4</v>
      </c>
      <c r="D620" s="375"/>
      <c r="E620" s="375">
        <v>4</v>
      </c>
      <c r="F620"/>
      <c r="G620"/>
      <c r="H620"/>
      <c r="I620"/>
      <c r="J620"/>
      <c r="K620"/>
      <c r="L620"/>
      <c r="M620"/>
      <c r="N620"/>
      <c r="O620"/>
      <c r="P620"/>
      <c r="Q620"/>
      <c r="R620"/>
      <c r="S620"/>
      <c r="T620"/>
      <c r="U620"/>
      <c r="V620"/>
    </row>
    <row r="621" spans="1:22" x14ac:dyDescent="0.25">
      <c r="A621"/>
      <c r="B621" s="26" t="s">
        <v>323</v>
      </c>
      <c r="C621" s="375">
        <v>9</v>
      </c>
      <c r="D621" s="375">
        <v>2</v>
      </c>
      <c r="E621" s="375">
        <v>11</v>
      </c>
      <c r="F621"/>
      <c r="G621"/>
      <c r="H621"/>
      <c r="I621"/>
      <c r="J621"/>
      <c r="K621"/>
      <c r="L621"/>
      <c r="M621"/>
      <c r="N621"/>
      <c r="O621"/>
      <c r="P621"/>
      <c r="Q621"/>
      <c r="R621"/>
      <c r="S621"/>
      <c r="T621"/>
      <c r="U621"/>
      <c r="V621"/>
    </row>
    <row r="622" spans="1:22" x14ac:dyDescent="0.25">
      <c r="A622"/>
      <c r="B622" s="26" t="s">
        <v>73</v>
      </c>
      <c r="C622" s="375">
        <v>157</v>
      </c>
      <c r="D622" s="375">
        <v>11</v>
      </c>
      <c r="E622" s="375">
        <v>168</v>
      </c>
      <c r="F622"/>
      <c r="G622"/>
      <c r="H622"/>
      <c r="I622"/>
      <c r="J622"/>
      <c r="K622"/>
      <c r="L622"/>
      <c r="M622"/>
      <c r="N622"/>
      <c r="O622"/>
      <c r="P622"/>
      <c r="Q622"/>
      <c r="R622"/>
      <c r="S622"/>
      <c r="T622"/>
      <c r="U622"/>
      <c r="V622"/>
    </row>
    <row r="623" spans="1:22" x14ac:dyDescent="0.25">
      <c r="A623"/>
      <c r="B623"/>
      <c r="C623"/>
      <c r="D623"/>
      <c r="E623"/>
      <c r="F623"/>
      <c r="G623"/>
      <c r="H623"/>
      <c r="I623"/>
      <c r="J623"/>
      <c r="K623"/>
      <c r="L623"/>
      <c r="M623"/>
      <c r="N623"/>
      <c r="O623"/>
      <c r="P623"/>
      <c r="Q623"/>
      <c r="R623"/>
      <c r="S623"/>
      <c r="T623"/>
      <c r="U623"/>
      <c r="V623"/>
    </row>
    <row r="624" spans="1:22" x14ac:dyDescent="0.25">
      <c r="A624"/>
      <c r="B624"/>
      <c r="C624"/>
      <c r="D624"/>
      <c r="E624"/>
      <c r="F624"/>
      <c r="G624"/>
      <c r="H624"/>
      <c r="I624"/>
      <c r="J624"/>
      <c r="K624"/>
      <c r="L624"/>
      <c r="M624"/>
      <c r="N624"/>
      <c r="O624"/>
      <c r="P624"/>
      <c r="Q624"/>
      <c r="R624"/>
      <c r="S624"/>
      <c r="T624"/>
      <c r="U624"/>
      <c r="V624"/>
    </row>
    <row r="625" spans="1:22" x14ac:dyDescent="0.25">
      <c r="A625"/>
      <c r="B625"/>
      <c r="C625"/>
      <c r="D625"/>
      <c r="E625"/>
      <c r="F625"/>
      <c r="G625"/>
      <c r="H625"/>
      <c r="I625"/>
      <c r="J625"/>
      <c r="K625"/>
      <c r="L625"/>
      <c r="M625"/>
      <c r="N625"/>
      <c r="O625"/>
      <c r="P625"/>
      <c r="Q625"/>
      <c r="R625"/>
      <c r="S625"/>
      <c r="T625"/>
      <c r="U625"/>
      <c r="V625"/>
    </row>
    <row r="626" spans="1:22" x14ac:dyDescent="0.25">
      <c r="A626"/>
      <c r="B626"/>
      <c r="C626"/>
      <c r="D626"/>
      <c r="E626"/>
      <c r="F626"/>
      <c r="G626"/>
      <c r="H626"/>
      <c r="I626"/>
      <c r="J626"/>
      <c r="K626"/>
      <c r="L626"/>
      <c r="M626"/>
      <c r="N626"/>
      <c r="O626"/>
      <c r="P626"/>
      <c r="Q626"/>
      <c r="R626"/>
      <c r="S626"/>
      <c r="T626"/>
      <c r="U626"/>
      <c r="V626"/>
    </row>
    <row r="627" spans="1:22" x14ac:dyDescent="0.25">
      <c r="A627"/>
      <c r="B627" s="29" t="s">
        <v>3</v>
      </c>
      <c r="C627" t="s">
        <v>74</v>
      </c>
      <c r="D627"/>
      <c r="E627"/>
      <c r="F627"/>
      <c r="G627"/>
      <c r="H627"/>
      <c r="I627"/>
      <c r="J627"/>
      <c r="K627"/>
      <c r="L627"/>
      <c r="M627"/>
      <c r="N627"/>
      <c r="O627"/>
      <c r="P627"/>
      <c r="Q627"/>
      <c r="R627"/>
      <c r="S627"/>
      <c r="T627"/>
      <c r="U627"/>
      <c r="V627"/>
    </row>
    <row r="628" spans="1:22" x14ac:dyDescent="0.25">
      <c r="A628"/>
      <c r="B628" s="29" t="s">
        <v>263</v>
      </c>
      <c r="C628" t="s">
        <v>74</v>
      </c>
      <c r="E628"/>
      <c r="F628"/>
      <c r="G628"/>
      <c r="H628"/>
      <c r="I628"/>
      <c r="J628"/>
      <c r="K628"/>
      <c r="L628"/>
      <c r="M628"/>
      <c r="N628"/>
      <c r="O628"/>
      <c r="P628"/>
      <c r="Q628"/>
      <c r="R628"/>
      <c r="S628"/>
      <c r="T628"/>
      <c r="U628"/>
      <c r="V628"/>
    </row>
    <row r="629" spans="1:22" x14ac:dyDescent="0.25">
      <c r="A629"/>
      <c r="E629"/>
      <c r="F629"/>
      <c r="G629"/>
      <c r="H629"/>
      <c r="I629"/>
      <c r="J629"/>
      <c r="K629"/>
      <c r="L629"/>
      <c r="M629"/>
      <c r="N629"/>
      <c r="O629"/>
      <c r="P629"/>
      <c r="Q629"/>
      <c r="R629"/>
      <c r="S629"/>
      <c r="T629"/>
      <c r="U629"/>
      <c r="V629"/>
    </row>
    <row r="630" spans="1:22" x14ac:dyDescent="0.25">
      <c r="A630"/>
      <c r="B630" s="29" t="s">
        <v>243</v>
      </c>
      <c r="C630" s="29" t="s">
        <v>256</v>
      </c>
      <c r="D630"/>
      <c r="E630"/>
      <c r="F630"/>
      <c r="G630"/>
      <c r="H630"/>
      <c r="I630"/>
      <c r="J630"/>
      <c r="K630"/>
      <c r="L630"/>
      <c r="M630"/>
      <c r="N630"/>
      <c r="O630"/>
      <c r="P630"/>
      <c r="Q630"/>
      <c r="R630"/>
      <c r="S630"/>
      <c r="T630"/>
      <c r="U630"/>
      <c r="V630"/>
    </row>
    <row r="631" spans="1:22" x14ac:dyDescent="0.25">
      <c r="A631"/>
      <c r="B631" s="29" t="s">
        <v>242</v>
      </c>
      <c r="C631" t="s">
        <v>742</v>
      </c>
      <c r="D631" t="s">
        <v>743</v>
      </c>
      <c r="E631" t="s">
        <v>73</v>
      </c>
      <c r="F631"/>
      <c r="G631"/>
      <c r="H631"/>
      <c r="I631"/>
      <c r="J631"/>
      <c r="K631"/>
      <c r="L631"/>
      <c r="M631"/>
      <c r="N631"/>
      <c r="O631"/>
      <c r="P631"/>
      <c r="Q631"/>
      <c r="R631"/>
      <c r="S631"/>
      <c r="T631"/>
      <c r="U631"/>
      <c r="V631"/>
    </row>
    <row r="632" spans="1:22" x14ac:dyDescent="0.25">
      <c r="A632"/>
      <c r="B632" s="26" t="s">
        <v>218</v>
      </c>
      <c r="C632" s="375">
        <v>46188</v>
      </c>
      <c r="D632" s="375">
        <v>1106</v>
      </c>
      <c r="E632" s="375">
        <v>47294</v>
      </c>
      <c r="F632"/>
      <c r="G632"/>
      <c r="H632"/>
      <c r="I632"/>
      <c r="J632"/>
      <c r="K632"/>
      <c r="L632"/>
      <c r="M632"/>
      <c r="N632"/>
      <c r="O632"/>
      <c r="P632"/>
      <c r="Q632"/>
      <c r="R632"/>
      <c r="S632"/>
      <c r="T632"/>
      <c r="U632"/>
      <c r="V632"/>
    </row>
    <row r="633" spans="1:22" x14ac:dyDescent="0.25">
      <c r="A633"/>
      <c r="B633" s="26" t="s">
        <v>226</v>
      </c>
      <c r="C633" s="375">
        <v>38728</v>
      </c>
      <c r="D633" s="375">
        <v>1691</v>
      </c>
      <c r="E633" s="375">
        <v>40419</v>
      </c>
      <c r="F633"/>
      <c r="G633"/>
      <c r="H633"/>
      <c r="I633"/>
      <c r="J633"/>
      <c r="K633"/>
      <c r="L633"/>
      <c r="M633"/>
      <c r="N633"/>
      <c r="O633"/>
      <c r="P633"/>
      <c r="Q633"/>
      <c r="R633"/>
      <c r="S633"/>
      <c r="T633"/>
      <c r="U633"/>
      <c r="V633"/>
    </row>
    <row r="634" spans="1:22" x14ac:dyDescent="0.25">
      <c r="A634"/>
      <c r="B634" s="26" t="s">
        <v>73</v>
      </c>
      <c r="C634" s="375">
        <v>84916</v>
      </c>
      <c r="D634" s="375">
        <v>2797</v>
      </c>
      <c r="E634" s="375">
        <v>87713</v>
      </c>
      <c r="F634"/>
      <c r="G634"/>
      <c r="H634"/>
      <c r="I634"/>
      <c r="J634"/>
      <c r="K634"/>
      <c r="L634"/>
      <c r="M634"/>
      <c r="N634"/>
      <c r="O634"/>
      <c r="P634"/>
      <c r="Q634"/>
      <c r="R634"/>
      <c r="S634"/>
      <c r="T634"/>
      <c r="U634"/>
      <c r="V634"/>
    </row>
    <row r="635" spans="1:22" x14ac:dyDescent="0.25">
      <c r="A635"/>
      <c r="B635"/>
      <c r="C635"/>
      <c r="D635"/>
      <c r="E635"/>
      <c r="F635"/>
      <c r="G635"/>
      <c r="H635"/>
      <c r="I635"/>
      <c r="J635"/>
      <c r="K635"/>
      <c r="L635"/>
      <c r="M635"/>
      <c r="N635"/>
      <c r="O635"/>
      <c r="P635"/>
      <c r="Q635"/>
      <c r="R635"/>
      <c r="S635"/>
      <c r="T635"/>
      <c r="U635"/>
      <c r="V635"/>
    </row>
    <row r="636" spans="1:22" x14ac:dyDescent="0.25">
      <c r="A636"/>
      <c r="B636"/>
      <c r="C636"/>
      <c r="D636"/>
      <c r="E636"/>
      <c r="F636"/>
      <c r="G636"/>
      <c r="H636"/>
      <c r="I636"/>
      <c r="J636"/>
      <c r="K636"/>
      <c r="L636"/>
      <c r="M636"/>
      <c r="N636"/>
      <c r="O636"/>
      <c r="P636"/>
      <c r="Q636"/>
      <c r="R636"/>
      <c r="S636"/>
      <c r="T636"/>
      <c r="U636"/>
      <c r="V636"/>
    </row>
    <row r="637" spans="1:22" x14ac:dyDescent="0.25">
      <c r="A637"/>
      <c r="B637"/>
      <c r="C637"/>
      <c r="D637"/>
      <c r="E637"/>
      <c r="F637"/>
      <c r="G637"/>
      <c r="H637"/>
      <c r="I637"/>
      <c r="J637"/>
      <c r="K637"/>
      <c r="L637"/>
      <c r="M637"/>
      <c r="N637"/>
      <c r="O637"/>
      <c r="P637"/>
      <c r="Q637"/>
      <c r="R637"/>
      <c r="S637"/>
      <c r="T637"/>
      <c r="U637"/>
      <c r="V637"/>
    </row>
    <row r="638" spans="1:22" x14ac:dyDescent="0.25">
      <c r="A638"/>
      <c r="B638"/>
      <c r="C638"/>
      <c r="D638"/>
      <c r="E638"/>
      <c r="F638"/>
      <c r="G638"/>
      <c r="H638"/>
      <c r="I638"/>
      <c r="J638"/>
      <c r="K638"/>
      <c r="L638"/>
      <c r="M638"/>
      <c r="N638"/>
      <c r="O638"/>
      <c r="P638"/>
      <c r="Q638"/>
      <c r="R638"/>
      <c r="S638"/>
      <c r="T638"/>
      <c r="U638"/>
      <c r="V638"/>
    </row>
    <row r="639" spans="1:22" x14ac:dyDescent="0.25">
      <c r="A639"/>
      <c r="B639"/>
      <c r="C639"/>
      <c r="D639"/>
      <c r="E639"/>
      <c r="F639"/>
      <c r="G639"/>
      <c r="H639"/>
      <c r="I639"/>
      <c r="J639"/>
      <c r="K639"/>
      <c r="L639"/>
      <c r="M639"/>
      <c r="N639"/>
      <c r="O639"/>
      <c r="P639"/>
      <c r="Q639"/>
      <c r="R639"/>
      <c r="S639"/>
      <c r="T639"/>
      <c r="U639"/>
      <c r="V639"/>
    </row>
    <row r="640" spans="1:22" x14ac:dyDescent="0.25">
      <c r="A640"/>
      <c r="B640"/>
      <c r="C640"/>
      <c r="D640"/>
      <c r="E640"/>
      <c r="F640"/>
      <c r="G640"/>
      <c r="H640"/>
      <c r="I640"/>
      <c r="J640"/>
      <c r="K640"/>
      <c r="L640"/>
      <c r="M640"/>
      <c r="N640"/>
      <c r="O640"/>
      <c r="P640"/>
      <c r="Q640"/>
      <c r="R640"/>
      <c r="S640"/>
      <c r="T640"/>
      <c r="U640"/>
      <c r="V640"/>
    </row>
    <row r="641" spans="1:22" x14ac:dyDescent="0.25">
      <c r="A641"/>
      <c r="B641"/>
      <c r="C641"/>
      <c r="D641"/>
      <c r="E641"/>
      <c r="F641"/>
      <c r="G641"/>
      <c r="H641"/>
      <c r="I641"/>
      <c r="J641"/>
      <c r="K641"/>
      <c r="L641"/>
      <c r="M641"/>
      <c r="N641"/>
      <c r="O641"/>
      <c r="P641"/>
      <c r="Q641"/>
      <c r="R641"/>
      <c r="S641"/>
      <c r="T641"/>
      <c r="U641"/>
      <c r="V641"/>
    </row>
    <row r="642" spans="1:22" x14ac:dyDescent="0.25">
      <c r="A642"/>
      <c r="B642" s="29" t="s">
        <v>3</v>
      </c>
      <c r="C642" t="s">
        <v>74</v>
      </c>
      <c r="D642"/>
      <c r="E642"/>
      <c r="F642"/>
      <c r="G642"/>
      <c r="H642"/>
      <c r="I642"/>
      <c r="J642"/>
      <c r="K642"/>
      <c r="L642"/>
      <c r="M642"/>
      <c r="N642"/>
      <c r="O642"/>
      <c r="P642"/>
      <c r="Q642"/>
      <c r="R642"/>
      <c r="S642"/>
      <c r="T642"/>
      <c r="U642"/>
      <c r="V642"/>
    </row>
    <row r="643" spans="1:22" x14ac:dyDescent="0.25">
      <c r="A643"/>
      <c r="B643" s="29" t="s">
        <v>263</v>
      </c>
      <c r="C643" t="s">
        <v>74</v>
      </c>
      <c r="D643"/>
      <c r="E643"/>
      <c r="F643"/>
      <c r="G643"/>
      <c r="H643"/>
      <c r="I643"/>
      <c r="J643"/>
      <c r="K643"/>
      <c r="L643"/>
      <c r="M643"/>
      <c r="N643"/>
      <c r="O643"/>
      <c r="P643"/>
      <c r="Q643"/>
      <c r="R643"/>
      <c r="S643"/>
      <c r="T643"/>
      <c r="U643"/>
      <c r="V643"/>
    </row>
    <row r="644" spans="1:22" x14ac:dyDescent="0.25">
      <c r="A644"/>
      <c r="B644" s="29" t="s">
        <v>4</v>
      </c>
      <c r="C644" t="s">
        <v>74</v>
      </c>
      <c r="E644"/>
      <c r="F644"/>
      <c r="G644"/>
      <c r="H644"/>
      <c r="I644"/>
      <c r="J644"/>
      <c r="K644"/>
      <c r="L644"/>
      <c r="M644"/>
      <c r="N644"/>
      <c r="O644"/>
      <c r="P644"/>
      <c r="Q644"/>
      <c r="R644"/>
      <c r="S644"/>
      <c r="T644"/>
      <c r="U644"/>
      <c r="V644"/>
    </row>
    <row r="645" spans="1:22" x14ac:dyDescent="0.25">
      <c r="A645"/>
      <c r="E645"/>
      <c r="F645"/>
      <c r="G645"/>
      <c r="H645"/>
      <c r="I645"/>
      <c r="J645"/>
      <c r="K645"/>
      <c r="L645"/>
      <c r="M645"/>
      <c r="N645"/>
      <c r="O645"/>
      <c r="P645"/>
      <c r="Q645"/>
      <c r="R645"/>
      <c r="S645"/>
      <c r="T645"/>
      <c r="U645"/>
      <c r="V645"/>
    </row>
    <row r="646" spans="1:22" x14ac:dyDescent="0.25">
      <c r="A646"/>
      <c r="B646" s="29" t="s">
        <v>243</v>
      </c>
      <c r="C646" s="29" t="s">
        <v>256</v>
      </c>
      <c r="D646"/>
      <c r="E646"/>
      <c r="F646"/>
      <c r="G646"/>
      <c r="H646"/>
      <c r="I646"/>
      <c r="J646"/>
      <c r="K646"/>
      <c r="L646"/>
      <c r="M646"/>
      <c r="N646"/>
      <c r="O646"/>
      <c r="P646"/>
      <c r="Q646"/>
      <c r="R646"/>
      <c r="S646"/>
      <c r="T646"/>
      <c r="U646"/>
      <c r="V646"/>
    </row>
    <row r="647" spans="1:22" x14ac:dyDescent="0.25">
      <c r="A647"/>
      <c r="B647" s="29" t="s">
        <v>242</v>
      </c>
      <c r="C647" t="s">
        <v>742</v>
      </c>
      <c r="D647" t="s">
        <v>743</v>
      </c>
      <c r="E647" t="s">
        <v>73</v>
      </c>
      <c r="F647"/>
      <c r="G647"/>
      <c r="H647"/>
      <c r="I647"/>
      <c r="J647"/>
      <c r="K647"/>
      <c r="L647"/>
      <c r="M647"/>
      <c r="N647"/>
      <c r="O647"/>
      <c r="P647"/>
      <c r="Q647"/>
      <c r="R647"/>
      <c r="S647"/>
      <c r="T647"/>
      <c r="U647"/>
      <c r="V647"/>
    </row>
    <row r="648" spans="1:22" x14ac:dyDescent="0.25">
      <c r="A648"/>
      <c r="B648" s="26" t="s">
        <v>180</v>
      </c>
      <c r="C648" s="375">
        <v>8221</v>
      </c>
      <c r="D648" s="375"/>
      <c r="E648" s="375">
        <v>8221</v>
      </c>
      <c r="F648"/>
      <c r="G648"/>
      <c r="H648"/>
      <c r="I648"/>
      <c r="J648"/>
      <c r="K648"/>
      <c r="L648"/>
      <c r="M648"/>
      <c r="N648"/>
      <c r="O648"/>
      <c r="P648"/>
      <c r="Q648"/>
      <c r="R648"/>
      <c r="S648"/>
      <c r="T648"/>
      <c r="U648"/>
      <c r="V648"/>
    </row>
    <row r="649" spans="1:22" x14ac:dyDescent="0.25">
      <c r="A649"/>
      <c r="B649" s="26" t="s">
        <v>107</v>
      </c>
      <c r="C649" s="375">
        <v>2561</v>
      </c>
      <c r="D649" s="375"/>
      <c r="E649" s="375">
        <v>2561</v>
      </c>
      <c r="F649"/>
      <c r="G649"/>
      <c r="H649"/>
      <c r="I649"/>
      <c r="J649"/>
      <c r="K649"/>
      <c r="L649"/>
      <c r="M649"/>
      <c r="N649"/>
      <c r="O649"/>
      <c r="P649"/>
      <c r="Q649"/>
      <c r="R649"/>
      <c r="S649"/>
      <c r="T649"/>
      <c r="U649"/>
      <c r="V649"/>
    </row>
    <row r="650" spans="1:22" x14ac:dyDescent="0.25">
      <c r="A650"/>
      <c r="B650" s="26" t="s">
        <v>110</v>
      </c>
      <c r="C650" s="375">
        <v>3436</v>
      </c>
      <c r="D650" s="375">
        <v>224</v>
      </c>
      <c r="E650" s="375">
        <v>3660</v>
      </c>
      <c r="F650"/>
      <c r="G650"/>
      <c r="H650"/>
      <c r="I650"/>
      <c r="J650"/>
      <c r="K650"/>
      <c r="L650"/>
      <c r="M650"/>
      <c r="N650"/>
      <c r="O650"/>
      <c r="P650"/>
      <c r="Q650"/>
      <c r="R650"/>
      <c r="S650"/>
      <c r="T650"/>
      <c r="U650"/>
      <c r="V650"/>
    </row>
    <row r="651" spans="1:22" x14ac:dyDescent="0.25">
      <c r="A651"/>
      <c r="B651" s="26" t="s">
        <v>128</v>
      </c>
      <c r="C651" s="375"/>
      <c r="D651" s="375">
        <v>17</v>
      </c>
      <c r="E651" s="375">
        <v>17</v>
      </c>
      <c r="F651"/>
      <c r="G651"/>
      <c r="H651"/>
      <c r="I651"/>
      <c r="J651"/>
      <c r="K651"/>
      <c r="L651"/>
      <c r="M651"/>
      <c r="N651"/>
      <c r="O651"/>
      <c r="P651"/>
      <c r="Q651"/>
      <c r="R651"/>
      <c r="S651"/>
      <c r="T651"/>
      <c r="U651"/>
      <c r="V651"/>
    </row>
    <row r="652" spans="1:22" x14ac:dyDescent="0.25">
      <c r="A652"/>
      <c r="B652" s="26" t="s">
        <v>205</v>
      </c>
      <c r="C652" s="375">
        <v>2712</v>
      </c>
      <c r="D652" s="375"/>
      <c r="E652" s="375">
        <v>2712</v>
      </c>
      <c r="F652"/>
      <c r="G652"/>
      <c r="H652"/>
      <c r="I652"/>
      <c r="J652"/>
      <c r="K652"/>
      <c r="L652"/>
      <c r="M652"/>
      <c r="N652"/>
      <c r="O652"/>
      <c r="P652"/>
      <c r="Q652"/>
      <c r="R652"/>
      <c r="S652"/>
      <c r="T652"/>
      <c r="U652"/>
      <c r="V652"/>
    </row>
    <row r="653" spans="1:22" x14ac:dyDescent="0.25">
      <c r="A653"/>
      <c r="B653" s="26" t="s">
        <v>326</v>
      </c>
      <c r="C653" s="375">
        <v>35</v>
      </c>
      <c r="D653" s="375"/>
      <c r="E653" s="375">
        <v>35</v>
      </c>
      <c r="F653"/>
      <c r="G653"/>
      <c r="H653"/>
      <c r="I653"/>
      <c r="J653"/>
      <c r="K653"/>
      <c r="L653"/>
      <c r="M653"/>
      <c r="N653"/>
      <c r="O653"/>
      <c r="P653"/>
      <c r="Q653"/>
      <c r="R653"/>
      <c r="S653"/>
      <c r="T653"/>
      <c r="U653"/>
      <c r="V653"/>
    </row>
    <row r="654" spans="1:22" x14ac:dyDescent="0.25">
      <c r="A654"/>
      <c r="B654" s="26" t="s">
        <v>186</v>
      </c>
      <c r="C654" s="375">
        <v>10646</v>
      </c>
      <c r="D654" s="375">
        <v>499</v>
      </c>
      <c r="E654" s="375">
        <v>11145</v>
      </c>
      <c r="F654"/>
      <c r="G654"/>
      <c r="H654"/>
      <c r="I654"/>
      <c r="J654"/>
      <c r="K654"/>
      <c r="L654"/>
      <c r="M654"/>
      <c r="N654"/>
      <c r="O654"/>
      <c r="P654"/>
      <c r="Q654"/>
      <c r="R654"/>
      <c r="S654"/>
      <c r="T654"/>
      <c r="U654"/>
      <c r="V654"/>
    </row>
    <row r="655" spans="1:22" x14ac:dyDescent="0.25">
      <c r="A655"/>
      <c r="B655" s="26" t="s">
        <v>187</v>
      </c>
      <c r="C655" s="375">
        <v>790</v>
      </c>
      <c r="D655" s="375"/>
      <c r="E655" s="375">
        <v>790</v>
      </c>
      <c r="F655"/>
      <c r="G655"/>
      <c r="H655"/>
      <c r="I655"/>
      <c r="J655"/>
      <c r="K655"/>
      <c r="L655"/>
      <c r="M655"/>
      <c r="N655"/>
      <c r="O655"/>
      <c r="P655"/>
      <c r="Q655"/>
      <c r="R655"/>
      <c r="S655"/>
      <c r="T655"/>
      <c r="U655"/>
      <c r="V655"/>
    </row>
    <row r="656" spans="1:22" x14ac:dyDescent="0.25">
      <c r="A656"/>
      <c r="B656" s="26" t="s">
        <v>225</v>
      </c>
      <c r="C656" s="375">
        <v>164</v>
      </c>
      <c r="D656" s="375"/>
      <c r="E656" s="375">
        <v>164</v>
      </c>
      <c r="F656"/>
      <c r="G656"/>
      <c r="H656"/>
      <c r="I656"/>
      <c r="J656"/>
      <c r="K656"/>
      <c r="L656"/>
      <c r="M656"/>
      <c r="N656"/>
      <c r="O656"/>
      <c r="P656"/>
      <c r="Q656"/>
      <c r="R656"/>
      <c r="S656"/>
      <c r="T656"/>
      <c r="U656"/>
      <c r="V656"/>
    </row>
    <row r="657" spans="1:22" x14ac:dyDescent="0.25">
      <c r="A657"/>
      <c r="B657" s="26" t="s">
        <v>133</v>
      </c>
      <c r="C657" s="375">
        <v>155</v>
      </c>
      <c r="D657" s="375"/>
      <c r="E657" s="375">
        <v>155</v>
      </c>
      <c r="F657"/>
      <c r="G657"/>
      <c r="H657"/>
      <c r="I657"/>
      <c r="J657"/>
      <c r="K657"/>
      <c r="L657"/>
      <c r="M657"/>
      <c r="N657"/>
      <c r="O657"/>
      <c r="P657"/>
      <c r="Q657"/>
      <c r="R657"/>
      <c r="S657"/>
      <c r="T657"/>
      <c r="U657"/>
      <c r="V657"/>
    </row>
    <row r="658" spans="1:22" x14ac:dyDescent="0.25">
      <c r="A658"/>
      <c r="B658" s="26" t="s">
        <v>188</v>
      </c>
      <c r="C658" s="375">
        <v>21830</v>
      </c>
      <c r="D658" s="375">
        <v>262</v>
      </c>
      <c r="E658" s="375">
        <v>22092</v>
      </c>
      <c r="F658"/>
      <c r="G658"/>
      <c r="H658"/>
      <c r="I658"/>
      <c r="J658"/>
      <c r="K658"/>
      <c r="L658"/>
      <c r="M658"/>
      <c r="N658"/>
      <c r="O658"/>
      <c r="P658"/>
      <c r="Q658"/>
      <c r="R658"/>
      <c r="S658"/>
      <c r="T658"/>
      <c r="U658"/>
      <c r="V658"/>
    </row>
    <row r="659" spans="1:22" x14ac:dyDescent="0.25">
      <c r="A659"/>
      <c r="B659" s="26" t="s">
        <v>214</v>
      </c>
      <c r="C659" s="375">
        <v>506</v>
      </c>
      <c r="D659" s="375"/>
      <c r="E659" s="375">
        <v>506</v>
      </c>
      <c r="F659"/>
      <c r="G659"/>
      <c r="H659"/>
      <c r="I659"/>
      <c r="J659"/>
      <c r="K659"/>
      <c r="L659"/>
      <c r="M659"/>
      <c r="N659"/>
      <c r="O659"/>
      <c r="P659"/>
      <c r="Q659"/>
      <c r="R659"/>
      <c r="S659"/>
      <c r="T659"/>
      <c r="U659"/>
      <c r="V659"/>
    </row>
    <row r="660" spans="1:22" x14ac:dyDescent="0.25">
      <c r="A660"/>
      <c r="B660" s="26" t="s">
        <v>135</v>
      </c>
      <c r="C660" s="375">
        <v>6226</v>
      </c>
      <c r="D660" s="375">
        <v>1691</v>
      </c>
      <c r="E660" s="375">
        <v>7917</v>
      </c>
      <c r="F660"/>
      <c r="G660"/>
      <c r="H660"/>
      <c r="I660"/>
      <c r="J660"/>
      <c r="K660"/>
      <c r="L660"/>
      <c r="M660"/>
      <c r="N660"/>
      <c r="O660"/>
      <c r="P660"/>
      <c r="Q660"/>
      <c r="R660"/>
      <c r="S660"/>
      <c r="T660"/>
      <c r="U660"/>
      <c r="V660"/>
    </row>
    <row r="661" spans="1:22" x14ac:dyDescent="0.25">
      <c r="A661"/>
      <c r="B661" s="26" t="s">
        <v>538</v>
      </c>
      <c r="C661" s="375">
        <v>1735</v>
      </c>
      <c r="D661" s="375"/>
      <c r="E661" s="375">
        <v>1735</v>
      </c>
      <c r="F661"/>
      <c r="G661"/>
      <c r="H661"/>
      <c r="I661"/>
      <c r="J661"/>
      <c r="K661"/>
      <c r="L661"/>
      <c r="M661"/>
      <c r="N661"/>
      <c r="P661"/>
      <c r="Q661"/>
      <c r="R661"/>
      <c r="S661"/>
      <c r="T661"/>
      <c r="U661"/>
      <c r="V661"/>
    </row>
    <row r="662" spans="1:22" x14ac:dyDescent="0.25">
      <c r="A662"/>
      <c r="B662" s="26" t="s">
        <v>232</v>
      </c>
      <c r="C662" s="375">
        <v>52</v>
      </c>
      <c r="D662" s="375"/>
      <c r="E662" s="375">
        <v>52</v>
      </c>
      <c r="F662"/>
      <c r="G662"/>
      <c r="H662"/>
      <c r="I662"/>
      <c r="J662"/>
      <c r="K662"/>
      <c r="L662"/>
      <c r="M662"/>
      <c r="N662"/>
      <c r="P662"/>
      <c r="Q662"/>
      <c r="R662"/>
      <c r="S662"/>
      <c r="T662"/>
      <c r="U662"/>
      <c r="V662"/>
    </row>
    <row r="663" spans="1:22" x14ac:dyDescent="0.25">
      <c r="A663"/>
      <c r="B663" s="26" t="s">
        <v>224</v>
      </c>
      <c r="C663" s="375">
        <v>221</v>
      </c>
      <c r="D663" s="375">
        <v>64</v>
      </c>
      <c r="E663" s="375">
        <v>285</v>
      </c>
      <c r="F663"/>
      <c r="G663"/>
      <c r="H663"/>
      <c r="I663"/>
      <c r="J663"/>
      <c r="K663"/>
      <c r="L663"/>
      <c r="M663"/>
      <c r="N663"/>
      <c r="P663"/>
      <c r="Q663"/>
      <c r="R663"/>
      <c r="S663"/>
      <c r="T663"/>
      <c r="U663"/>
      <c r="V663"/>
    </row>
    <row r="664" spans="1:22" x14ac:dyDescent="0.25">
      <c r="A664"/>
      <c r="B664" s="26" t="s">
        <v>223</v>
      </c>
      <c r="C664" s="375">
        <v>453</v>
      </c>
      <c r="D664" s="375">
        <v>40</v>
      </c>
      <c r="E664" s="375">
        <v>493</v>
      </c>
      <c r="F664"/>
      <c r="G664"/>
      <c r="H664"/>
      <c r="I664"/>
      <c r="J664"/>
      <c r="K664"/>
      <c r="L664"/>
      <c r="M664"/>
      <c r="N664"/>
      <c r="P664"/>
      <c r="Q664"/>
      <c r="R664"/>
      <c r="S664"/>
      <c r="T664"/>
      <c r="U664"/>
      <c r="V664"/>
    </row>
    <row r="665" spans="1:22" x14ac:dyDescent="0.25">
      <c r="B665" s="26" t="s">
        <v>158</v>
      </c>
      <c r="C665" s="375">
        <v>24559</v>
      </c>
      <c r="D665" s="375"/>
      <c r="E665" s="375">
        <v>24559</v>
      </c>
      <c r="F665"/>
      <c r="G665"/>
      <c r="H665"/>
      <c r="I665"/>
      <c r="J665"/>
      <c r="K665"/>
      <c r="L665"/>
      <c r="M665"/>
      <c r="N665"/>
      <c r="P665"/>
      <c r="Q665"/>
      <c r="R665"/>
      <c r="S665"/>
      <c r="T665"/>
      <c r="U665"/>
      <c r="V665"/>
    </row>
    <row r="666" spans="1:22" x14ac:dyDescent="0.25">
      <c r="B666" s="26" t="s">
        <v>885</v>
      </c>
      <c r="C666" s="375">
        <v>614</v>
      </c>
      <c r="D666" s="375"/>
      <c r="E666" s="375">
        <v>614</v>
      </c>
      <c r="F666"/>
      <c r="G666"/>
      <c r="H666"/>
      <c r="I666"/>
      <c r="J666"/>
      <c r="K666"/>
      <c r="L666"/>
      <c r="M666"/>
      <c r="N666"/>
    </row>
    <row r="667" spans="1:22" x14ac:dyDescent="0.25">
      <c r="B667" s="26" t="s">
        <v>73</v>
      </c>
      <c r="C667" s="375">
        <v>84916</v>
      </c>
      <c r="D667" s="375">
        <v>2797</v>
      </c>
      <c r="E667" s="375">
        <v>87713</v>
      </c>
      <c r="F667"/>
      <c r="G667"/>
      <c r="H667"/>
      <c r="I667"/>
      <c r="J667"/>
      <c r="K667"/>
      <c r="L667"/>
      <c r="M667"/>
      <c r="N667"/>
    </row>
    <row r="668" spans="1:22" x14ac:dyDescent="0.25">
      <c r="B668"/>
      <c r="C668"/>
      <c r="D668"/>
      <c r="E668"/>
      <c r="F668"/>
      <c r="G668"/>
      <c r="H668"/>
      <c r="I668"/>
      <c r="J668"/>
      <c r="K668"/>
      <c r="L668"/>
      <c r="M668"/>
      <c r="N668"/>
    </row>
    <row r="669" spans="1:22" x14ac:dyDescent="0.25">
      <c r="B669"/>
      <c r="C669"/>
      <c r="D669"/>
      <c r="E669"/>
      <c r="F669"/>
      <c r="G669"/>
      <c r="H669"/>
      <c r="I669"/>
      <c r="J669"/>
      <c r="K669"/>
      <c r="L669"/>
      <c r="M669"/>
      <c r="N669"/>
    </row>
    <row r="670" spans="1:22" x14ac:dyDescent="0.25">
      <c r="B670"/>
      <c r="E670" s="11"/>
    </row>
    <row r="671" spans="1:22" x14ac:dyDescent="0.25">
      <c r="B671"/>
      <c r="E671" s="11"/>
    </row>
    <row r="672" spans="1:22" x14ac:dyDescent="0.25">
      <c r="B672"/>
      <c r="E672" s="11"/>
    </row>
    <row r="673" spans="2:6" x14ac:dyDescent="0.25">
      <c r="B673"/>
      <c r="E673" s="11"/>
    </row>
    <row r="674" spans="2:6" x14ac:dyDescent="0.25">
      <c r="B674"/>
      <c r="C674" s="11"/>
      <c r="D674" s="11"/>
      <c r="E674" s="11"/>
    </row>
    <row r="675" spans="2:6" x14ac:dyDescent="0.25">
      <c r="B675"/>
      <c r="C675" s="11"/>
      <c r="D675" s="11"/>
      <c r="E675" s="11"/>
    </row>
    <row r="676" spans="2:6" x14ac:dyDescent="0.25">
      <c r="B676"/>
      <c r="C676" s="11"/>
      <c r="D676" s="11"/>
      <c r="E676" s="11"/>
    </row>
    <row r="677" spans="2:6" x14ac:dyDescent="0.25">
      <c r="B677"/>
      <c r="C677"/>
      <c r="D677"/>
      <c r="E677"/>
    </row>
    <row r="678" spans="2:6" x14ac:dyDescent="0.25">
      <c r="B678" s="29" t="s">
        <v>3</v>
      </c>
      <c r="C678" t="s">
        <v>74</v>
      </c>
      <c r="D678"/>
      <c r="E678"/>
    </row>
    <row r="679" spans="2:6" x14ac:dyDescent="0.25">
      <c r="B679" s="29" t="s">
        <v>263</v>
      </c>
      <c r="C679" t="s">
        <v>74</v>
      </c>
      <c r="E679"/>
    </row>
    <row r="680" spans="2:6" x14ac:dyDescent="0.25">
      <c r="E680"/>
    </row>
    <row r="681" spans="2:6" x14ac:dyDescent="0.25">
      <c r="B681" s="29" t="s">
        <v>744</v>
      </c>
      <c r="C681" s="29" t="s">
        <v>256</v>
      </c>
      <c r="D681"/>
      <c r="E681"/>
      <c r="F681"/>
    </row>
    <row r="682" spans="2:6" x14ac:dyDescent="0.25">
      <c r="B682" s="29" t="s">
        <v>242</v>
      </c>
      <c r="C682" t="s">
        <v>295</v>
      </c>
      <c r="D682" t="s">
        <v>262</v>
      </c>
      <c r="E682" t="s">
        <v>73</v>
      </c>
      <c r="F682"/>
    </row>
    <row r="683" spans="2:6" x14ac:dyDescent="0.25">
      <c r="B683" s="26" t="s">
        <v>218</v>
      </c>
      <c r="C683" s="375">
        <v>135</v>
      </c>
      <c r="D683" s="375">
        <v>9</v>
      </c>
      <c r="E683" s="375">
        <v>144</v>
      </c>
      <c r="F683"/>
    </row>
    <row r="684" spans="2:6" x14ac:dyDescent="0.25">
      <c r="B684" s="26" t="s">
        <v>226</v>
      </c>
      <c r="C684" s="375">
        <v>30</v>
      </c>
      <c r="D684" s="375">
        <v>1</v>
      </c>
      <c r="E684" s="375">
        <v>31</v>
      </c>
      <c r="F684"/>
    </row>
    <row r="685" spans="2:6" x14ac:dyDescent="0.25">
      <c r="B685" s="26" t="s">
        <v>73</v>
      </c>
      <c r="C685" s="375">
        <v>165</v>
      </c>
      <c r="D685" s="375">
        <v>10</v>
      </c>
      <c r="E685" s="375">
        <v>175</v>
      </c>
      <c r="F685"/>
    </row>
    <row r="686" spans="2:6" x14ac:dyDescent="0.25">
      <c r="B686"/>
      <c r="C686"/>
      <c r="D686"/>
      <c r="E686"/>
    </row>
    <row r="687" spans="2:6" x14ac:dyDescent="0.25">
      <c r="B687"/>
      <c r="C687"/>
      <c r="D687"/>
      <c r="E687"/>
    </row>
    <row r="688" spans="2:6" x14ac:dyDescent="0.25">
      <c r="B688"/>
      <c r="C688"/>
      <c r="D688"/>
      <c r="E688"/>
    </row>
    <row r="689" spans="2:5" x14ac:dyDescent="0.25">
      <c r="B689"/>
      <c r="C689"/>
      <c r="D689"/>
      <c r="E689"/>
    </row>
    <row r="690" spans="2:5" x14ac:dyDescent="0.25">
      <c r="B690"/>
      <c r="C690"/>
      <c r="D690"/>
      <c r="E690"/>
    </row>
    <row r="691" spans="2:5" x14ac:dyDescent="0.25">
      <c r="B691"/>
      <c r="C691"/>
      <c r="D691"/>
      <c r="E691"/>
    </row>
    <row r="692" spans="2:5" x14ac:dyDescent="0.25">
      <c r="B692"/>
      <c r="C692"/>
      <c r="D692"/>
      <c r="E692"/>
    </row>
    <row r="693" spans="2:5" x14ac:dyDescent="0.25">
      <c r="B693"/>
      <c r="C693"/>
      <c r="D693"/>
      <c r="E693"/>
    </row>
    <row r="694" spans="2:5" x14ac:dyDescent="0.25">
      <c r="B694"/>
      <c r="C694"/>
      <c r="D694"/>
      <c r="E694"/>
    </row>
    <row r="695" spans="2:5" x14ac:dyDescent="0.25">
      <c r="B695" s="29" t="s">
        <v>3</v>
      </c>
      <c r="C695" t="s">
        <v>74</v>
      </c>
      <c r="D695"/>
      <c r="E695"/>
    </row>
    <row r="696" spans="2:5" x14ac:dyDescent="0.25">
      <c r="B696" s="29" t="s">
        <v>4</v>
      </c>
      <c r="C696" t="s">
        <v>74</v>
      </c>
      <c r="E696"/>
    </row>
    <row r="697" spans="2:5" x14ac:dyDescent="0.25">
      <c r="E697"/>
    </row>
    <row r="698" spans="2:5" x14ac:dyDescent="0.25">
      <c r="B698" s="29" t="s">
        <v>744</v>
      </c>
      <c r="C698" s="29" t="s">
        <v>256</v>
      </c>
      <c r="D698"/>
      <c r="E698"/>
    </row>
    <row r="699" spans="2:5" x14ac:dyDescent="0.25">
      <c r="B699" s="29" t="s">
        <v>242</v>
      </c>
      <c r="C699" t="s">
        <v>295</v>
      </c>
      <c r="D699" t="s">
        <v>262</v>
      </c>
      <c r="E699" t="s">
        <v>73</v>
      </c>
    </row>
    <row r="700" spans="2:5" x14ac:dyDescent="0.25">
      <c r="B700" s="26" t="s">
        <v>264</v>
      </c>
      <c r="C700" s="375">
        <v>22</v>
      </c>
      <c r="D700" s="375"/>
      <c r="E700" s="375">
        <v>22</v>
      </c>
    </row>
    <row r="701" spans="2:5" x14ac:dyDescent="0.25">
      <c r="B701" s="26" t="s">
        <v>265</v>
      </c>
      <c r="C701" s="375">
        <v>39</v>
      </c>
      <c r="D701" s="375">
        <v>1</v>
      </c>
      <c r="E701" s="375">
        <v>40</v>
      </c>
    </row>
    <row r="702" spans="2:5" x14ac:dyDescent="0.25">
      <c r="B702" s="26" t="s">
        <v>266</v>
      </c>
      <c r="C702" s="375">
        <v>5</v>
      </c>
      <c r="D702" s="375"/>
      <c r="E702" s="375">
        <v>5</v>
      </c>
    </row>
    <row r="703" spans="2:5" x14ac:dyDescent="0.25">
      <c r="B703" s="26" t="s">
        <v>267</v>
      </c>
      <c r="C703" s="375">
        <v>24</v>
      </c>
      <c r="D703" s="375">
        <v>7</v>
      </c>
      <c r="E703" s="375">
        <v>31</v>
      </c>
    </row>
    <row r="704" spans="2:5" x14ac:dyDescent="0.25">
      <c r="B704" s="26" t="s">
        <v>268</v>
      </c>
      <c r="C704" s="375">
        <v>15</v>
      </c>
      <c r="D704" s="375"/>
      <c r="E704" s="375">
        <v>15</v>
      </c>
    </row>
    <row r="705" spans="2:5" x14ac:dyDescent="0.25">
      <c r="B705" s="26" t="s">
        <v>273</v>
      </c>
      <c r="C705" s="375">
        <v>24</v>
      </c>
      <c r="D705" s="375"/>
      <c r="E705" s="375">
        <v>24</v>
      </c>
    </row>
    <row r="706" spans="2:5" x14ac:dyDescent="0.25">
      <c r="B706" s="26" t="s">
        <v>274</v>
      </c>
      <c r="C706" s="375">
        <v>12</v>
      </c>
      <c r="D706" s="375"/>
      <c r="E706" s="375">
        <v>12</v>
      </c>
    </row>
    <row r="707" spans="2:5" x14ac:dyDescent="0.25">
      <c r="B707" s="26" t="s">
        <v>275</v>
      </c>
      <c r="C707" s="375">
        <v>9</v>
      </c>
      <c r="D707" s="375">
        <v>1</v>
      </c>
      <c r="E707" s="375">
        <v>10</v>
      </c>
    </row>
    <row r="708" spans="2:5" x14ac:dyDescent="0.25">
      <c r="B708" s="26" t="s">
        <v>276</v>
      </c>
      <c r="C708" s="375">
        <v>4</v>
      </c>
      <c r="D708" s="375"/>
      <c r="E708" s="375">
        <v>4</v>
      </c>
    </row>
    <row r="709" spans="2:5" x14ac:dyDescent="0.25">
      <c r="B709" s="26" t="s">
        <v>323</v>
      </c>
      <c r="C709" s="375">
        <v>11</v>
      </c>
      <c r="D709" s="375">
        <v>1</v>
      </c>
      <c r="E709" s="375">
        <v>12</v>
      </c>
    </row>
    <row r="710" spans="2:5" x14ac:dyDescent="0.25">
      <c r="B710" s="26" t="s">
        <v>73</v>
      </c>
      <c r="C710" s="375">
        <v>165</v>
      </c>
      <c r="D710" s="375">
        <v>10</v>
      </c>
      <c r="E710" s="375">
        <v>175</v>
      </c>
    </row>
    <row r="711" spans="2:5" x14ac:dyDescent="0.25">
      <c r="B711"/>
      <c r="C711" s="11"/>
      <c r="D711" s="11"/>
      <c r="E711" s="11"/>
    </row>
    <row r="712" spans="2:5" x14ac:dyDescent="0.25">
      <c r="B712"/>
      <c r="C712" s="11"/>
      <c r="D712" s="11"/>
      <c r="E712" s="11"/>
    </row>
    <row r="713" spans="2:5" x14ac:dyDescent="0.25">
      <c r="B713"/>
      <c r="C713" s="11"/>
      <c r="D713" s="11"/>
      <c r="E713" s="11"/>
    </row>
    <row r="714" spans="2:5" x14ac:dyDescent="0.25">
      <c r="B714"/>
      <c r="C714" s="11"/>
      <c r="D714" s="11"/>
      <c r="E714" s="11"/>
    </row>
    <row r="715" spans="2:5" x14ac:dyDescent="0.25">
      <c r="B715"/>
      <c r="C715" s="11"/>
      <c r="D715" s="11"/>
      <c r="E715" s="11"/>
    </row>
    <row r="716" spans="2:5" x14ac:dyDescent="0.25">
      <c r="B716"/>
      <c r="C716" s="11"/>
      <c r="D716" s="11"/>
      <c r="E716" s="11"/>
    </row>
    <row r="717" spans="2:5" x14ac:dyDescent="0.25">
      <c r="B717"/>
      <c r="C717"/>
      <c r="D717" s="11"/>
      <c r="E717" s="11"/>
    </row>
    <row r="718" spans="2:5" x14ac:dyDescent="0.25">
      <c r="B718" s="29" t="s">
        <v>4</v>
      </c>
      <c r="C718" t="s">
        <v>74</v>
      </c>
      <c r="D718"/>
      <c r="E718"/>
    </row>
    <row r="719" spans="2:5" x14ac:dyDescent="0.25">
      <c r="B719" s="29" t="s">
        <v>263</v>
      </c>
      <c r="C719" t="s">
        <v>74</v>
      </c>
      <c r="E719"/>
    </row>
    <row r="720" spans="2:5" x14ac:dyDescent="0.25">
      <c r="E720"/>
    </row>
    <row r="721" spans="2:18" ht="94.5" x14ac:dyDescent="0.25">
      <c r="B721" s="430" t="s">
        <v>242</v>
      </c>
      <c r="C721" s="432" t="s">
        <v>827</v>
      </c>
      <c r="D721" s="432" t="s">
        <v>826</v>
      </c>
      <c r="E721" s="432" t="s">
        <v>745</v>
      </c>
      <c r="F721" s="432" t="s">
        <v>746</v>
      </c>
      <c r="G721"/>
      <c r="H721"/>
      <c r="I721"/>
      <c r="J721"/>
      <c r="K721"/>
      <c r="L721"/>
      <c r="M721"/>
      <c r="N721"/>
      <c r="O721"/>
      <c r="P721"/>
      <c r="Q721"/>
      <c r="R721"/>
    </row>
    <row r="722" spans="2:18" x14ac:dyDescent="0.25">
      <c r="B722" s="26" t="s">
        <v>709</v>
      </c>
      <c r="C722" s="375">
        <v>4</v>
      </c>
      <c r="D722" s="375">
        <v>4073</v>
      </c>
      <c r="E722" s="371">
        <v>1</v>
      </c>
      <c r="F722" s="371">
        <v>0.96415418610360915</v>
      </c>
      <c r="G722"/>
      <c r="H722"/>
      <c r="I722"/>
      <c r="J722"/>
      <c r="K722"/>
      <c r="L722"/>
      <c r="M722"/>
      <c r="N722"/>
      <c r="O722"/>
      <c r="P722"/>
      <c r="Q722"/>
      <c r="R722"/>
    </row>
    <row r="723" spans="2:18" s="431" customFormat="1" x14ac:dyDescent="0.25">
      <c r="B723" s="425" t="s">
        <v>180</v>
      </c>
      <c r="C723" s="375">
        <v>1</v>
      </c>
      <c r="D723" s="375">
        <v>926</v>
      </c>
      <c r="E723" s="371">
        <v>1</v>
      </c>
      <c r="F723" s="371">
        <v>1</v>
      </c>
      <c r="G723"/>
      <c r="H723"/>
      <c r="I723"/>
      <c r="J723"/>
      <c r="K723"/>
      <c r="L723"/>
      <c r="M723"/>
      <c r="N723"/>
      <c r="O723"/>
      <c r="P723"/>
      <c r="Q723"/>
      <c r="R723"/>
    </row>
    <row r="724" spans="2:18" x14ac:dyDescent="0.25">
      <c r="B724" s="426" t="s">
        <v>530</v>
      </c>
      <c r="C724" s="375">
        <v>1</v>
      </c>
      <c r="D724" s="375">
        <v>926</v>
      </c>
      <c r="E724" s="371">
        <v>1</v>
      </c>
      <c r="F724" s="371">
        <v>1</v>
      </c>
      <c r="G724"/>
      <c r="H724"/>
      <c r="I724"/>
      <c r="J724"/>
      <c r="K724"/>
      <c r="L724"/>
      <c r="M724"/>
      <c r="N724"/>
      <c r="O724"/>
      <c r="P724"/>
      <c r="Q724"/>
      <c r="R724"/>
    </row>
    <row r="725" spans="2:18" x14ac:dyDescent="0.25">
      <c r="B725" s="425" t="s">
        <v>186</v>
      </c>
      <c r="C725" s="375">
        <v>2</v>
      </c>
      <c r="D725" s="375">
        <v>1786</v>
      </c>
      <c r="E725" s="371">
        <v>1</v>
      </c>
      <c r="F725" s="371">
        <v>0.91825307950727886</v>
      </c>
      <c r="G725"/>
      <c r="H725"/>
      <c r="I725"/>
      <c r="J725"/>
      <c r="K725"/>
      <c r="L725"/>
      <c r="M725"/>
      <c r="N725"/>
      <c r="O725"/>
      <c r="P725"/>
      <c r="Q725"/>
      <c r="R725"/>
    </row>
    <row r="726" spans="2:18" x14ac:dyDescent="0.25">
      <c r="B726" s="385" t="s">
        <v>509</v>
      </c>
      <c r="C726" s="375">
        <v>2</v>
      </c>
      <c r="D726" s="375">
        <v>1786</v>
      </c>
      <c r="E726" s="371">
        <v>1</v>
      </c>
      <c r="F726" s="371">
        <v>0.91825307950727886</v>
      </c>
      <c r="G726"/>
      <c r="H726"/>
      <c r="I726"/>
      <c r="J726"/>
      <c r="K726"/>
      <c r="L726"/>
      <c r="M726"/>
      <c r="N726"/>
      <c r="O726"/>
      <c r="P726"/>
      <c r="Q726"/>
      <c r="R726"/>
    </row>
    <row r="727" spans="2:18" x14ac:dyDescent="0.25">
      <c r="B727" s="425" t="s">
        <v>188</v>
      </c>
      <c r="C727" s="375">
        <v>1</v>
      </c>
      <c r="D727" s="375">
        <v>1361</v>
      </c>
      <c r="E727" s="371">
        <v>1</v>
      </c>
      <c r="F727" s="371">
        <v>1</v>
      </c>
      <c r="G727"/>
      <c r="H727"/>
      <c r="I727"/>
      <c r="J727"/>
      <c r="K727"/>
      <c r="L727"/>
      <c r="M727"/>
      <c r="N727"/>
      <c r="O727"/>
      <c r="P727"/>
      <c r="Q727"/>
      <c r="R727"/>
    </row>
    <row r="728" spans="2:18" x14ac:dyDescent="0.25">
      <c r="B728" s="426" t="s">
        <v>530</v>
      </c>
      <c r="C728" s="375">
        <v>1</v>
      </c>
      <c r="D728" s="375">
        <v>1361</v>
      </c>
      <c r="E728" s="371">
        <v>1</v>
      </c>
      <c r="F728" s="371">
        <v>1</v>
      </c>
      <c r="G728"/>
      <c r="H728"/>
      <c r="I728"/>
      <c r="J728"/>
      <c r="K728"/>
      <c r="L728"/>
      <c r="M728"/>
      <c r="N728"/>
      <c r="O728"/>
      <c r="P728"/>
      <c r="Q728"/>
      <c r="R728"/>
    </row>
    <row r="729" spans="2:18" x14ac:dyDescent="0.25">
      <c r="B729" s="26" t="s">
        <v>239</v>
      </c>
      <c r="C729" s="375">
        <v>37</v>
      </c>
      <c r="D729" s="375">
        <v>26333</v>
      </c>
      <c r="E729" s="371">
        <v>0.86334257395663239</v>
      </c>
      <c r="F729" s="371">
        <v>0.88774541449891775</v>
      </c>
      <c r="G729"/>
      <c r="H729"/>
      <c r="I729"/>
      <c r="J729"/>
      <c r="K729"/>
      <c r="L729"/>
      <c r="M729"/>
      <c r="N729"/>
      <c r="O729"/>
      <c r="P729"/>
      <c r="Q729"/>
      <c r="R729"/>
    </row>
    <row r="730" spans="2:18" x14ac:dyDescent="0.25">
      <c r="B730" s="425" t="s">
        <v>107</v>
      </c>
      <c r="C730" s="375">
        <v>1</v>
      </c>
      <c r="D730" s="375">
        <v>873</v>
      </c>
      <c r="E730" s="371">
        <v>1</v>
      </c>
      <c r="F730" s="371">
        <v>1</v>
      </c>
      <c r="G730"/>
      <c r="H730"/>
      <c r="I730"/>
      <c r="J730"/>
      <c r="K730"/>
      <c r="L730"/>
      <c r="M730"/>
      <c r="N730"/>
      <c r="O730"/>
      <c r="P730"/>
      <c r="Q730"/>
      <c r="R730"/>
    </row>
    <row r="731" spans="2:18" x14ac:dyDescent="0.25">
      <c r="B731" s="385" t="s">
        <v>509</v>
      </c>
      <c r="C731" s="375">
        <v>1</v>
      </c>
      <c r="D731" s="375">
        <v>873</v>
      </c>
      <c r="E731" s="371">
        <v>1</v>
      </c>
      <c r="F731" s="371">
        <v>1</v>
      </c>
      <c r="G731"/>
      <c r="H731"/>
      <c r="I731"/>
      <c r="J731"/>
      <c r="K731"/>
      <c r="L731"/>
      <c r="M731"/>
      <c r="N731"/>
      <c r="O731"/>
      <c r="P731"/>
      <c r="Q731"/>
      <c r="R731"/>
    </row>
    <row r="732" spans="2:18" x14ac:dyDescent="0.25">
      <c r="B732" s="425" t="s">
        <v>110</v>
      </c>
      <c r="C732" s="375">
        <v>1</v>
      </c>
      <c r="D732" s="375">
        <v>60</v>
      </c>
      <c r="E732" s="371">
        <v>1</v>
      </c>
      <c r="F732" s="371">
        <v>1</v>
      </c>
      <c r="G732"/>
      <c r="H732"/>
      <c r="I732"/>
      <c r="J732"/>
      <c r="K732"/>
      <c r="L732"/>
      <c r="M732"/>
      <c r="N732"/>
      <c r="O732"/>
      <c r="P732"/>
      <c r="Q732"/>
      <c r="R732"/>
    </row>
    <row r="733" spans="2:18" x14ac:dyDescent="0.25">
      <c r="B733" s="385" t="s">
        <v>509</v>
      </c>
      <c r="C733" s="375">
        <v>1</v>
      </c>
      <c r="D733" s="375">
        <v>60</v>
      </c>
      <c r="E733" s="371">
        <v>1</v>
      </c>
      <c r="F733" s="371">
        <v>1</v>
      </c>
      <c r="G733"/>
      <c r="H733"/>
      <c r="I733"/>
      <c r="J733"/>
      <c r="K733"/>
      <c r="L733"/>
      <c r="M733"/>
      <c r="N733"/>
      <c r="O733"/>
      <c r="P733"/>
      <c r="Q733"/>
      <c r="R733"/>
    </row>
    <row r="734" spans="2:18" x14ac:dyDescent="0.25">
      <c r="B734" s="425" t="s">
        <v>326</v>
      </c>
      <c r="C734" s="375">
        <v>1</v>
      </c>
      <c r="D734" s="375">
        <v>35</v>
      </c>
      <c r="E734" s="371">
        <v>1</v>
      </c>
      <c r="F734" s="371">
        <v>0.5714285714285714</v>
      </c>
      <c r="G734"/>
      <c r="H734"/>
      <c r="I734"/>
      <c r="J734"/>
      <c r="K734"/>
      <c r="L734"/>
      <c r="M734"/>
      <c r="N734"/>
      <c r="O734"/>
      <c r="P734"/>
      <c r="Q734"/>
      <c r="R734"/>
    </row>
    <row r="735" spans="2:18" x14ac:dyDescent="0.25">
      <c r="B735" s="385" t="s">
        <v>509</v>
      </c>
      <c r="C735" s="375">
        <v>1</v>
      </c>
      <c r="D735" s="375">
        <v>35</v>
      </c>
      <c r="E735" s="371">
        <v>1</v>
      </c>
      <c r="F735" s="371">
        <v>0.5714285714285714</v>
      </c>
      <c r="G735"/>
      <c r="H735"/>
      <c r="I735"/>
      <c r="J735"/>
      <c r="K735"/>
      <c r="L735"/>
      <c r="M735"/>
      <c r="N735"/>
      <c r="O735"/>
      <c r="P735"/>
      <c r="Q735"/>
      <c r="R735"/>
    </row>
    <row r="736" spans="2:18" x14ac:dyDescent="0.25">
      <c r="B736" s="425" t="s">
        <v>225</v>
      </c>
      <c r="C736" s="375">
        <v>3</v>
      </c>
      <c r="D736" s="375">
        <v>164</v>
      </c>
      <c r="E736" s="371">
        <v>1</v>
      </c>
      <c r="F736" s="371">
        <v>1</v>
      </c>
      <c r="G736"/>
      <c r="H736"/>
      <c r="I736"/>
      <c r="J736"/>
      <c r="K736"/>
      <c r="L736"/>
      <c r="M736"/>
      <c r="N736"/>
      <c r="O736"/>
      <c r="P736"/>
      <c r="Q736"/>
      <c r="R736"/>
    </row>
    <row r="737" spans="2:18" x14ac:dyDescent="0.25">
      <c r="B737" s="385" t="s">
        <v>509</v>
      </c>
      <c r="C737" s="375">
        <v>3</v>
      </c>
      <c r="D737" s="375">
        <v>164</v>
      </c>
      <c r="E737" s="371">
        <v>1</v>
      </c>
      <c r="F737" s="371">
        <v>1</v>
      </c>
      <c r="G737"/>
      <c r="H737"/>
      <c r="I737"/>
      <c r="J737"/>
      <c r="K737"/>
      <c r="L737"/>
      <c r="M737"/>
      <c r="N737"/>
      <c r="O737"/>
      <c r="P737"/>
      <c r="Q737"/>
      <c r="R737"/>
    </row>
    <row r="738" spans="2:18" x14ac:dyDescent="0.25">
      <c r="B738" s="425" t="s">
        <v>133</v>
      </c>
      <c r="C738" s="375">
        <v>1</v>
      </c>
      <c r="D738" s="375">
        <v>104</v>
      </c>
      <c r="E738" s="371">
        <v>1</v>
      </c>
      <c r="F738" s="371">
        <v>0.96153846153846156</v>
      </c>
      <c r="G738"/>
      <c r="H738"/>
      <c r="I738"/>
      <c r="J738"/>
      <c r="K738"/>
      <c r="L738"/>
      <c r="M738"/>
      <c r="N738"/>
      <c r="O738"/>
      <c r="P738"/>
      <c r="Q738"/>
      <c r="R738"/>
    </row>
    <row r="739" spans="2:18" x14ac:dyDescent="0.25">
      <c r="B739" s="385" t="s">
        <v>509</v>
      </c>
      <c r="C739" s="375">
        <v>1</v>
      </c>
      <c r="D739" s="375">
        <v>104</v>
      </c>
      <c r="E739" s="371">
        <v>1</v>
      </c>
      <c r="F739" s="371">
        <v>0.96153846153846156</v>
      </c>
      <c r="G739"/>
      <c r="H739"/>
      <c r="I739"/>
      <c r="J739"/>
      <c r="K739"/>
      <c r="L739"/>
      <c r="M739"/>
      <c r="N739"/>
      <c r="O739"/>
      <c r="P739"/>
      <c r="Q739"/>
      <c r="R739"/>
    </row>
    <row r="740" spans="2:18" x14ac:dyDescent="0.25">
      <c r="B740" s="425" t="s">
        <v>188</v>
      </c>
      <c r="C740" s="375">
        <v>1</v>
      </c>
      <c r="D740" s="375">
        <v>7108</v>
      </c>
      <c r="E740" s="371">
        <v>0.50385481148002254</v>
      </c>
      <c r="F740" s="371">
        <v>1</v>
      </c>
      <c r="G740"/>
      <c r="H740"/>
      <c r="I740"/>
      <c r="J740"/>
      <c r="K740"/>
      <c r="L740"/>
      <c r="M740"/>
      <c r="N740"/>
      <c r="O740"/>
      <c r="P740"/>
      <c r="Q740"/>
      <c r="R740"/>
    </row>
    <row r="741" spans="2:18" x14ac:dyDescent="0.25">
      <c r="B741" s="385" t="s">
        <v>509</v>
      </c>
      <c r="C741" s="375">
        <v>1</v>
      </c>
      <c r="D741" s="375">
        <v>7108</v>
      </c>
      <c r="E741" s="371">
        <v>0.50385481148002254</v>
      </c>
      <c r="F741" s="371">
        <v>1</v>
      </c>
      <c r="G741"/>
      <c r="H741"/>
      <c r="I741"/>
      <c r="J741"/>
      <c r="K741"/>
      <c r="L741"/>
      <c r="M741"/>
      <c r="N741"/>
      <c r="O741"/>
      <c r="P741"/>
      <c r="Q741"/>
      <c r="R741"/>
    </row>
    <row r="742" spans="2:18" x14ac:dyDescent="0.25">
      <c r="B742" s="425" t="s">
        <v>135</v>
      </c>
      <c r="C742" s="375">
        <v>15</v>
      </c>
      <c r="D742" s="375">
        <v>4621</v>
      </c>
      <c r="E742" s="371">
        <v>1</v>
      </c>
      <c r="F742" s="371">
        <v>0.86821034408136766</v>
      </c>
      <c r="G742"/>
      <c r="H742"/>
      <c r="I742"/>
      <c r="J742"/>
      <c r="K742"/>
      <c r="L742"/>
      <c r="M742"/>
      <c r="N742"/>
      <c r="O742"/>
      <c r="P742"/>
      <c r="Q742"/>
      <c r="R742"/>
    </row>
    <row r="743" spans="2:18" x14ac:dyDescent="0.25">
      <c r="B743" s="385" t="s">
        <v>509</v>
      </c>
      <c r="C743" s="375">
        <v>15</v>
      </c>
      <c r="D743" s="375">
        <v>4621</v>
      </c>
      <c r="E743" s="371">
        <v>1</v>
      </c>
      <c r="F743" s="371">
        <v>0.86821034408136766</v>
      </c>
      <c r="G743"/>
      <c r="H743"/>
      <c r="I743"/>
      <c r="J743"/>
      <c r="K743"/>
      <c r="L743"/>
      <c r="M743"/>
      <c r="N743"/>
      <c r="O743"/>
      <c r="P743"/>
      <c r="Q743"/>
      <c r="R743"/>
    </row>
    <row r="744" spans="2:18" x14ac:dyDescent="0.25">
      <c r="B744" s="425" t="s">
        <v>224</v>
      </c>
      <c r="C744" s="375">
        <v>3</v>
      </c>
      <c r="D744" s="375">
        <v>221</v>
      </c>
      <c r="E744" s="371">
        <v>0.67420814479638014</v>
      </c>
      <c r="F744" s="371">
        <v>0.78733031674208143</v>
      </c>
      <c r="G744"/>
      <c r="H744"/>
      <c r="I744"/>
      <c r="J744"/>
      <c r="K744"/>
      <c r="L744"/>
      <c r="M744"/>
      <c r="N744"/>
      <c r="O744"/>
      <c r="P744"/>
      <c r="Q744"/>
      <c r="R744"/>
    </row>
    <row r="745" spans="2:18" x14ac:dyDescent="0.25">
      <c r="B745" s="385" t="s">
        <v>509</v>
      </c>
      <c r="C745" s="375">
        <v>2</v>
      </c>
      <c r="D745" s="375">
        <v>169</v>
      </c>
      <c r="E745" s="371">
        <v>0.57396449704142016</v>
      </c>
      <c r="F745" s="371">
        <v>0.72189349112426038</v>
      </c>
      <c r="G745"/>
      <c r="H745"/>
      <c r="I745"/>
      <c r="J745"/>
      <c r="K745"/>
      <c r="L745"/>
      <c r="M745"/>
      <c r="N745"/>
      <c r="O745"/>
      <c r="P745"/>
      <c r="Q745"/>
      <c r="R745"/>
    </row>
    <row r="746" spans="2:18" x14ac:dyDescent="0.25">
      <c r="B746" s="426" t="s">
        <v>530</v>
      </c>
      <c r="C746" s="375">
        <v>1</v>
      </c>
      <c r="D746" s="375">
        <v>52</v>
      </c>
      <c r="E746" s="371">
        <v>1</v>
      </c>
      <c r="F746" s="371">
        <v>1</v>
      </c>
      <c r="G746"/>
      <c r="H746"/>
      <c r="I746"/>
      <c r="J746"/>
      <c r="K746"/>
      <c r="L746"/>
      <c r="M746"/>
      <c r="N746"/>
      <c r="O746"/>
      <c r="P746"/>
      <c r="Q746"/>
      <c r="R746"/>
    </row>
    <row r="747" spans="2:18" x14ac:dyDescent="0.25">
      <c r="B747" s="425" t="s">
        <v>158</v>
      </c>
      <c r="C747" s="375">
        <v>11</v>
      </c>
      <c r="D747" s="375">
        <v>13147</v>
      </c>
      <c r="E747" s="371">
        <v>1</v>
      </c>
      <c r="F747" s="371">
        <v>0.82650034228341063</v>
      </c>
      <c r="G747"/>
      <c r="H747"/>
      <c r="I747"/>
      <c r="J747"/>
      <c r="K747"/>
      <c r="L747"/>
      <c r="M747"/>
      <c r="N747"/>
      <c r="O747"/>
      <c r="P747"/>
      <c r="Q747"/>
      <c r="R747"/>
    </row>
    <row r="748" spans="2:18" x14ac:dyDescent="0.25">
      <c r="B748" s="385" t="s">
        <v>509</v>
      </c>
      <c r="C748" s="375">
        <v>11</v>
      </c>
      <c r="D748" s="375">
        <v>13147</v>
      </c>
      <c r="E748" s="371">
        <v>1</v>
      </c>
      <c r="F748" s="371">
        <v>0.82650034228341063</v>
      </c>
      <c r="G748"/>
      <c r="H748"/>
      <c r="I748"/>
      <c r="J748"/>
      <c r="K748"/>
      <c r="L748"/>
      <c r="M748"/>
      <c r="N748"/>
      <c r="O748"/>
      <c r="P748"/>
      <c r="Q748"/>
      <c r="R748"/>
    </row>
    <row r="749" spans="2:18" x14ac:dyDescent="0.25">
      <c r="B749" s="26" t="s">
        <v>235</v>
      </c>
      <c r="C749" s="375">
        <v>17</v>
      </c>
      <c r="D749" s="375">
        <v>6500</v>
      </c>
      <c r="E749" s="371">
        <v>0.93138461538461537</v>
      </c>
      <c r="F749" s="371">
        <v>0.84723076923076923</v>
      </c>
      <c r="G749"/>
      <c r="H749"/>
      <c r="I749"/>
      <c r="J749"/>
      <c r="K749"/>
      <c r="L749"/>
      <c r="M749"/>
      <c r="N749"/>
      <c r="O749"/>
      <c r="P749"/>
      <c r="Q749"/>
      <c r="R749"/>
    </row>
    <row r="750" spans="2:18" x14ac:dyDescent="0.25">
      <c r="B750" s="425" t="s">
        <v>107</v>
      </c>
      <c r="C750" s="375">
        <v>3</v>
      </c>
      <c r="D750" s="375">
        <v>533</v>
      </c>
      <c r="E750" s="371">
        <v>1</v>
      </c>
      <c r="F750" s="371">
        <v>0.83489681050656661</v>
      </c>
      <c r="G750"/>
      <c r="H750"/>
      <c r="I750"/>
      <c r="J750"/>
      <c r="K750"/>
      <c r="L750"/>
      <c r="M750"/>
      <c r="N750"/>
      <c r="O750"/>
      <c r="P750"/>
      <c r="Q750"/>
      <c r="R750"/>
    </row>
    <row r="751" spans="2:18" x14ac:dyDescent="0.25">
      <c r="B751" s="385" t="s">
        <v>509</v>
      </c>
      <c r="C751" s="375">
        <v>2</v>
      </c>
      <c r="D751" s="375">
        <v>488</v>
      </c>
      <c r="E751" s="371">
        <v>1</v>
      </c>
      <c r="F751" s="371">
        <v>0.81967213114754101</v>
      </c>
      <c r="G751"/>
      <c r="H751"/>
      <c r="I751"/>
      <c r="J751"/>
      <c r="K751"/>
      <c r="L751"/>
      <c r="M751"/>
      <c r="N751"/>
      <c r="O751"/>
      <c r="P751"/>
      <c r="Q751"/>
      <c r="R751"/>
    </row>
    <row r="752" spans="2:18" x14ac:dyDescent="0.25">
      <c r="B752" s="385" t="s">
        <v>510</v>
      </c>
      <c r="C752" s="375">
        <v>1</v>
      </c>
      <c r="D752" s="375">
        <v>45</v>
      </c>
      <c r="E752" s="371">
        <v>1</v>
      </c>
      <c r="F752" s="371">
        <v>1</v>
      </c>
      <c r="G752"/>
      <c r="H752"/>
      <c r="I752"/>
      <c r="J752"/>
      <c r="K752"/>
      <c r="L752"/>
      <c r="M752"/>
      <c r="N752"/>
      <c r="O752"/>
      <c r="P752"/>
      <c r="Q752"/>
      <c r="R752"/>
    </row>
    <row r="753" spans="2:18" x14ac:dyDescent="0.25">
      <c r="B753" s="425" t="s">
        <v>110</v>
      </c>
      <c r="C753" s="375">
        <v>2</v>
      </c>
      <c r="D753" s="375">
        <v>697</v>
      </c>
      <c r="E753" s="371">
        <v>1</v>
      </c>
      <c r="F753" s="371">
        <v>0.83213773314203732</v>
      </c>
      <c r="G753"/>
      <c r="H753"/>
      <c r="I753"/>
      <c r="J753"/>
      <c r="K753"/>
      <c r="L753"/>
      <c r="M753"/>
      <c r="N753"/>
      <c r="O753"/>
      <c r="P753"/>
      <c r="Q753"/>
      <c r="R753"/>
    </row>
    <row r="754" spans="2:18" x14ac:dyDescent="0.25">
      <c r="B754" s="385" t="s">
        <v>509</v>
      </c>
      <c r="C754" s="375">
        <v>2</v>
      </c>
      <c r="D754" s="375">
        <v>697</v>
      </c>
      <c r="E754" s="371">
        <v>1</v>
      </c>
      <c r="F754" s="371">
        <v>0.83213773314203732</v>
      </c>
      <c r="G754"/>
      <c r="H754"/>
      <c r="I754"/>
      <c r="J754"/>
      <c r="K754"/>
      <c r="L754"/>
      <c r="M754"/>
      <c r="N754"/>
      <c r="O754"/>
      <c r="P754"/>
      <c r="Q754"/>
      <c r="R754"/>
    </row>
    <row r="755" spans="2:18" x14ac:dyDescent="0.25">
      <c r="B755" s="425" t="s">
        <v>205</v>
      </c>
      <c r="C755" s="375">
        <v>2</v>
      </c>
      <c r="D755" s="375">
        <v>500</v>
      </c>
      <c r="E755" s="371">
        <v>1</v>
      </c>
      <c r="F755" s="371">
        <v>1</v>
      </c>
      <c r="G755"/>
      <c r="H755"/>
      <c r="I755"/>
      <c r="J755"/>
      <c r="K755"/>
      <c r="L755"/>
      <c r="M755"/>
      <c r="N755"/>
      <c r="O755"/>
      <c r="P755"/>
      <c r="Q755"/>
      <c r="R755"/>
    </row>
    <row r="756" spans="2:18" x14ac:dyDescent="0.25">
      <c r="B756" s="385" t="s">
        <v>509</v>
      </c>
      <c r="C756" s="375">
        <v>2</v>
      </c>
      <c r="D756" s="375">
        <v>500</v>
      </c>
      <c r="E756" s="371">
        <v>1</v>
      </c>
      <c r="F756" s="371">
        <v>1</v>
      </c>
      <c r="G756"/>
      <c r="H756"/>
      <c r="I756"/>
      <c r="J756"/>
      <c r="K756"/>
      <c r="L756"/>
      <c r="M756"/>
      <c r="N756"/>
      <c r="O756"/>
      <c r="P756"/>
      <c r="Q756"/>
      <c r="R756"/>
    </row>
    <row r="757" spans="2:18" x14ac:dyDescent="0.25">
      <c r="B757" s="425" t="s">
        <v>187</v>
      </c>
      <c r="C757" s="375">
        <v>2</v>
      </c>
      <c r="D757" s="375">
        <v>628</v>
      </c>
      <c r="E757" s="371">
        <v>0.28980891719745222</v>
      </c>
      <c r="F757" s="371">
        <v>0.28980891719745222</v>
      </c>
      <c r="G757"/>
      <c r="H757"/>
      <c r="I757"/>
      <c r="J757"/>
      <c r="K757"/>
      <c r="L757"/>
      <c r="M757"/>
      <c r="N757"/>
      <c r="O757"/>
      <c r="P757"/>
      <c r="Q757"/>
      <c r="R757"/>
    </row>
    <row r="758" spans="2:18" x14ac:dyDescent="0.25">
      <c r="B758" s="385" t="s">
        <v>509</v>
      </c>
      <c r="C758" s="375">
        <v>1</v>
      </c>
      <c r="D758" s="375">
        <v>182</v>
      </c>
      <c r="E758" s="371">
        <v>1</v>
      </c>
      <c r="F758" s="371">
        <v>1</v>
      </c>
      <c r="G758"/>
      <c r="H758"/>
      <c r="I758"/>
      <c r="J758"/>
      <c r="K758"/>
      <c r="L758"/>
      <c r="M758"/>
      <c r="N758"/>
      <c r="O758"/>
      <c r="P758"/>
      <c r="Q758"/>
      <c r="R758"/>
    </row>
    <row r="759" spans="2:18" x14ac:dyDescent="0.25">
      <c r="B759" s="426" t="s">
        <v>530</v>
      </c>
      <c r="C759" s="375">
        <v>1</v>
      </c>
      <c r="D759" s="375">
        <v>446</v>
      </c>
      <c r="E759" s="371">
        <v>0</v>
      </c>
      <c r="F759" s="371">
        <v>0</v>
      </c>
      <c r="G759"/>
      <c r="H759"/>
      <c r="I759"/>
      <c r="J759"/>
      <c r="K759"/>
      <c r="L759"/>
      <c r="M759"/>
      <c r="N759"/>
      <c r="O759"/>
      <c r="P759"/>
      <c r="Q759"/>
      <c r="R759"/>
    </row>
    <row r="760" spans="2:18" x14ac:dyDescent="0.25">
      <c r="B760" s="425" t="s">
        <v>133</v>
      </c>
      <c r="C760" s="375">
        <v>1</v>
      </c>
      <c r="D760" s="375">
        <v>51</v>
      </c>
      <c r="E760" s="371">
        <v>1</v>
      </c>
      <c r="F760" s="371">
        <v>1</v>
      </c>
      <c r="G760"/>
      <c r="H760"/>
      <c r="I760"/>
      <c r="J760"/>
      <c r="K760"/>
      <c r="L760"/>
      <c r="M760"/>
      <c r="N760"/>
      <c r="O760"/>
      <c r="P760"/>
      <c r="Q760"/>
      <c r="R760"/>
    </row>
    <row r="761" spans="2:18" x14ac:dyDescent="0.25">
      <c r="B761" s="385" t="s">
        <v>509</v>
      </c>
      <c r="C761" s="375">
        <v>1</v>
      </c>
      <c r="D761" s="375">
        <v>51</v>
      </c>
      <c r="E761" s="371">
        <v>1</v>
      </c>
      <c r="F761" s="371">
        <v>1</v>
      </c>
      <c r="G761"/>
      <c r="H761"/>
      <c r="I761"/>
      <c r="J761"/>
      <c r="K761"/>
      <c r="L761"/>
      <c r="M761"/>
      <c r="N761"/>
      <c r="O761"/>
      <c r="P761"/>
      <c r="Q761"/>
      <c r="R761"/>
    </row>
    <row r="762" spans="2:18" x14ac:dyDescent="0.25">
      <c r="B762" s="425" t="s">
        <v>188</v>
      </c>
      <c r="C762" s="375">
        <v>1</v>
      </c>
      <c r="D762" s="375">
        <v>620</v>
      </c>
      <c r="E762" s="371">
        <v>1</v>
      </c>
      <c r="F762" s="371">
        <v>1</v>
      </c>
      <c r="G762"/>
      <c r="H762"/>
      <c r="I762"/>
      <c r="J762"/>
      <c r="K762"/>
      <c r="L762"/>
      <c r="M762"/>
      <c r="N762"/>
      <c r="O762"/>
      <c r="P762"/>
      <c r="Q762"/>
      <c r="R762"/>
    </row>
    <row r="763" spans="2:18" x14ac:dyDescent="0.25">
      <c r="B763" s="385" t="s">
        <v>509</v>
      </c>
      <c r="C763" s="375">
        <v>1</v>
      </c>
      <c r="D763" s="375">
        <v>620</v>
      </c>
      <c r="E763" s="371">
        <v>1</v>
      </c>
      <c r="F763" s="371">
        <v>1</v>
      </c>
      <c r="G763"/>
      <c r="H763"/>
      <c r="I763"/>
      <c r="J763"/>
      <c r="K763"/>
      <c r="L763"/>
      <c r="M763"/>
      <c r="N763"/>
      <c r="O763"/>
      <c r="P763"/>
      <c r="Q763"/>
      <c r="R763"/>
    </row>
    <row r="764" spans="2:18" x14ac:dyDescent="0.25">
      <c r="B764" s="425" t="s">
        <v>135</v>
      </c>
      <c r="C764" s="375">
        <v>3</v>
      </c>
      <c r="D764" s="375">
        <v>952</v>
      </c>
      <c r="E764" s="371">
        <v>1</v>
      </c>
      <c r="F764" s="371">
        <v>0.9285714285714286</v>
      </c>
      <c r="G764"/>
      <c r="H764"/>
      <c r="I764"/>
      <c r="J764"/>
      <c r="K764"/>
      <c r="L764"/>
      <c r="M764"/>
      <c r="N764"/>
      <c r="O764"/>
      <c r="P764"/>
      <c r="Q764"/>
      <c r="R764"/>
    </row>
    <row r="765" spans="2:18" x14ac:dyDescent="0.25">
      <c r="B765" s="385" t="s">
        <v>509</v>
      </c>
      <c r="C765" s="375">
        <v>3</v>
      </c>
      <c r="D765" s="375">
        <v>952</v>
      </c>
      <c r="E765" s="371">
        <v>1</v>
      </c>
      <c r="F765" s="371">
        <v>0.9285714285714286</v>
      </c>
      <c r="G765"/>
      <c r="H765"/>
      <c r="I765"/>
      <c r="J765"/>
      <c r="K765"/>
      <c r="L765"/>
      <c r="M765"/>
      <c r="N765"/>
      <c r="O765"/>
      <c r="P765"/>
      <c r="Q765"/>
      <c r="R765"/>
    </row>
    <row r="766" spans="2:18" x14ac:dyDescent="0.25">
      <c r="B766" s="425" t="s">
        <v>158</v>
      </c>
      <c r="C766" s="375">
        <v>3</v>
      </c>
      <c r="D766" s="375">
        <v>2519</v>
      </c>
      <c r="E766" s="371">
        <v>1</v>
      </c>
      <c r="F766" s="371">
        <v>0.89122667725287807</v>
      </c>
      <c r="G766"/>
      <c r="H766"/>
      <c r="I766"/>
      <c r="J766"/>
      <c r="K766"/>
      <c r="L766"/>
      <c r="M766"/>
      <c r="N766"/>
      <c r="O766"/>
      <c r="P766"/>
      <c r="Q766"/>
      <c r="R766"/>
    </row>
    <row r="767" spans="2:18" x14ac:dyDescent="0.25">
      <c r="B767" s="385" t="s">
        <v>509</v>
      </c>
      <c r="C767" s="375">
        <v>3</v>
      </c>
      <c r="D767" s="375">
        <v>2519</v>
      </c>
      <c r="E767" s="371">
        <v>1</v>
      </c>
      <c r="F767" s="371">
        <v>0.89122667725287807</v>
      </c>
      <c r="G767"/>
      <c r="H767"/>
      <c r="I767"/>
      <c r="J767"/>
      <c r="K767"/>
      <c r="L767"/>
      <c r="M767"/>
      <c r="N767"/>
      <c r="O767"/>
      <c r="P767"/>
      <c r="Q767"/>
      <c r="R767"/>
    </row>
    <row r="768" spans="2:18" x14ac:dyDescent="0.25">
      <c r="B768" s="26" t="s">
        <v>237</v>
      </c>
      <c r="C768" s="375">
        <v>36</v>
      </c>
      <c r="D768" s="375">
        <v>18215</v>
      </c>
      <c r="E768" s="371">
        <v>0.98517705188031846</v>
      </c>
      <c r="F768" s="371">
        <v>0.9202305791929728</v>
      </c>
      <c r="G768"/>
      <c r="H768"/>
      <c r="I768"/>
      <c r="J768"/>
      <c r="K768"/>
      <c r="L768"/>
      <c r="M768"/>
      <c r="N768"/>
      <c r="O768"/>
      <c r="P768"/>
      <c r="Q768"/>
      <c r="R768"/>
    </row>
    <row r="769" spans="2:18" x14ac:dyDescent="0.25">
      <c r="B769" s="425" t="s">
        <v>180</v>
      </c>
      <c r="C769" s="375">
        <v>6</v>
      </c>
      <c r="D769" s="375">
        <v>1157</v>
      </c>
      <c r="E769" s="371">
        <v>1</v>
      </c>
      <c r="F769" s="371">
        <v>0.83578219533275711</v>
      </c>
      <c r="G769"/>
      <c r="H769"/>
      <c r="I769"/>
      <c r="J769"/>
      <c r="K769"/>
      <c r="L769"/>
      <c r="M769"/>
      <c r="N769"/>
      <c r="O769"/>
      <c r="P769"/>
      <c r="Q769"/>
      <c r="R769"/>
    </row>
    <row r="770" spans="2:18" x14ac:dyDescent="0.25">
      <c r="B770" s="385" t="s">
        <v>509</v>
      </c>
      <c r="C770" s="375">
        <v>6</v>
      </c>
      <c r="D770" s="375">
        <v>1157</v>
      </c>
      <c r="E770" s="371">
        <v>1</v>
      </c>
      <c r="F770" s="371">
        <v>0.83578219533275711</v>
      </c>
      <c r="G770"/>
      <c r="H770"/>
      <c r="I770"/>
      <c r="J770"/>
      <c r="K770"/>
      <c r="L770"/>
      <c r="M770"/>
      <c r="N770"/>
      <c r="O770"/>
      <c r="P770"/>
      <c r="Q770"/>
      <c r="R770"/>
    </row>
    <row r="771" spans="2:18" x14ac:dyDescent="0.25">
      <c r="B771" s="425" t="s">
        <v>205</v>
      </c>
      <c r="C771" s="375">
        <v>6</v>
      </c>
      <c r="D771" s="375">
        <v>2212</v>
      </c>
      <c r="E771" s="371">
        <v>1</v>
      </c>
      <c r="F771" s="371">
        <v>0.93896925858951175</v>
      </c>
      <c r="G771"/>
      <c r="H771"/>
      <c r="I771"/>
      <c r="J771"/>
      <c r="K771"/>
      <c r="L771"/>
      <c r="M771"/>
      <c r="N771"/>
      <c r="O771"/>
      <c r="P771"/>
      <c r="Q771"/>
      <c r="R771"/>
    </row>
    <row r="772" spans="2:18" x14ac:dyDescent="0.25">
      <c r="B772" s="385" t="s">
        <v>509</v>
      </c>
      <c r="C772" s="375">
        <v>6</v>
      </c>
      <c r="D772" s="375">
        <v>2212</v>
      </c>
      <c r="E772" s="371">
        <v>1</v>
      </c>
      <c r="F772" s="371">
        <v>0.93896925858951175</v>
      </c>
      <c r="G772"/>
      <c r="H772"/>
      <c r="I772"/>
      <c r="J772"/>
      <c r="K772"/>
      <c r="L772"/>
      <c r="M772"/>
      <c r="N772"/>
      <c r="O772"/>
      <c r="P772"/>
      <c r="Q772"/>
      <c r="R772"/>
    </row>
    <row r="773" spans="2:18" x14ac:dyDescent="0.25">
      <c r="B773" s="425" t="s">
        <v>186</v>
      </c>
      <c r="C773" s="375">
        <v>2</v>
      </c>
      <c r="D773" s="375">
        <v>1207</v>
      </c>
      <c r="E773" s="371">
        <v>1</v>
      </c>
      <c r="F773" s="371">
        <v>0.92460646230323118</v>
      </c>
      <c r="G773"/>
      <c r="H773"/>
      <c r="I773"/>
      <c r="J773"/>
      <c r="K773"/>
      <c r="L773"/>
      <c r="M773"/>
      <c r="N773"/>
      <c r="O773"/>
      <c r="P773"/>
      <c r="Q773"/>
      <c r="R773"/>
    </row>
    <row r="774" spans="2:18" x14ac:dyDescent="0.25">
      <c r="B774" s="385" t="s">
        <v>509</v>
      </c>
      <c r="C774" s="375">
        <v>2</v>
      </c>
      <c r="D774" s="375">
        <v>1207</v>
      </c>
      <c r="E774" s="371">
        <v>1</v>
      </c>
      <c r="F774" s="371">
        <v>0.92460646230323118</v>
      </c>
      <c r="G774"/>
      <c r="H774"/>
      <c r="I774"/>
      <c r="J774"/>
      <c r="K774"/>
      <c r="L774"/>
      <c r="M774"/>
      <c r="N774"/>
      <c r="O774"/>
      <c r="P774"/>
      <c r="Q774"/>
      <c r="R774"/>
    </row>
    <row r="775" spans="2:18" x14ac:dyDescent="0.25">
      <c r="B775" s="425" t="s">
        <v>187</v>
      </c>
      <c r="C775" s="375">
        <v>1</v>
      </c>
      <c r="D775" s="375">
        <v>162</v>
      </c>
      <c r="E775" s="371">
        <v>1</v>
      </c>
      <c r="F775" s="371">
        <v>1</v>
      </c>
      <c r="G775"/>
      <c r="H775"/>
      <c r="I775"/>
      <c r="J775"/>
      <c r="K775"/>
      <c r="L775"/>
      <c r="M775"/>
      <c r="N775"/>
      <c r="O775"/>
      <c r="P775"/>
      <c r="Q775"/>
      <c r="R775"/>
    </row>
    <row r="776" spans="2:18" x14ac:dyDescent="0.25">
      <c r="B776" s="385" t="s">
        <v>509</v>
      </c>
      <c r="C776" s="375">
        <v>1</v>
      </c>
      <c r="D776" s="375">
        <v>162</v>
      </c>
      <c r="E776" s="371">
        <v>1</v>
      </c>
      <c r="F776" s="371">
        <v>1</v>
      </c>
      <c r="G776"/>
      <c r="H776"/>
      <c r="I776"/>
      <c r="J776"/>
      <c r="K776"/>
      <c r="L776"/>
      <c r="M776"/>
      <c r="N776"/>
      <c r="O776"/>
      <c r="P776"/>
      <c r="Q776"/>
      <c r="R776"/>
    </row>
    <row r="777" spans="2:18" x14ac:dyDescent="0.25">
      <c r="B777" s="425" t="s">
        <v>188</v>
      </c>
      <c r="C777" s="375">
        <v>7</v>
      </c>
      <c r="D777" s="375">
        <v>4969</v>
      </c>
      <c r="E777" s="371">
        <v>1</v>
      </c>
      <c r="F777" s="371">
        <v>0.92010464882270071</v>
      </c>
      <c r="G777"/>
      <c r="H777"/>
      <c r="I777"/>
      <c r="J777"/>
      <c r="K777"/>
      <c r="L777"/>
      <c r="M777"/>
      <c r="N777"/>
      <c r="O777"/>
      <c r="P777"/>
      <c r="Q777"/>
      <c r="R777"/>
    </row>
    <row r="778" spans="2:18" x14ac:dyDescent="0.25">
      <c r="B778" s="385" t="s">
        <v>509</v>
      </c>
      <c r="C778" s="375">
        <v>7</v>
      </c>
      <c r="D778" s="375">
        <v>4969</v>
      </c>
      <c r="E778" s="371">
        <v>1</v>
      </c>
      <c r="F778" s="371">
        <v>0.92010464882270071</v>
      </c>
      <c r="G778"/>
      <c r="H778"/>
      <c r="I778"/>
      <c r="J778"/>
      <c r="K778"/>
      <c r="L778"/>
      <c r="M778"/>
      <c r="N778"/>
      <c r="O778"/>
      <c r="P778"/>
      <c r="Q778"/>
      <c r="R778"/>
    </row>
    <row r="779" spans="2:18" x14ac:dyDescent="0.25">
      <c r="B779" s="425" t="s">
        <v>214</v>
      </c>
      <c r="C779" s="375">
        <v>2</v>
      </c>
      <c r="D779" s="375">
        <v>379</v>
      </c>
      <c r="E779" s="371">
        <v>0.87335092348284959</v>
      </c>
      <c r="F779" s="371">
        <v>1</v>
      </c>
      <c r="G779"/>
      <c r="H779"/>
      <c r="I779"/>
      <c r="J779"/>
      <c r="K779"/>
      <c r="L779"/>
      <c r="M779"/>
      <c r="N779"/>
      <c r="O779"/>
      <c r="P779"/>
      <c r="Q779"/>
      <c r="R779"/>
    </row>
    <row r="780" spans="2:18" x14ac:dyDescent="0.25">
      <c r="B780" s="385" t="s">
        <v>509</v>
      </c>
      <c r="C780" s="375">
        <v>2</v>
      </c>
      <c r="D780" s="375">
        <v>379</v>
      </c>
      <c r="E780" s="371">
        <v>0.87335092348284959</v>
      </c>
      <c r="F780" s="371">
        <v>1</v>
      </c>
    </row>
    <row r="781" spans="2:18" x14ac:dyDescent="0.25">
      <c r="B781" s="425" t="s">
        <v>538</v>
      </c>
      <c r="C781" s="375">
        <v>2</v>
      </c>
      <c r="D781" s="375">
        <v>798</v>
      </c>
      <c r="E781" s="371">
        <v>1</v>
      </c>
      <c r="F781" s="371">
        <v>0.97744360902255634</v>
      </c>
    </row>
    <row r="782" spans="2:18" x14ac:dyDescent="0.25">
      <c r="B782" s="385" t="s">
        <v>509</v>
      </c>
      <c r="C782" s="375">
        <v>2</v>
      </c>
      <c r="D782" s="375">
        <v>798</v>
      </c>
      <c r="E782" s="371">
        <v>1</v>
      </c>
      <c r="F782" s="371">
        <v>0.97744360902255634</v>
      </c>
    </row>
    <row r="783" spans="2:18" x14ac:dyDescent="0.25">
      <c r="B783" s="425" t="s">
        <v>232</v>
      </c>
      <c r="C783" s="375">
        <v>1</v>
      </c>
      <c r="D783" s="375">
        <v>52</v>
      </c>
      <c r="E783" s="371">
        <v>1</v>
      </c>
      <c r="F783" s="371">
        <v>1</v>
      </c>
    </row>
    <row r="784" spans="2:18" x14ac:dyDescent="0.25">
      <c r="B784" s="385" t="s">
        <v>509</v>
      </c>
      <c r="C784" s="375">
        <v>1</v>
      </c>
      <c r="D784" s="375">
        <v>52</v>
      </c>
      <c r="E784" s="371">
        <v>1</v>
      </c>
      <c r="F784" s="371">
        <v>1</v>
      </c>
    </row>
    <row r="785" spans="2:6" x14ac:dyDescent="0.25">
      <c r="B785" s="425" t="s">
        <v>223</v>
      </c>
      <c r="C785" s="375">
        <v>2</v>
      </c>
      <c r="D785" s="375">
        <v>453</v>
      </c>
      <c r="E785" s="371">
        <v>1</v>
      </c>
      <c r="F785" s="371">
        <v>1</v>
      </c>
    </row>
    <row r="786" spans="2:6" x14ac:dyDescent="0.25">
      <c r="B786" s="385" t="s">
        <v>509</v>
      </c>
      <c r="C786" s="375">
        <v>2</v>
      </c>
      <c r="D786" s="375">
        <v>453</v>
      </c>
      <c r="E786" s="371">
        <v>1</v>
      </c>
      <c r="F786" s="371">
        <v>1</v>
      </c>
    </row>
    <row r="787" spans="2:6" x14ac:dyDescent="0.25">
      <c r="B787" s="425" t="s">
        <v>158</v>
      </c>
      <c r="C787" s="375">
        <v>5</v>
      </c>
      <c r="D787" s="375">
        <v>6212</v>
      </c>
      <c r="E787" s="371">
        <v>1</v>
      </c>
      <c r="F787" s="371">
        <v>0.98583386992916933</v>
      </c>
    </row>
    <row r="788" spans="2:6" x14ac:dyDescent="0.25">
      <c r="B788" s="385" t="s">
        <v>509</v>
      </c>
      <c r="C788" s="375">
        <v>2</v>
      </c>
      <c r="D788" s="375">
        <v>1752</v>
      </c>
      <c r="E788" s="371">
        <v>1</v>
      </c>
      <c r="F788" s="371">
        <v>1</v>
      </c>
    </row>
    <row r="789" spans="2:6" x14ac:dyDescent="0.25">
      <c r="B789" s="385" t="s">
        <v>510</v>
      </c>
      <c r="C789" s="375">
        <v>2</v>
      </c>
      <c r="D789" s="375">
        <v>919</v>
      </c>
      <c r="E789" s="371">
        <v>1</v>
      </c>
      <c r="F789" s="371">
        <v>0.90424374319912948</v>
      </c>
    </row>
    <row r="790" spans="2:6" x14ac:dyDescent="0.25">
      <c r="B790" s="426" t="s">
        <v>530</v>
      </c>
      <c r="C790" s="375">
        <v>1</v>
      </c>
      <c r="D790" s="375">
        <v>3541</v>
      </c>
      <c r="E790" s="371">
        <v>1</v>
      </c>
      <c r="F790" s="371">
        <v>1</v>
      </c>
    </row>
    <row r="791" spans="2:6" x14ac:dyDescent="0.25">
      <c r="B791" s="425" t="s">
        <v>885</v>
      </c>
      <c r="C791" s="375">
        <v>2</v>
      </c>
      <c r="D791" s="375">
        <v>614</v>
      </c>
      <c r="E791" s="371">
        <v>0.6384364820846905</v>
      </c>
      <c r="F791" s="371">
        <v>0.13029315960912052</v>
      </c>
    </row>
    <row r="792" spans="2:6" x14ac:dyDescent="0.25">
      <c r="B792" s="385" t="s">
        <v>509</v>
      </c>
      <c r="C792" s="375">
        <v>2</v>
      </c>
      <c r="D792" s="375">
        <v>614</v>
      </c>
      <c r="E792" s="371">
        <v>0.6384364820846905</v>
      </c>
      <c r="F792" s="371">
        <v>0.13029315960912052</v>
      </c>
    </row>
    <row r="793" spans="2:6" x14ac:dyDescent="0.25">
      <c r="B793" s="26" t="s">
        <v>309</v>
      </c>
      <c r="C793" s="375">
        <v>11</v>
      </c>
      <c r="D793" s="375">
        <v>2797</v>
      </c>
      <c r="E793" s="371">
        <v>0.10296746514122274</v>
      </c>
      <c r="F793" s="371">
        <v>6.5784769395781192E-2</v>
      </c>
    </row>
    <row r="794" spans="2:6" x14ac:dyDescent="0.25">
      <c r="B794" s="425" t="s">
        <v>110</v>
      </c>
      <c r="C794" s="375">
        <v>1</v>
      </c>
      <c r="D794" s="375">
        <v>224</v>
      </c>
      <c r="E794" s="371">
        <v>1</v>
      </c>
      <c r="F794" s="371">
        <v>0.5357142857142857</v>
      </c>
    </row>
    <row r="795" spans="2:6" x14ac:dyDescent="0.25">
      <c r="B795" s="385" t="s">
        <v>509</v>
      </c>
      <c r="C795" s="375">
        <v>1</v>
      </c>
      <c r="D795" s="375">
        <v>224</v>
      </c>
      <c r="E795" s="371">
        <v>1</v>
      </c>
      <c r="F795" s="371">
        <v>0.5357142857142857</v>
      </c>
    </row>
    <row r="796" spans="2:6" x14ac:dyDescent="0.25">
      <c r="B796" s="425" t="s">
        <v>128</v>
      </c>
      <c r="C796" s="375">
        <v>1</v>
      </c>
      <c r="D796" s="375">
        <v>17</v>
      </c>
      <c r="E796" s="371">
        <v>0</v>
      </c>
      <c r="F796" s="371">
        <v>0</v>
      </c>
    </row>
    <row r="797" spans="2:6" x14ac:dyDescent="0.25">
      <c r="B797" s="385" t="s">
        <v>509</v>
      </c>
      <c r="C797" s="375">
        <v>1</v>
      </c>
      <c r="D797" s="375">
        <v>17</v>
      </c>
      <c r="E797" s="371">
        <v>0</v>
      </c>
      <c r="F797" s="371">
        <v>0</v>
      </c>
    </row>
    <row r="798" spans="2:6" x14ac:dyDescent="0.25">
      <c r="B798" s="425" t="s">
        <v>186</v>
      </c>
      <c r="C798" s="375">
        <v>1</v>
      </c>
      <c r="D798" s="375">
        <v>499</v>
      </c>
      <c r="E798" s="371">
        <v>0</v>
      </c>
      <c r="F798" s="371">
        <v>0</v>
      </c>
    </row>
    <row r="799" spans="2:6" x14ac:dyDescent="0.25">
      <c r="B799" s="426" t="s">
        <v>530</v>
      </c>
      <c r="C799" s="375">
        <v>1</v>
      </c>
      <c r="D799" s="375">
        <v>499</v>
      </c>
      <c r="E799" s="371">
        <v>0</v>
      </c>
      <c r="F799" s="371">
        <v>0</v>
      </c>
    </row>
    <row r="800" spans="2:6" x14ac:dyDescent="0.25">
      <c r="B800" s="425" t="s">
        <v>188</v>
      </c>
      <c r="C800" s="375">
        <v>5</v>
      </c>
      <c r="D800" s="375">
        <v>262</v>
      </c>
      <c r="E800" s="371">
        <v>0</v>
      </c>
      <c r="F800" s="371">
        <v>0</v>
      </c>
    </row>
    <row r="801" spans="2:6" x14ac:dyDescent="0.25">
      <c r="B801" s="426" t="s">
        <v>530</v>
      </c>
      <c r="C801" s="375">
        <v>5</v>
      </c>
      <c r="D801" s="375">
        <v>262</v>
      </c>
      <c r="E801" s="371">
        <v>0</v>
      </c>
      <c r="F801" s="371">
        <v>0</v>
      </c>
    </row>
    <row r="802" spans="2:6" x14ac:dyDescent="0.25">
      <c r="B802" s="425" t="s">
        <v>135</v>
      </c>
      <c r="C802" s="375">
        <v>1</v>
      </c>
      <c r="D802" s="375">
        <v>1691</v>
      </c>
      <c r="E802" s="371">
        <v>0</v>
      </c>
      <c r="F802" s="371">
        <v>0</v>
      </c>
    </row>
    <row r="803" spans="2:6" x14ac:dyDescent="0.25">
      <c r="B803" s="426" t="s">
        <v>530</v>
      </c>
      <c r="C803" s="375">
        <v>1</v>
      </c>
      <c r="D803" s="375">
        <v>1691</v>
      </c>
      <c r="E803" s="371">
        <v>0</v>
      </c>
      <c r="F803" s="371">
        <v>0</v>
      </c>
    </row>
    <row r="804" spans="2:6" x14ac:dyDescent="0.25">
      <c r="B804" s="425" t="s">
        <v>224</v>
      </c>
      <c r="C804" s="375">
        <v>1</v>
      </c>
      <c r="D804" s="375">
        <v>64</v>
      </c>
      <c r="E804" s="371">
        <v>1</v>
      </c>
      <c r="F804" s="371">
        <v>1</v>
      </c>
    </row>
    <row r="805" spans="2:6" x14ac:dyDescent="0.25">
      <c r="B805" s="426" t="s">
        <v>530</v>
      </c>
      <c r="C805" s="375">
        <v>1</v>
      </c>
      <c r="D805" s="375">
        <v>64</v>
      </c>
      <c r="E805" s="371">
        <v>1</v>
      </c>
      <c r="F805" s="371">
        <v>1</v>
      </c>
    </row>
    <row r="806" spans="2:6" x14ac:dyDescent="0.25">
      <c r="B806" s="425" t="s">
        <v>223</v>
      </c>
      <c r="C806" s="375">
        <v>1</v>
      </c>
      <c r="D806" s="375">
        <v>40</v>
      </c>
      <c r="E806" s="371">
        <v>0</v>
      </c>
      <c r="F806" s="371">
        <v>0</v>
      </c>
    </row>
    <row r="807" spans="2:6" x14ac:dyDescent="0.25">
      <c r="B807" s="426" t="s">
        <v>530</v>
      </c>
      <c r="C807" s="375">
        <v>1</v>
      </c>
      <c r="D807" s="375">
        <v>40</v>
      </c>
      <c r="E807" s="371">
        <v>0</v>
      </c>
      <c r="F807" s="371">
        <v>0</v>
      </c>
    </row>
    <row r="808" spans="2:6" x14ac:dyDescent="0.25">
      <c r="B808" s="26" t="s">
        <v>426</v>
      </c>
      <c r="C808" s="375">
        <v>7</v>
      </c>
      <c r="D808" s="375">
        <v>4335</v>
      </c>
      <c r="E808" s="371">
        <v>0.99461745482506736</v>
      </c>
      <c r="F808" s="371">
        <v>0.74763552479815454</v>
      </c>
    </row>
    <row r="809" spans="2:6" x14ac:dyDescent="0.25">
      <c r="B809" s="425" t="s">
        <v>186</v>
      </c>
      <c r="C809" s="375">
        <v>3</v>
      </c>
      <c r="D809" s="375">
        <v>3271</v>
      </c>
      <c r="E809" s="371">
        <v>0.99286660552328554</v>
      </c>
      <c r="F809" s="371">
        <v>0.72149189850198714</v>
      </c>
    </row>
    <row r="810" spans="2:6" x14ac:dyDescent="0.25">
      <c r="B810" s="385" t="s">
        <v>509</v>
      </c>
      <c r="C810" s="375">
        <v>3</v>
      </c>
      <c r="D810" s="375">
        <v>3271</v>
      </c>
      <c r="E810" s="371">
        <v>0.99286660552328554</v>
      </c>
      <c r="F810" s="371">
        <v>0.72149189850198714</v>
      </c>
    </row>
    <row r="811" spans="2:6" x14ac:dyDescent="0.25">
      <c r="B811" s="425" t="s">
        <v>214</v>
      </c>
      <c r="C811" s="375">
        <v>1</v>
      </c>
      <c r="D811" s="375">
        <v>127</v>
      </c>
      <c r="E811" s="371">
        <v>1</v>
      </c>
      <c r="F811" s="371">
        <v>1</v>
      </c>
    </row>
    <row r="812" spans="2:6" x14ac:dyDescent="0.25">
      <c r="B812" s="385" t="s">
        <v>509</v>
      </c>
      <c r="C812" s="375">
        <v>1</v>
      </c>
      <c r="D812" s="375">
        <v>127</v>
      </c>
      <c r="E812" s="371">
        <v>1</v>
      </c>
      <c r="F812" s="371">
        <v>1</v>
      </c>
    </row>
    <row r="813" spans="2:6" x14ac:dyDescent="0.25">
      <c r="B813" s="425" t="s">
        <v>538</v>
      </c>
      <c r="C813" s="375">
        <v>3</v>
      </c>
      <c r="D813" s="375">
        <v>937</v>
      </c>
      <c r="E813" s="371">
        <v>1</v>
      </c>
      <c r="F813" s="371">
        <v>0.80469583778014941</v>
      </c>
    </row>
    <row r="814" spans="2:6" x14ac:dyDescent="0.25">
      <c r="B814" s="385" t="s">
        <v>509</v>
      </c>
      <c r="C814" s="375">
        <v>3</v>
      </c>
      <c r="D814" s="375">
        <v>937</v>
      </c>
      <c r="E814" s="371">
        <v>1</v>
      </c>
      <c r="F814" s="371">
        <v>0.80469583778014941</v>
      </c>
    </row>
    <row r="815" spans="2:6" x14ac:dyDescent="0.25">
      <c r="B815" s="26" t="s">
        <v>284</v>
      </c>
      <c r="C815" s="375">
        <v>35</v>
      </c>
      <c r="D815" s="375">
        <v>7168</v>
      </c>
      <c r="E815" s="371">
        <v>1</v>
      </c>
      <c r="F815" s="371">
        <v>0.8198939732142857</v>
      </c>
    </row>
    <row r="816" spans="2:6" x14ac:dyDescent="0.25">
      <c r="B816" s="425" t="s">
        <v>107</v>
      </c>
      <c r="C816" s="375">
        <v>2</v>
      </c>
      <c r="D816" s="375">
        <v>1155</v>
      </c>
      <c r="E816" s="371">
        <v>1</v>
      </c>
      <c r="F816" s="371">
        <v>0.74458874458874458</v>
      </c>
    </row>
    <row r="817" spans="2:6" x14ac:dyDescent="0.25">
      <c r="B817" s="385" t="s">
        <v>509</v>
      </c>
      <c r="C817" s="375">
        <v>2</v>
      </c>
      <c r="D817" s="375">
        <v>1155</v>
      </c>
      <c r="E817" s="371">
        <v>1</v>
      </c>
      <c r="F817" s="371">
        <v>0.74458874458874458</v>
      </c>
    </row>
    <row r="818" spans="2:6" x14ac:dyDescent="0.25">
      <c r="B818" s="425" t="s">
        <v>110</v>
      </c>
      <c r="C818" s="375">
        <v>18</v>
      </c>
      <c r="D818" s="375">
        <v>2679</v>
      </c>
      <c r="E818" s="371">
        <v>1</v>
      </c>
      <c r="F818" s="371">
        <v>0.80403135498320266</v>
      </c>
    </row>
    <row r="819" spans="2:6" x14ac:dyDescent="0.25">
      <c r="B819" s="385" t="s">
        <v>509</v>
      </c>
      <c r="C819" s="375">
        <v>18</v>
      </c>
      <c r="D819" s="375">
        <v>2679</v>
      </c>
      <c r="E819" s="371">
        <v>1</v>
      </c>
      <c r="F819" s="371">
        <v>0.80403135498320266</v>
      </c>
    </row>
    <row r="820" spans="2:6" x14ac:dyDescent="0.25">
      <c r="B820" s="425" t="s">
        <v>135</v>
      </c>
      <c r="C820" s="375">
        <v>7</v>
      </c>
      <c r="D820" s="375">
        <v>653</v>
      </c>
      <c r="E820" s="371">
        <v>1</v>
      </c>
      <c r="F820" s="371">
        <v>1</v>
      </c>
    </row>
    <row r="821" spans="2:6" x14ac:dyDescent="0.25">
      <c r="B821" s="385" t="s">
        <v>509</v>
      </c>
      <c r="C821" s="375">
        <v>7</v>
      </c>
      <c r="D821" s="375">
        <v>653</v>
      </c>
      <c r="E821" s="371">
        <v>1</v>
      </c>
      <c r="F821" s="371">
        <v>1</v>
      </c>
    </row>
    <row r="822" spans="2:6" x14ac:dyDescent="0.25">
      <c r="B822" s="425" t="s">
        <v>158</v>
      </c>
      <c r="C822" s="375">
        <v>8</v>
      </c>
      <c r="D822" s="375">
        <v>2681</v>
      </c>
      <c r="E822" s="371">
        <v>1</v>
      </c>
      <c r="F822" s="371">
        <v>0.82431928384930997</v>
      </c>
    </row>
    <row r="823" spans="2:6" x14ac:dyDescent="0.25">
      <c r="B823" s="385" t="s">
        <v>509</v>
      </c>
      <c r="C823" s="375">
        <v>8</v>
      </c>
      <c r="D823" s="375">
        <v>2681</v>
      </c>
      <c r="E823" s="371">
        <v>1</v>
      </c>
      <c r="F823" s="371">
        <v>0.82431928384930997</v>
      </c>
    </row>
    <row r="824" spans="2:6" x14ac:dyDescent="0.25">
      <c r="B824" s="26" t="s">
        <v>238</v>
      </c>
      <c r="C824" s="375">
        <v>16</v>
      </c>
      <c r="D824" s="375">
        <v>8770</v>
      </c>
      <c r="E824" s="371">
        <v>0.99790193842645392</v>
      </c>
      <c r="F824" s="371">
        <v>0.77080957810718354</v>
      </c>
    </row>
    <row r="825" spans="2:6" x14ac:dyDescent="0.25">
      <c r="B825" s="425" t="s">
        <v>180</v>
      </c>
      <c r="C825" s="375">
        <v>5</v>
      </c>
      <c r="D825" s="375">
        <v>6138</v>
      </c>
      <c r="E825" s="371">
        <v>1</v>
      </c>
      <c r="F825" s="371">
        <v>0.7466601498859563</v>
      </c>
    </row>
    <row r="826" spans="2:6" x14ac:dyDescent="0.25">
      <c r="B826" s="385" t="s">
        <v>509</v>
      </c>
      <c r="C826" s="375">
        <v>5</v>
      </c>
      <c r="D826" s="375">
        <v>6138</v>
      </c>
      <c r="E826" s="371">
        <v>1</v>
      </c>
      <c r="F826" s="371">
        <v>0.7466601498859563</v>
      </c>
    </row>
    <row r="827" spans="2:6" x14ac:dyDescent="0.25">
      <c r="B827" s="425" t="s">
        <v>188</v>
      </c>
      <c r="C827" s="375">
        <v>11</v>
      </c>
      <c r="D827" s="375">
        <v>2632</v>
      </c>
      <c r="E827" s="371">
        <v>0.99300911854103335</v>
      </c>
      <c r="F827" s="371">
        <v>0.8271276595744681</v>
      </c>
    </row>
    <row r="828" spans="2:6" x14ac:dyDescent="0.25">
      <c r="B828" s="385" t="s">
        <v>509</v>
      </c>
      <c r="C828" s="375">
        <v>10</v>
      </c>
      <c r="D828" s="375">
        <v>2496</v>
      </c>
      <c r="E828" s="371">
        <v>0.99262820512820504</v>
      </c>
      <c r="F828" s="371">
        <v>0.81770833333333337</v>
      </c>
    </row>
    <row r="829" spans="2:6" x14ac:dyDescent="0.25">
      <c r="B829" s="385" t="s">
        <v>510</v>
      </c>
      <c r="C829" s="375">
        <v>1</v>
      </c>
      <c r="D829" s="375">
        <v>136</v>
      </c>
      <c r="E829" s="371">
        <v>1</v>
      </c>
      <c r="F829" s="371">
        <v>1</v>
      </c>
    </row>
    <row r="830" spans="2:6" x14ac:dyDescent="0.25">
      <c r="B830" s="26" t="s">
        <v>294</v>
      </c>
      <c r="C830" s="375">
        <v>12</v>
      </c>
      <c r="D830" s="375">
        <v>9522</v>
      </c>
      <c r="E830" s="371">
        <v>0.9788909892879647</v>
      </c>
      <c r="F830" s="371">
        <v>0.90779248057130857</v>
      </c>
    </row>
    <row r="831" spans="2:6" x14ac:dyDescent="0.25">
      <c r="B831" s="425" t="s">
        <v>186</v>
      </c>
      <c r="C831" s="375">
        <v>4</v>
      </c>
      <c r="D831" s="375">
        <v>4382</v>
      </c>
      <c r="E831" s="371">
        <v>0.95413053400273851</v>
      </c>
      <c r="F831" s="371">
        <v>0.83546325878594252</v>
      </c>
    </row>
    <row r="832" spans="2:6" x14ac:dyDescent="0.25">
      <c r="B832" s="385" t="s">
        <v>509</v>
      </c>
      <c r="C832" s="375">
        <v>4</v>
      </c>
      <c r="D832" s="375">
        <v>4382</v>
      </c>
      <c r="E832" s="371">
        <v>0.95413053400273851</v>
      </c>
      <c r="F832" s="371">
        <v>0.83546325878594252</v>
      </c>
    </row>
    <row r="833" spans="2:6" x14ac:dyDescent="0.25">
      <c r="B833" s="425" t="s">
        <v>188</v>
      </c>
      <c r="C833" s="375">
        <v>8</v>
      </c>
      <c r="D833" s="375">
        <v>5140</v>
      </c>
      <c r="E833" s="371">
        <v>1</v>
      </c>
      <c r="F833" s="371">
        <v>0.96945525291828794</v>
      </c>
    </row>
    <row r="834" spans="2:6" x14ac:dyDescent="0.25">
      <c r="B834" s="385" t="s">
        <v>509</v>
      </c>
      <c r="C834" s="375">
        <v>4</v>
      </c>
      <c r="D834" s="375">
        <v>3764</v>
      </c>
      <c r="E834" s="371">
        <v>1</v>
      </c>
      <c r="F834" s="371">
        <v>1</v>
      </c>
    </row>
    <row r="835" spans="2:6" x14ac:dyDescent="0.25">
      <c r="B835" s="385" t="s">
        <v>510</v>
      </c>
      <c r="C835" s="375">
        <v>3</v>
      </c>
      <c r="D835" s="375">
        <v>1050</v>
      </c>
      <c r="E835" s="371">
        <v>1</v>
      </c>
      <c r="F835" s="371">
        <v>0.8504761904761905</v>
      </c>
    </row>
    <row r="836" spans="2:6" x14ac:dyDescent="0.25">
      <c r="B836" s="426" t="s">
        <v>530</v>
      </c>
      <c r="C836" s="375">
        <v>1</v>
      </c>
      <c r="D836" s="375">
        <v>326</v>
      </c>
      <c r="E836" s="371">
        <v>1</v>
      </c>
      <c r="F836" s="371">
        <v>1</v>
      </c>
    </row>
    <row r="837" spans="2:6" x14ac:dyDescent="0.25">
      <c r="B837" s="26" t="s">
        <v>73</v>
      </c>
      <c r="C837" s="375">
        <v>175</v>
      </c>
      <c r="D837" s="375">
        <v>87713</v>
      </c>
      <c r="E837" s="371">
        <v>0.91943801564952365</v>
      </c>
      <c r="F837" s="371">
        <v>0.8468414032127507</v>
      </c>
    </row>
    <row r="838" spans="2:6" x14ac:dyDescent="0.25">
      <c r="B838"/>
      <c r="C838"/>
      <c r="D838"/>
      <c r="E838"/>
      <c r="F838"/>
    </row>
    <row r="839" spans="2:6" x14ac:dyDescent="0.25">
      <c r="B839"/>
      <c r="C839"/>
      <c r="D839"/>
      <c r="E839"/>
      <c r="F839"/>
    </row>
    <row r="840" spans="2:6" x14ac:dyDescent="0.25">
      <c r="B840"/>
      <c r="C840"/>
      <c r="D840"/>
      <c r="E840"/>
      <c r="F840"/>
    </row>
    <row r="841" spans="2:6" x14ac:dyDescent="0.25">
      <c r="B841"/>
      <c r="C841"/>
      <c r="D841"/>
      <c r="E841"/>
      <c r="F841"/>
    </row>
    <row r="842" spans="2:6" x14ac:dyDescent="0.25">
      <c r="B842"/>
      <c r="C842"/>
      <c r="D842"/>
      <c r="E842"/>
      <c r="F842"/>
    </row>
    <row r="843" spans="2:6" x14ac:dyDescent="0.25">
      <c r="B843"/>
      <c r="C843"/>
      <c r="D843"/>
      <c r="E843"/>
      <c r="F843"/>
    </row>
    <row r="844" spans="2:6" x14ac:dyDescent="0.25">
      <c r="B844"/>
      <c r="C844"/>
      <c r="D844"/>
      <c r="E844"/>
      <c r="F844"/>
    </row>
    <row r="845" spans="2:6" x14ac:dyDescent="0.25">
      <c r="B845"/>
      <c r="C845"/>
      <c r="D845"/>
      <c r="E845"/>
      <c r="F845"/>
    </row>
    <row r="846" spans="2:6" x14ac:dyDescent="0.25">
      <c r="B846"/>
      <c r="C846"/>
      <c r="D846"/>
      <c r="E846"/>
      <c r="F846"/>
    </row>
    <row r="847" spans="2:6" x14ac:dyDescent="0.25">
      <c r="B847"/>
      <c r="C847"/>
      <c r="D847"/>
      <c r="E847"/>
      <c r="F847"/>
    </row>
    <row r="848" spans="2:6" x14ac:dyDescent="0.25">
      <c r="B848"/>
      <c r="C848"/>
      <c r="D848"/>
      <c r="E848"/>
      <c r="F848"/>
    </row>
    <row r="849" spans="2:6" x14ac:dyDescent="0.25">
      <c r="B849"/>
      <c r="C849"/>
      <c r="D849"/>
      <c r="E849"/>
      <c r="F849"/>
    </row>
    <row r="850" spans="2:6" x14ac:dyDescent="0.25">
      <c r="B850"/>
      <c r="C850"/>
      <c r="D850"/>
      <c r="E850"/>
      <c r="F850"/>
    </row>
    <row r="851" spans="2:6" x14ac:dyDescent="0.25">
      <c r="B851"/>
      <c r="C851"/>
      <c r="D851"/>
      <c r="E851"/>
      <c r="F851"/>
    </row>
    <row r="852" spans="2:6" x14ac:dyDescent="0.25">
      <c r="B852"/>
      <c r="C852"/>
      <c r="D852"/>
      <c r="E852"/>
      <c r="F852"/>
    </row>
    <row r="853" spans="2:6" x14ac:dyDescent="0.25">
      <c r="B853"/>
      <c r="C853"/>
      <c r="D853"/>
      <c r="E853"/>
      <c r="F853"/>
    </row>
    <row r="854" spans="2:6" x14ac:dyDescent="0.25">
      <c r="B854"/>
      <c r="C854"/>
      <c r="D854"/>
      <c r="E854"/>
      <c r="F854"/>
    </row>
    <row r="855" spans="2:6" x14ac:dyDescent="0.25">
      <c r="B855"/>
      <c r="C855"/>
      <c r="D855"/>
      <c r="E855"/>
      <c r="F855"/>
    </row>
    <row r="856" spans="2:6" x14ac:dyDescent="0.25">
      <c r="B856"/>
      <c r="C856"/>
      <c r="D856"/>
      <c r="E856"/>
      <c r="F856"/>
    </row>
    <row r="857" spans="2:6" x14ac:dyDescent="0.25">
      <c r="B857"/>
      <c r="C857"/>
      <c r="D857"/>
      <c r="E857"/>
      <c r="F857"/>
    </row>
    <row r="858" spans="2:6" x14ac:dyDescent="0.25">
      <c r="B858"/>
      <c r="C858"/>
      <c r="D858"/>
      <c r="E858"/>
      <c r="F858"/>
    </row>
    <row r="859" spans="2:6" x14ac:dyDescent="0.25">
      <c r="B859"/>
      <c r="C859"/>
      <c r="D859"/>
      <c r="E859"/>
      <c r="F859"/>
    </row>
    <row r="860" spans="2:6" x14ac:dyDescent="0.25">
      <c r="B860"/>
      <c r="C860"/>
      <c r="D860"/>
      <c r="E860"/>
      <c r="F860"/>
    </row>
    <row r="861" spans="2:6" x14ac:dyDescent="0.25">
      <c r="B861"/>
      <c r="C861"/>
      <c r="D861"/>
      <c r="E861"/>
      <c r="F861"/>
    </row>
    <row r="862" spans="2:6" x14ac:dyDescent="0.25">
      <c r="B862"/>
      <c r="C862"/>
      <c r="D862"/>
      <c r="E862"/>
      <c r="F862"/>
    </row>
    <row r="863" spans="2:6" x14ac:dyDescent="0.25">
      <c r="B863"/>
      <c r="C863"/>
      <c r="D863"/>
      <c r="E863"/>
      <c r="F863"/>
    </row>
    <row r="864" spans="2:6" x14ac:dyDescent="0.25">
      <c r="B864"/>
      <c r="C864"/>
      <c r="D864"/>
      <c r="E864"/>
      <c r="F864"/>
    </row>
    <row r="865" spans="2:6" x14ac:dyDescent="0.25">
      <c r="B865"/>
      <c r="C865"/>
      <c r="D865"/>
      <c r="E865"/>
      <c r="F865"/>
    </row>
    <row r="866" spans="2:6" x14ac:dyDescent="0.25">
      <c r="B866"/>
      <c r="C866"/>
      <c r="D866"/>
      <c r="E866"/>
      <c r="F866"/>
    </row>
    <row r="867" spans="2:6" x14ac:dyDescent="0.25">
      <c r="B867"/>
      <c r="C867"/>
      <c r="D867"/>
      <c r="E867"/>
      <c r="F867"/>
    </row>
    <row r="868" spans="2:6" x14ac:dyDescent="0.25">
      <c r="B868"/>
      <c r="C868"/>
      <c r="D868"/>
      <c r="E868"/>
      <c r="F868"/>
    </row>
    <row r="869" spans="2:6" x14ac:dyDescent="0.25">
      <c r="B869"/>
      <c r="C869"/>
      <c r="D869"/>
      <c r="E869"/>
      <c r="F869"/>
    </row>
    <row r="870" spans="2:6" x14ac:dyDescent="0.25">
      <c r="B870"/>
      <c r="C870"/>
      <c r="D870"/>
      <c r="E870"/>
      <c r="F870"/>
    </row>
    <row r="871" spans="2:6" x14ac:dyDescent="0.25">
      <c r="B871"/>
      <c r="C871"/>
      <c r="D871"/>
      <c r="E871"/>
      <c r="F871"/>
    </row>
    <row r="872" spans="2:6" x14ac:dyDescent="0.25">
      <c r="B872"/>
      <c r="C872"/>
      <c r="D872"/>
      <c r="E872"/>
      <c r="F872"/>
    </row>
    <row r="873" spans="2:6" x14ac:dyDescent="0.25">
      <c r="B873"/>
      <c r="C873"/>
      <c r="D873"/>
      <c r="E873"/>
      <c r="F873"/>
    </row>
    <row r="874" spans="2:6" x14ac:dyDescent="0.25">
      <c r="B874"/>
      <c r="C874"/>
      <c r="D874"/>
      <c r="E874"/>
      <c r="F874"/>
    </row>
    <row r="875" spans="2:6" x14ac:dyDescent="0.25">
      <c r="B875"/>
      <c r="C875"/>
      <c r="D875"/>
      <c r="E875"/>
      <c r="F875"/>
    </row>
    <row r="876" spans="2:6" x14ac:dyDescent="0.25">
      <c r="B876"/>
      <c r="C876"/>
      <c r="D876"/>
      <c r="E876"/>
      <c r="F876"/>
    </row>
    <row r="877" spans="2:6" x14ac:dyDescent="0.25">
      <c r="B877"/>
      <c r="C877"/>
      <c r="D877"/>
      <c r="E877"/>
      <c r="F877"/>
    </row>
    <row r="878" spans="2:6" x14ac:dyDescent="0.25">
      <c r="B878"/>
      <c r="C878"/>
      <c r="D878"/>
      <c r="E878"/>
      <c r="F878"/>
    </row>
    <row r="879" spans="2:6" x14ac:dyDescent="0.25">
      <c r="B879"/>
      <c r="C879"/>
      <c r="D879"/>
      <c r="E879"/>
      <c r="F879"/>
    </row>
    <row r="880" spans="2:6" x14ac:dyDescent="0.25">
      <c r="B880"/>
      <c r="C880"/>
      <c r="D880"/>
      <c r="E880"/>
      <c r="F880"/>
    </row>
    <row r="881" spans="2:6" x14ac:dyDescent="0.25">
      <c r="B881"/>
      <c r="C881"/>
      <c r="D881"/>
      <c r="E881"/>
      <c r="F881"/>
    </row>
    <row r="882" spans="2:6" x14ac:dyDescent="0.25">
      <c r="B882"/>
      <c r="C882"/>
      <c r="D882"/>
      <c r="E882"/>
      <c r="F882"/>
    </row>
    <row r="883" spans="2:6" x14ac:dyDescent="0.25">
      <c r="B883"/>
      <c r="C883"/>
      <c r="D883"/>
      <c r="E883"/>
      <c r="F883"/>
    </row>
    <row r="884" spans="2:6" x14ac:dyDescent="0.25">
      <c r="B884"/>
      <c r="C884"/>
      <c r="D884"/>
      <c r="E884"/>
      <c r="F884"/>
    </row>
    <row r="885" spans="2:6" x14ac:dyDescent="0.25">
      <c r="B885"/>
      <c r="C885"/>
      <c r="D885"/>
      <c r="E885"/>
      <c r="F885"/>
    </row>
    <row r="886" spans="2:6" x14ac:dyDescent="0.25">
      <c r="B886"/>
      <c r="C886"/>
      <c r="D886"/>
      <c r="E886"/>
      <c r="F886"/>
    </row>
    <row r="887" spans="2:6" x14ac:dyDescent="0.25">
      <c r="B887"/>
      <c r="C887"/>
      <c r="D887"/>
      <c r="E887"/>
      <c r="F887"/>
    </row>
    <row r="888" spans="2:6" x14ac:dyDescent="0.25">
      <c r="B888"/>
      <c r="C888"/>
      <c r="D888"/>
      <c r="E888"/>
      <c r="F888"/>
    </row>
    <row r="889" spans="2:6" x14ac:dyDescent="0.25">
      <c r="B889"/>
      <c r="C889"/>
      <c r="D889"/>
      <c r="E889"/>
      <c r="F889"/>
    </row>
  </sheetData>
  <sheetProtection formatCells="0" formatColumns="0" formatRows="0" sort="0" autoFilter="0" pivotTables="0"/>
  <mergeCells count="2">
    <mergeCell ref="B2:N2"/>
    <mergeCell ref="B5:N5"/>
  </mergeCells>
  <pageMargins left="0.7" right="0.7" top="0.75" bottom="0.75" header="0.3" footer="0.3"/>
  <pageSetup orientation="portrait" r:id="rId30"/>
  <drawing r:id="rId3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198"/>
  <sheetViews>
    <sheetView showGridLines="0" zoomScale="75" zoomScaleNormal="75" workbookViewId="0">
      <selection activeCell="A97" sqref="A97"/>
    </sheetView>
  </sheetViews>
  <sheetFormatPr defaultColWidth="9.7109375" defaultRowHeight="15.75" x14ac:dyDescent="0.25"/>
  <cols>
    <col min="1" max="1" width="9.7109375" style="92"/>
    <col min="2" max="2" width="47.7109375" style="93" customWidth="1"/>
    <col min="3" max="3" width="17.7109375" style="94" customWidth="1"/>
    <col min="4" max="4" width="11.7109375" style="92" customWidth="1"/>
    <col min="5" max="5" width="9.85546875" style="92" customWidth="1"/>
    <col min="6" max="6" width="12.140625" style="92" customWidth="1"/>
    <col min="7" max="7" width="10.42578125" style="92" bestFit="1" customWidth="1"/>
    <col min="8" max="13" width="9.85546875" style="92" customWidth="1"/>
    <col min="14" max="14" width="11.7109375" style="92" bestFit="1" customWidth="1"/>
    <col min="15" max="17" width="9.7109375" style="92"/>
    <col min="18" max="18" width="12.7109375" style="92" customWidth="1"/>
    <col min="19" max="19" width="16.7109375" style="92" customWidth="1"/>
    <col min="20" max="16384" width="9.7109375" style="92"/>
  </cols>
  <sheetData>
    <row r="2" spans="2:13" ht="38.450000000000003" customHeight="1" x14ac:dyDescent="0.25">
      <c r="B2" s="668" t="s">
        <v>330</v>
      </c>
      <c r="C2" s="669"/>
      <c r="D2" s="669"/>
      <c r="E2" s="669"/>
      <c r="F2" s="669"/>
      <c r="G2" s="669"/>
      <c r="H2" s="669"/>
      <c r="I2" s="669"/>
      <c r="J2" s="669"/>
      <c r="K2" s="669"/>
      <c r="L2" s="669"/>
      <c r="M2" s="670"/>
    </row>
    <row r="4" spans="2:13" ht="16.5" thickBot="1" x14ac:dyDescent="0.3"/>
    <row r="5" spans="2:13" ht="16.5" thickBot="1" x14ac:dyDescent="0.3">
      <c r="B5" s="666" t="s">
        <v>331</v>
      </c>
      <c r="C5" s="667"/>
    </row>
    <row r="6" spans="2:13" x14ac:dyDescent="0.25">
      <c r="B6" s="633" t="s">
        <v>332</v>
      </c>
      <c r="C6" s="634" t="s">
        <v>74</v>
      </c>
    </row>
    <row r="7" spans="2:13" x14ac:dyDescent="0.25">
      <c r="B7" s="92"/>
      <c r="C7" s="92"/>
    </row>
    <row r="8" spans="2:13" ht="30" x14ac:dyDescent="0.25">
      <c r="B8" s="619" t="s">
        <v>333</v>
      </c>
      <c r="C8" s="635"/>
      <c r="D8" s="95"/>
      <c r="E8" s="95"/>
      <c r="F8" s="95"/>
      <c r="G8" s="95"/>
      <c r="H8" s="95"/>
    </row>
    <row r="9" spans="2:13" x14ac:dyDescent="0.25">
      <c r="B9" s="619" t="s">
        <v>334</v>
      </c>
      <c r="C9" s="621" t="s">
        <v>2</v>
      </c>
      <c r="D9" s="95"/>
      <c r="E9" s="95"/>
      <c r="F9" s="95"/>
      <c r="G9" s="95"/>
      <c r="H9" s="95"/>
    </row>
    <row r="10" spans="2:13" x14ac:dyDescent="0.25">
      <c r="B10" s="615" t="s">
        <v>335</v>
      </c>
      <c r="C10" s="636">
        <v>3902592</v>
      </c>
      <c r="D10" s="95"/>
      <c r="E10" s="95"/>
      <c r="F10" s="95"/>
      <c r="G10" s="95"/>
      <c r="H10" s="95"/>
    </row>
    <row r="11" spans="2:13" x14ac:dyDescent="0.25">
      <c r="B11" s="625" t="s">
        <v>336</v>
      </c>
      <c r="C11" s="637">
        <v>338770</v>
      </c>
      <c r="D11" s="95"/>
      <c r="E11" s="95"/>
      <c r="F11" s="95"/>
      <c r="G11" s="95"/>
      <c r="H11" s="95"/>
    </row>
    <row r="12" spans="2:13" x14ac:dyDescent="0.25">
      <c r="B12" s="625" t="s">
        <v>337</v>
      </c>
      <c r="C12" s="637">
        <v>346135</v>
      </c>
      <c r="D12" s="95"/>
      <c r="E12" s="95"/>
      <c r="F12" s="95"/>
      <c r="G12" s="95"/>
      <c r="H12" s="95"/>
    </row>
    <row r="13" spans="2:13" x14ac:dyDescent="0.25">
      <c r="B13" s="625" t="s">
        <v>338</v>
      </c>
      <c r="C13" s="637">
        <v>2224995</v>
      </c>
      <c r="D13" s="95"/>
      <c r="E13" s="95"/>
      <c r="F13" s="95"/>
      <c r="G13" s="95"/>
      <c r="H13" s="95"/>
    </row>
    <row r="14" spans="2:13" x14ac:dyDescent="0.25">
      <c r="B14" s="625" t="s">
        <v>339</v>
      </c>
      <c r="C14" s="637">
        <v>2195052.61</v>
      </c>
      <c r="D14" s="95"/>
      <c r="E14" s="95"/>
      <c r="F14" s="95"/>
      <c r="G14" s="95"/>
      <c r="H14" s="95"/>
    </row>
    <row r="15" spans="2:13" x14ac:dyDescent="0.25">
      <c r="B15" s="625" t="s">
        <v>340</v>
      </c>
      <c r="C15" s="637">
        <v>292113</v>
      </c>
      <c r="D15" s="95"/>
      <c r="E15" s="95"/>
      <c r="F15" s="95"/>
      <c r="G15" s="95"/>
      <c r="H15" s="95"/>
    </row>
    <row r="16" spans="2:13" x14ac:dyDescent="0.25">
      <c r="B16" s="625" t="s">
        <v>341</v>
      </c>
      <c r="C16" s="637">
        <v>515029</v>
      </c>
      <c r="D16" s="95"/>
      <c r="E16" s="95"/>
      <c r="F16" s="95"/>
      <c r="G16" s="95"/>
      <c r="H16" s="95"/>
    </row>
    <row r="17" spans="2:8" x14ac:dyDescent="0.25">
      <c r="B17" s="625" t="s">
        <v>342</v>
      </c>
      <c r="C17" s="637">
        <v>197000</v>
      </c>
      <c r="D17" s="95"/>
      <c r="E17" s="95"/>
      <c r="F17" s="95"/>
      <c r="G17" s="95"/>
      <c r="H17" s="95"/>
    </row>
    <row r="18" spans="2:8" x14ac:dyDescent="0.25">
      <c r="B18" s="625" t="s">
        <v>440</v>
      </c>
      <c r="C18" s="637">
        <v>245165</v>
      </c>
      <c r="D18" s="95"/>
      <c r="E18" s="95"/>
      <c r="F18" s="95"/>
      <c r="G18" s="95"/>
      <c r="H18" s="95"/>
    </row>
    <row r="19" spans="2:8" x14ac:dyDescent="0.25">
      <c r="B19" s="625" t="s">
        <v>343</v>
      </c>
      <c r="C19" s="637">
        <v>156270</v>
      </c>
      <c r="D19" s="95"/>
      <c r="E19" s="95"/>
      <c r="F19" s="95"/>
      <c r="G19" s="95"/>
      <c r="H19" s="95"/>
    </row>
    <row r="20" spans="2:8" x14ac:dyDescent="0.25">
      <c r="B20" s="625" t="s">
        <v>344</v>
      </c>
      <c r="C20" s="637">
        <v>191487</v>
      </c>
      <c r="D20" s="95"/>
      <c r="E20" s="95"/>
      <c r="F20" s="95"/>
      <c r="G20" s="95"/>
      <c r="H20" s="95"/>
    </row>
    <row r="21" spans="2:8" x14ac:dyDescent="0.25">
      <c r="B21" s="625" t="s">
        <v>544</v>
      </c>
      <c r="C21" s="637">
        <v>750000</v>
      </c>
      <c r="D21" s="95"/>
      <c r="E21" s="95"/>
      <c r="F21" s="95"/>
    </row>
    <row r="22" spans="2:8" x14ac:dyDescent="0.25">
      <c r="B22" s="625" t="s">
        <v>546</v>
      </c>
      <c r="C22" s="637">
        <v>17000</v>
      </c>
    </row>
    <row r="23" spans="2:8" x14ac:dyDescent="0.25">
      <c r="B23" s="625" t="s">
        <v>549</v>
      </c>
      <c r="C23" s="637">
        <v>80400</v>
      </c>
    </row>
    <row r="24" spans="2:8" x14ac:dyDescent="0.25">
      <c r="B24" s="625" t="s">
        <v>685</v>
      </c>
      <c r="C24" s="637">
        <v>43482</v>
      </c>
    </row>
    <row r="25" spans="2:8" x14ac:dyDescent="0.25">
      <c r="B25" s="625" t="s">
        <v>773</v>
      </c>
      <c r="C25" s="637">
        <v>1520909.0013263728</v>
      </c>
    </row>
    <row r="26" spans="2:8" x14ac:dyDescent="0.25">
      <c r="B26" s="638" t="s">
        <v>73</v>
      </c>
      <c r="C26" s="639">
        <v>13016399.611326372</v>
      </c>
      <c r="D26" s="97"/>
      <c r="E26" s="97"/>
    </row>
    <row r="27" spans="2:8" x14ac:dyDescent="0.25">
      <c r="B27"/>
      <c r="C27"/>
      <c r="D27" s="97"/>
      <c r="E27" s="97"/>
    </row>
    <row r="28" spans="2:8" ht="47.25" x14ac:dyDescent="0.25">
      <c r="B28" s="96" t="s">
        <v>345</v>
      </c>
      <c r="C28" s="96"/>
      <c r="D28" s="97"/>
      <c r="E28" s="97"/>
    </row>
    <row r="29" spans="2:8" x14ac:dyDescent="0.25">
      <c r="B29" s="96"/>
      <c r="C29" s="96"/>
      <c r="D29" s="97"/>
      <c r="E29" s="97"/>
    </row>
    <row r="30" spans="2:8" x14ac:dyDescent="0.25">
      <c r="B30" s="96"/>
      <c r="C30" s="96"/>
      <c r="D30" s="97"/>
      <c r="E30" s="97"/>
    </row>
    <row r="31" spans="2:8" s="350" customFormat="1" ht="16.5" thickBot="1" x14ac:dyDescent="0.3">
      <c r="B31" s="361" t="s">
        <v>398</v>
      </c>
      <c r="C31" s="351" t="s">
        <v>269</v>
      </c>
    </row>
    <row r="32" spans="2:8" s="350" customFormat="1" ht="16.5" thickBot="1" x14ac:dyDescent="0.3">
      <c r="B32" s="672" t="s">
        <v>715</v>
      </c>
      <c r="C32" s="673"/>
    </row>
    <row r="33" spans="2:8" s="350" customFormat="1" ht="30" x14ac:dyDescent="0.25">
      <c r="B33" s="362" t="s">
        <v>716</v>
      </c>
      <c r="C33" s="352"/>
      <c r="D33"/>
      <c r="E33"/>
      <c r="F33"/>
      <c r="G33"/>
      <c r="H33" s="353"/>
    </row>
    <row r="34" spans="2:8" s="350" customFormat="1" x14ac:dyDescent="0.25">
      <c r="B34" s="362" t="s">
        <v>334</v>
      </c>
      <c r="C34" s="354" t="s">
        <v>2</v>
      </c>
      <c r="D34"/>
      <c r="E34"/>
      <c r="F34"/>
      <c r="G34"/>
      <c r="H34" s="353"/>
    </row>
    <row r="35" spans="2:8" s="350" customFormat="1" x14ac:dyDescent="0.25">
      <c r="B35" s="355" t="s">
        <v>335</v>
      </c>
      <c r="C35" s="356">
        <v>723675.93633648218</v>
      </c>
      <c r="D35"/>
      <c r="E35"/>
      <c r="F35"/>
      <c r="G35"/>
      <c r="H35" s="353"/>
    </row>
    <row r="36" spans="2:8" s="350" customFormat="1" x14ac:dyDescent="0.25">
      <c r="B36" s="357" t="s">
        <v>338</v>
      </c>
      <c r="C36" s="358">
        <v>585345.41666666674</v>
      </c>
      <c r="D36"/>
      <c r="E36"/>
      <c r="F36"/>
      <c r="G36"/>
      <c r="H36" s="353"/>
    </row>
    <row r="37" spans="2:8" s="350" customFormat="1" x14ac:dyDescent="0.25">
      <c r="B37" s="357" t="s">
        <v>339</v>
      </c>
      <c r="C37" s="358">
        <v>1022388.1533101045</v>
      </c>
      <c r="D37"/>
      <c r="E37"/>
      <c r="F37"/>
      <c r="G37"/>
      <c r="H37" s="353"/>
    </row>
    <row r="38" spans="2:8" s="350" customFormat="1" x14ac:dyDescent="0.25">
      <c r="B38" s="357" t="s">
        <v>344</v>
      </c>
      <c r="C38" s="358">
        <v>37538.200440528635</v>
      </c>
      <c r="D38"/>
      <c r="E38"/>
      <c r="F38"/>
      <c r="G38"/>
      <c r="H38" s="353"/>
    </row>
    <row r="39" spans="2:8" s="350" customFormat="1" x14ac:dyDescent="0.25">
      <c r="B39" s="357" t="s">
        <v>685</v>
      </c>
      <c r="C39" s="358">
        <v>43482</v>
      </c>
      <c r="D39"/>
      <c r="E39"/>
      <c r="F39"/>
      <c r="G39"/>
      <c r="H39" s="353"/>
    </row>
    <row r="40" spans="2:8" s="350" customFormat="1" x14ac:dyDescent="0.25">
      <c r="B40" s="357" t="s">
        <v>341</v>
      </c>
      <c r="C40" s="358">
        <v>100963.83480176212</v>
      </c>
      <c r="D40"/>
      <c r="E40"/>
      <c r="F40"/>
      <c r="G40"/>
      <c r="H40" s="353"/>
    </row>
    <row r="41" spans="2:8" s="350" customFormat="1" x14ac:dyDescent="0.25">
      <c r="B41" s="357" t="s">
        <v>546</v>
      </c>
      <c r="C41" s="358">
        <v>17000</v>
      </c>
      <c r="D41"/>
      <c r="E41"/>
      <c r="F41"/>
      <c r="G41"/>
      <c r="H41" s="353"/>
    </row>
    <row r="42" spans="2:8" s="350" customFormat="1" x14ac:dyDescent="0.25">
      <c r="B42" s="357" t="s">
        <v>337</v>
      </c>
      <c r="C42" s="358">
        <v>78945</v>
      </c>
      <c r="D42"/>
      <c r="E42"/>
      <c r="F42"/>
      <c r="G42"/>
      <c r="H42" s="353"/>
    </row>
    <row r="43" spans="2:8" s="350" customFormat="1" x14ac:dyDescent="0.25">
      <c r="B43" s="357" t="s">
        <v>440</v>
      </c>
      <c r="C43" s="358">
        <v>79925.586080586087</v>
      </c>
      <c r="D43"/>
      <c r="E43"/>
      <c r="F43"/>
      <c r="G43"/>
      <c r="H43" s="353"/>
    </row>
    <row r="44" spans="2:8" s="350" customFormat="1" x14ac:dyDescent="0.25">
      <c r="B44" s="357" t="s">
        <v>343</v>
      </c>
      <c r="C44" s="358">
        <v>50000</v>
      </c>
      <c r="D44"/>
      <c r="E44"/>
      <c r="F44"/>
      <c r="G44"/>
      <c r="H44" s="353"/>
    </row>
    <row r="45" spans="2:8" s="350" customFormat="1" x14ac:dyDescent="0.25">
      <c r="B45" s="359" t="s">
        <v>73</v>
      </c>
      <c r="C45" s="360">
        <v>2739264.12763613</v>
      </c>
      <c r="D45"/>
      <c r="E45"/>
      <c r="F45"/>
      <c r="G45"/>
      <c r="H45" s="353"/>
    </row>
    <row r="46" spans="2:8" x14ac:dyDescent="0.25">
      <c r="B46"/>
      <c r="C46"/>
      <c r="D46" s="97"/>
      <c r="E46" s="97"/>
    </row>
    <row r="47" spans="2:8" x14ac:dyDescent="0.25">
      <c r="B47"/>
      <c r="C47"/>
      <c r="D47" s="97"/>
      <c r="E47" s="97"/>
    </row>
    <row r="48" spans="2:8" x14ac:dyDescent="0.25">
      <c r="B48" s="363"/>
      <c r="C48" s="364"/>
      <c r="D48" s="97"/>
      <c r="E48" s="97"/>
    </row>
    <row r="49" spans="2:8" x14ac:dyDescent="0.25">
      <c r="B49" s="363"/>
      <c r="C49" s="364"/>
      <c r="D49" s="97"/>
      <c r="E49" s="97"/>
    </row>
    <row r="50" spans="2:8" x14ac:dyDescent="0.25">
      <c r="B50" s="363"/>
      <c r="C50" s="364"/>
      <c r="D50" s="97"/>
      <c r="E50" s="97"/>
    </row>
    <row r="51" spans="2:8" x14ac:dyDescent="0.25">
      <c r="B51" s="363"/>
      <c r="C51" s="364"/>
      <c r="D51" s="97"/>
      <c r="E51" s="97"/>
    </row>
    <row r="52" spans="2:8" x14ac:dyDescent="0.25">
      <c r="B52" s="96"/>
      <c r="C52" s="96"/>
      <c r="D52" s="97"/>
      <c r="E52" s="97"/>
    </row>
    <row r="53" spans="2:8" x14ac:dyDescent="0.25">
      <c r="B53" s="96"/>
      <c r="C53" s="96"/>
      <c r="D53" s="97"/>
      <c r="E53" s="97"/>
    </row>
    <row r="54" spans="2:8" ht="16.5" thickBot="1" x14ac:dyDescent="0.3">
      <c r="B54" s="644" t="s">
        <v>334</v>
      </c>
      <c r="C54" s="634" t="s">
        <v>269</v>
      </c>
    </row>
    <row r="55" spans="2:8" ht="16.5" thickBot="1" x14ac:dyDescent="0.3">
      <c r="B55" s="666" t="s">
        <v>346</v>
      </c>
      <c r="C55" s="667"/>
    </row>
    <row r="56" spans="2:8" ht="30" x14ac:dyDescent="0.25">
      <c r="B56" s="619" t="s">
        <v>333</v>
      </c>
      <c r="C56" s="635"/>
      <c r="D56" s="95"/>
      <c r="E56" s="95"/>
      <c r="F56" s="98"/>
      <c r="G56" s="95"/>
      <c r="H56" s="95"/>
    </row>
    <row r="57" spans="2:8" x14ac:dyDescent="0.25">
      <c r="B57" s="616" t="s">
        <v>332</v>
      </c>
      <c r="C57" s="621" t="s">
        <v>2</v>
      </c>
      <c r="D57" s="95"/>
      <c r="E57" s="95"/>
      <c r="F57" s="95"/>
      <c r="G57" s="95"/>
      <c r="H57" s="95"/>
    </row>
    <row r="58" spans="2:8" x14ac:dyDescent="0.25">
      <c r="B58" s="615">
        <v>2012</v>
      </c>
      <c r="C58" s="636">
        <v>3335112.61</v>
      </c>
      <c r="D58" s="95"/>
      <c r="E58" s="95"/>
      <c r="F58" s="95"/>
      <c r="G58" s="95"/>
      <c r="H58" s="95"/>
    </row>
    <row r="59" spans="2:8" x14ac:dyDescent="0.25">
      <c r="B59" s="625">
        <v>2013</v>
      </c>
      <c r="C59" s="637">
        <v>4596720</v>
      </c>
      <c r="D59" s="95"/>
      <c r="E59" s="95"/>
      <c r="F59" s="95"/>
      <c r="G59" s="95"/>
      <c r="H59" s="95"/>
    </row>
    <row r="60" spans="2:8" x14ac:dyDescent="0.25">
      <c r="B60" s="625">
        <v>2014</v>
      </c>
      <c r="C60" s="637">
        <v>5084567.0013263728</v>
      </c>
      <c r="D60" s="95"/>
      <c r="E60" s="95"/>
      <c r="F60" s="95"/>
      <c r="G60" s="95"/>
      <c r="H60" s="95"/>
    </row>
    <row r="61" spans="2:8" x14ac:dyDescent="0.25">
      <c r="B61" s="638" t="s">
        <v>73</v>
      </c>
      <c r="C61" s="639">
        <v>13016399.611326372</v>
      </c>
      <c r="D61" s="95"/>
      <c r="E61" s="95"/>
      <c r="F61" s="95"/>
      <c r="G61" s="95"/>
      <c r="H61" s="95"/>
    </row>
    <row r="62" spans="2:8" x14ac:dyDescent="0.25">
      <c r="B62" s="95"/>
      <c r="C62" s="95"/>
      <c r="D62" s="95"/>
      <c r="E62" s="95"/>
      <c r="F62" s="95"/>
      <c r="G62" s="95"/>
      <c r="H62" s="95"/>
    </row>
    <row r="63" spans="2:8" x14ac:dyDescent="0.25">
      <c r="B63" s="95"/>
      <c r="C63" s="95"/>
      <c r="D63" s="95"/>
      <c r="E63" s="95"/>
      <c r="F63" s="95"/>
      <c r="G63" s="95"/>
      <c r="H63" s="95"/>
    </row>
    <row r="64" spans="2:8" x14ac:dyDescent="0.25">
      <c r="B64" s="95"/>
      <c r="C64" s="95"/>
      <c r="D64" s="95"/>
      <c r="E64" s="95"/>
      <c r="F64" s="95"/>
      <c r="G64" s="95"/>
      <c r="H64" s="95"/>
    </row>
    <row r="65" spans="2:21" x14ac:dyDescent="0.25">
      <c r="B65" s="95"/>
      <c r="C65" s="95"/>
      <c r="D65" s="95"/>
      <c r="E65" s="95"/>
      <c r="F65" s="95"/>
      <c r="G65" s="95"/>
      <c r="H65" s="95"/>
    </row>
    <row r="66" spans="2:21" x14ac:dyDescent="0.25">
      <c r="B66" s="95"/>
      <c r="C66" s="95"/>
      <c r="D66" s="95"/>
      <c r="E66" s="95"/>
      <c r="F66" s="95"/>
      <c r="G66" s="95"/>
      <c r="H66" s="95"/>
    </row>
    <row r="67" spans="2:21" ht="16.5" thickBot="1" x14ac:dyDescent="0.3">
      <c r="B67"/>
      <c r="C67"/>
      <c r="D67" s="95"/>
      <c r="E67" s="95"/>
      <c r="F67" s="95"/>
      <c r="G67" s="95"/>
      <c r="H67" s="95"/>
    </row>
    <row r="68" spans="2:21" ht="16.5" thickBot="1" x14ac:dyDescent="0.3">
      <c r="B68" s="666" t="s">
        <v>347</v>
      </c>
      <c r="C68" s="667"/>
    </row>
    <row r="69" spans="2:21" x14ac:dyDescent="0.25">
      <c r="B69" s="640"/>
      <c r="C69" s="619" t="s">
        <v>334</v>
      </c>
      <c r="D69" s="648"/>
      <c r="E69" s="648"/>
      <c r="F69" s="648"/>
      <c r="G69" s="648"/>
      <c r="H69" s="648"/>
      <c r="I69" s="648"/>
      <c r="J69" s="648"/>
      <c r="K69" s="648"/>
      <c r="L69" s="648"/>
      <c r="M69" s="648"/>
      <c r="N69" s="648"/>
      <c r="O69" s="648"/>
      <c r="P69" s="648"/>
      <c r="Q69" s="648"/>
      <c r="R69" s="648"/>
      <c r="S69" s="649"/>
      <c r="T69" s="95"/>
      <c r="U69" s="95"/>
    </row>
    <row r="70" spans="2:21" x14ac:dyDescent="0.25">
      <c r="B70" s="616" t="s">
        <v>75</v>
      </c>
      <c r="C70" s="615" t="s">
        <v>335</v>
      </c>
      <c r="D70" s="620" t="s">
        <v>336</v>
      </c>
      <c r="E70" s="620" t="s">
        <v>337</v>
      </c>
      <c r="F70" s="620" t="s">
        <v>338</v>
      </c>
      <c r="G70" s="620" t="s">
        <v>339</v>
      </c>
      <c r="H70" s="620" t="s">
        <v>340</v>
      </c>
      <c r="I70" s="620" t="s">
        <v>341</v>
      </c>
      <c r="J70" s="620" t="s">
        <v>342</v>
      </c>
      <c r="K70" s="620" t="s">
        <v>440</v>
      </c>
      <c r="L70" s="620" t="s">
        <v>343</v>
      </c>
      <c r="M70" s="620" t="s">
        <v>344</v>
      </c>
      <c r="N70" s="620" t="s">
        <v>544</v>
      </c>
      <c r="O70" s="620" t="s">
        <v>546</v>
      </c>
      <c r="P70" s="620" t="s">
        <v>549</v>
      </c>
      <c r="Q70" s="620" t="s">
        <v>685</v>
      </c>
      <c r="R70" s="620" t="s">
        <v>773</v>
      </c>
      <c r="S70" s="621" t="s">
        <v>73</v>
      </c>
      <c r="T70" s="95"/>
      <c r="U70" s="95"/>
    </row>
    <row r="71" spans="2:21" x14ac:dyDescent="0.25">
      <c r="B71" s="615" t="s">
        <v>774</v>
      </c>
      <c r="C71" s="650">
        <v>2174530.0636635176</v>
      </c>
      <c r="D71" s="651">
        <v>338770</v>
      </c>
      <c r="E71" s="651">
        <v>0</v>
      </c>
      <c r="F71" s="651">
        <v>1169702.5833333333</v>
      </c>
      <c r="G71" s="651">
        <v>1172664.4566898956</v>
      </c>
      <c r="H71" s="651">
        <v>292113</v>
      </c>
      <c r="I71" s="651">
        <v>414065.16519823787</v>
      </c>
      <c r="J71" s="651">
        <v>197000</v>
      </c>
      <c r="K71" s="651">
        <v>165239.41391941393</v>
      </c>
      <c r="L71" s="651">
        <v>106270</v>
      </c>
      <c r="M71" s="651">
        <v>153948.79955947137</v>
      </c>
      <c r="N71" s="651">
        <v>0</v>
      </c>
      <c r="O71" s="651">
        <v>0</v>
      </c>
      <c r="P71" s="651">
        <v>80400</v>
      </c>
      <c r="Q71" s="651">
        <v>0</v>
      </c>
      <c r="R71" s="651">
        <v>0</v>
      </c>
      <c r="S71" s="636">
        <v>6264703.4823638694</v>
      </c>
      <c r="T71" s="95"/>
      <c r="U71" s="95"/>
    </row>
    <row r="72" spans="2:21" x14ac:dyDescent="0.25">
      <c r="B72" s="625" t="s">
        <v>775</v>
      </c>
      <c r="C72" s="652">
        <v>1150423.4729542886</v>
      </c>
      <c r="D72" s="653">
        <v>0</v>
      </c>
      <c r="E72" s="653">
        <v>79917.740101095231</v>
      </c>
      <c r="F72" s="653">
        <v>900364.83424908435</v>
      </c>
      <c r="G72" s="653">
        <v>1022388.1533101045</v>
      </c>
      <c r="H72" s="653">
        <v>0</v>
      </c>
      <c r="I72" s="653">
        <v>100963.83480176212</v>
      </c>
      <c r="J72" s="653">
        <v>0</v>
      </c>
      <c r="K72" s="653">
        <v>79925.586080586087</v>
      </c>
      <c r="L72" s="653">
        <v>50000</v>
      </c>
      <c r="M72" s="653">
        <v>37538.200440528635</v>
      </c>
      <c r="N72" s="653">
        <v>564560.43956043955</v>
      </c>
      <c r="O72" s="653">
        <v>17000</v>
      </c>
      <c r="P72" s="653">
        <v>0</v>
      </c>
      <c r="Q72" s="653">
        <v>43482</v>
      </c>
      <c r="R72" s="653">
        <v>939498.21854084812</v>
      </c>
      <c r="S72" s="637">
        <v>4986062.4800387369</v>
      </c>
    </row>
    <row r="73" spans="2:21" x14ac:dyDescent="0.25">
      <c r="B73" s="629" t="s">
        <v>818</v>
      </c>
      <c r="C73" s="654">
        <v>577638.4633821937</v>
      </c>
      <c r="D73" s="655">
        <v>0</v>
      </c>
      <c r="E73" s="655">
        <v>266217.25989890477</v>
      </c>
      <c r="F73" s="655">
        <v>154927.58241758242</v>
      </c>
      <c r="G73" s="655">
        <v>0</v>
      </c>
      <c r="H73" s="655">
        <v>0</v>
      </c>
      <c r="I73" s="655">
        <v>0</v>
      </c>
      <c r="J73" s="655">
        <v>0</v>
      </c>
      <c r="K73" s="655">
        <v>0</v>
      </c>
      <c r="L73" s="655">
        <v>0</v>
      </c>
      <c r="M73" s="655">
        <v>0</v>
      </c>
      <c r="N73" s="655">
        <v>185439.56043956045</v>
      </c>
      <c r="O73" s="655">
        <v>0</v>
      </c>
      <c r="P73" s="655">
        <v>0</v>
      </c>
      <c r="Q73" s="655">
        <v>0</v>
      </c>
      <c r="R73" s="655">
        <v>581410.78278552473</v>
      </c>
      <c r="S73" s="656">
        <v>1765633.6489237659</v>
      </c>
    </row>
    <row r="90" spans="2:8" ht="16.5" thickBot="1" x14ac:dyDescent="0.3"/>
    <row r="91" spans="2:8" ht="16.5" thickBot="1" x14ac:dyDescent="0.3">
      <c r="B91" s="666" t="s">
        <v>348</v>
      </c>
      <c r="C91" s="667"/>
    </row>
    <row r="92" spans="2:8" x14ac:dyDescent="0.25">
      <c r="B92" s="633" t="s">
        <v>332</v>
      </c>
      <c r="C92" s="634" t="s">
        <v>74</v>
      </c>
      <c r="D92" s="95"/>
      <c r="E92" s="95"/>
      <c r="F92" s="95"/>
      <c r="G92" s="95"/>
      <c r="H92" s="95"/>
    </row>
    <row r="93" spans="2:8" x14ac:dyDescent="0.25">
      <c r="D93" s="95"/>
      <c r="E93" s="95"/>
      <c r="F93" s="95"/>
      <c r="G93" s="95"/>
      <c r="H93" s="95"/>
    </row>
    <row r="94" spans="2:8" x14ac:dyDescent="0.25">
      <c r="B94" s="619" t="s">
        <v>75</v>
      </c>
      <c r="C94" s="621" t="s">
        <v>2</v>
      </c>
      <c r="D94" s="95"/>
      <c r="E94" s="98"/>
      <c r="F94" s="95"/>
      <c r="G94" s="95"/>
      <c r="H94" s="95"/>
    </row>
    <row r="95" spans="2:8" x14ac:dyDescent="0.25">
      <c r="B95" s="615" t="s">
        <v>349</v>
      </c>
      <c r="C95" s="641">
        <v>0.14220020067507166</v>
      </c>
      <c r="D95" s="95"/>
      <c r="E95" s="95"/>
      <c r="F95" s="95"/>
      <c r="G95" s="95"/>
      <c r="H95" s="95"/>
    </row>
    <row r="96" spans="2:8" x14ac:dyDescent="0.25">
      <c r="B96" s="625" t="s">
        <v>350</v>
      </c>
      <c r="C96" s="646">
        <v>0.54387404529655214</v>
      </c>
      <c r="D96" s="95"/>
      <c r="E96" s="95"/>
      <c r="F96" s="95"/>
      <c r="G96" s="95"/>
      <c r="H96" s="95"/>
    </row>
    <row r="97" spans="2:8" x14ac:dyDescent="0.25">
      <c r="B97" s="629" t="s">
        <v>351</v>
      </c>
      <c r="C97" s="643">
        <v>0.32597383990683138</v>
      </c>
      <c r="D97" s="95"/>
      <c r="E97" s="95"/>
      <c r="F97" s="95"/>
      <c r="G97" s="95"/>
      <c r="H97" s="95"/>
    </row>
    <row r="98" spans="2:8" x14ac:dyDescent="0.25">
      <c r="B98" s="99"/>
      <c r="C98" s="100"/>
      <c r="D98" s="95"/>
      <c r="E98" s="95"/>
      <c r="F98" s="95"/>
      <c r="G98" s="95"/>
      <c r="H98" s="95"/>
    </row>
    <row r="99" spans="2:8" x14ac:dyDescent="0.25">
      <c r="B99" s="99"/>
      <c r="C99" s="100"/>
      <c r="D99" s="95"/>
      <c r="E99" s="95"/>
      <c r="F99" s="95"/>
      <c r="G99" s="95"/>
      <c r="H99" s="95"/>
    </row>
    <row r="100" spans="2:8" x14ac:dyDescent="0.25">
      <c r="B100" s="99"/>
      <c r="C100" s="100"/>
      <c r="D100" s="95"/>
      <c r="E100" s="95"/>
      <c r="F100" s="95"/>
      <c r="G100" s="95"/>
      <c r="H100" s="95"/>
    </row>
    <row r="104" spans="2:8" ht="16.5" thickBot="1" x14ac:dyDescent="0.3">
      <c r="D104" s="95"/>
      <c r="E104" s="95"/>
      <c r="F104" s="95"/>
      <c r="G104" s="95"/>
      <c r="H104" s="95"/>
    </row>
    <row r="105" spans="2:8" ht="16.5" thickBot="1" x14ac:dyDescent="0.3">
      <c r="B105" s="666" t="s">
        <v>348</v>
      </c>
      <c r="C105" s="667"/>
      <c r="D105" s="95"/>
      <c r="E105" s="95"/>
      <c r="F105" s="95"/>
      <c r="G105" s="95"/>
      <c r="H105" s="95"/>
    </row>
    <row r="106" spans="2:8" x14ac:dyDescent="0.25">
      <c r="B106" s="633" t="s">
        <v>332</v>
      </c>
      <c r="C106" s="634" t="s">
        <v>74</v>
      </c>
      <c r="D106" s="95"/>
      <c r="E106" s="98"/>
      <c r="F106" s="95"/>
      <c r="G106" s="95"/>
      <c r="H106" s="95"/>
    </row>
    <row r="107" spans="2:8" x14ac:dyDescent="0.25">
      <c r="D107" s="95"/>
      <c r="E107" s="95"/>
      <c r="F107" s="95"/>
      <c r="G107" s="95"/>
      <c r="H107" s="95"/>
    </row>
    <row r="108" spans="2:8" x14ac:dyDescent="0.25">
      <c r="B108" s="619" t="s">
        <v>75</v>
      </c>
      <c r="C108" s="621" t="s">
        <v>2</v>
      </c>
      <c r="D108" s="95"/>
      <c r="E108" s="95"/>
      <c r="F108" s="95"/>
      <c r="G108" s="95"/>
      <c r="H108" s="95"/>
    </row>
    <row r="109" spans="2:8" x14ac:dyDescent="0.25">
      <c r="B109" s="615" t="s">
        <v>352</v>
      </c>
      <c r="C109" s="641">
        <v>0.48235964144513849</v>
      </c>
      <c r="D109" s="95"/>
      <c r="E109" s="95"/>
      <c r="F109" s="95"/>
      <c r="G109" s="95"/>
      <c r="H109" s="95"/>
    </row>
    <row r="110" spans="2:8" x14ac:dyDescent="0.25">
      <c r="B110" s="629" t="s">
        <v>353</v>
      </c>
      <c r="C110" s="643">
        <v>0.52995078242186378</v>
      </c>
      <c r="D110" s="95"/>
      <c r="E110" s="95"/>
      <c r="F110" s="95"/>
      <c r="G110" s="95"/>
      <c r="H110" s="95"/>
    </row>
    <row r="111" spans="2:8" x14ac:dyDescent="0.25">
      <c r="B111" s="95"/>
      <c r="C111" s="95"/>
      <c r="D111" s="95"/>
      <c r="E111" s="95"/>
      <c r="F111" s="95"/>
      <c r="G111" s="95"/>
      <c r="H111" s="95"/>
    </row>
    <row r="112" spans="2:8" x14ac:dyDescent="0.25">
      <c r="B112" s="95"/>
      <c r="C112" s="95"/>
      <c r="D112" s="95"/>
      <c r="E112" s="95"/>
      <c r="F112" s="95"/>
      <c r="G112" s="95"/>
      <c r="H112" s="95"/>
    </row>
    <row r="113" spans="2:9" x14ac:dyDescent="0.25">
      <c r="B113" s="95"/>
      <c r="C113" s="95"/>
      <c r="D113" s="95"/>
      <c r="E113" s="95"/>
      <c r="F113" s="95"/>
      <c r="G113" s="95"/>
      <c r="H113" s="95"/>
    </row>
    <row r="114" spans="2:9" x14ac:dyDescent="0.25">
      <c r="B114" s="95"/>
      <c r="C114" s="95"/>
      <c r="D114" s="95"/>
      <c r="E114" s="95"/>
      <c r="F114" s="95"/>
      <c r="G114" s="95"/>
      <c r="H114" s="95"/>
    </row>
    <row r="117" spans="2:9" x14ac:dyDescent="0.25">
      <c r="B117" s="92"/>
      <c r="C117" s="92"/>
    </row>
    <row r="118" spans="2:9" x14ac:dyDescent="0.25">
      <c r="B118" s="92"/>
      <c r="C118" s="92"/>
    </row>
    <row r="119" spans="2:9" ht="18.75" x14ac:dyDescent="0.25">
      <c r="I119" s="101"/>
    </row>
    <row r="120" spans="2:9" ht="16.5" thickBot="1" x14ac:dyDescent="0.3">
      <c r="B120" s="92"/>
      <c r="C120" s="92"/>
      <c r="D120" s="95"/>
      <c r="E120" s="95"/>
      <c r="F120" s="95"/>
      <c r="G120" s="95"/>
      <c r="H120" s="95"/>
    </row>
    <row r="121" spans="2:9" ht="16.5" thickBot="1" x14ac:dyDescent="0.3">
      <c r="B121" s="666" t="s">
        <v>354</v>
      </c>
      <c r="C121" s="667"/>
      <c r="D121" s="95"/>
      <c r="E121" s="95"/>
      <c r="F121" s="95"/>
      <c r="G121" s="95"/>
      <c r="H121" s="95"/>
    </row>
    <row r="122" spans="2:9" x14ac:dyDescent="0.25">
      <c r="B122" s="633" t="s">
        <v>332</v>
      </c>
      <c r="C122" s="634" t="s">
        <v>74</v>
      </c>
      <c r="D122" s="95"/>
      <c r="E122" s="95"/>
      <c r="F122" s="95"/>
      <c r="G122" s="95"/>
      <c r="H122" s="95"/>
    </row>
    <row r="123" spans="2:9" x14ac:dyDescent="0.25">
      <c r="D123" s="95"/>
      <c r="E123" s="95"/>
      <c r="F123" s="95"/>
      <c r="G123" s="95"/>
      <c r="H123" s="95"/>
    </row>
    <row r="124" spans="2:9" x14ac:dyDescent="0.25">
      <c r="B124" s="619" t="s">
        <v>75</v>
      </c>
      <c r="C124" s="621" t="s">
        <v>2</v>
      </c>
      <c r="D124" s="95"/>
      <c r="E124" s="95"/>
      <c r="F124" s="95"/>
      <c r="G124" s="95"/>
      <c r="H124" s="95"/>
    </row>
    <row r="125" spans="2:9" ht="30" x14ac:dyDescent="0.25">
      <c r="B125" s="640" t="s">
        <v>355</v>
      </c>
      <c r="C125" s="641">
        <v>3.1190476190476192E-2</v>
      </c>
      <c r="D125" s="95"/>
      <c r="E125" s="95"/>
      <c r="F125" s="95"/>
      <c r="G125" s="95"/>
      <c r="H125" s="95"/>
    </row>
    <row r="126" spans="2:9" ht="30" x14ac:dyDescent="0.25">
      <c r="B126" s="642" t="s">
        <v>356</v>
      </c>
      <c r="C126" s="643">
        <v>0.96880952380952379</v>
      </c>
      <c r="D126" s="95"/>
      <c r="E126" s="95"/>
      <c r="F126" s="95"/>
      <c r="G126" s="95"/>
      <c r="H126" s="95"/>
    </row>
    <row r="127" spans="2:9" x14ac:dyDescent="0.25">
      <c r="B127"/>
      <c r="C127"/>
      <c r="D127" s="95"/>
      <c r="E127" s="95"/>
      <c r="F127" s="95"/>
      <c r="G127" s="95"/>
      <c r="H127" s="95"/>
    </row>
    <row r="128" spans="2:9" x14ac:dyDescent="0.25">
      <c r="B128" s="99"/>
      <c r="C128" s="100"/>
      <c r="D128" s="95"/>
      <c r="E128" s="95"/>
      <c r="F128" s="95"/>
      <c r="G128" s="95"/>
      <c r="H128" s="95"/>
    </row>
    <row r="129" spans="2:14" x14ac:dyDescent="0.25">
      <c r="B129" s="99"/>
      <c r="C129" s="100"/>
      <c r="D129" s="95"/>
      <c r="E129" s="95"/>
      <c r="F129" s="95"/>
      <c r="G129" s="95"/>
      <c r="H129" s="95"/>
    </row>
    <row r="134" spans="2:14" ht="18.75" x14ac:dyDescent="0.25">
      <c r="N134" s="101"/>
    </row>
    <row r="136" spans="2:14" ht="16.5" thickBot="1" x14ac:dyDescent="0.3"/>
    <row r="137" spans="2:14" ht="16.5" thickBot="1" x14ac:dyDescent="0.3">
      <c r="B137" s="666" t="s">
        <v>357</v>
      </c>
      <c r="C137" s="667"/>
    </row>
    <row r="138" spans="2:14" x14ac:dyDescent="0.25">
      <c r="B138" s="633" t="s">
        <v>332</v>
      </c>
      <c r="C138" s="634" t="s">
        <v>74</v>
      </c>
    </row>
    <row r="140" spans="2:14" x14ac:dyDescent="0.25">
      <c r="B140" s="619" t="s">
        <v>75</v>
      </c>
      <c r="C140" s="621" t="s">
        <v>2</v>
      </c>
      <c r="D140" s="95"/>
      <c r="E140" s="95"/>
      <c r="F140" s="95"/>
      <c r="G140" s="95"/>
      <c r="H140" s="95"/>
    </row>
    <row r="141" spans="2:14" ht="30" x14ac:dyDescent="0.25">
      <c r="B141" s="640" t="s">
        <v>358</v>
      </c>
      <c r="C141" s="641">
        <v>0.36213765358622524</v>
      </c>
      <c r="D141" s="95"/>
      <c r="E141" s="95"/>
      <c r="F141" s="95"/>
      <c r="G141" s="95"/>
      <c r="H141" s="95"/>
    </row>
    <row r="142" spans="2:14" ht="30" x14ac:dyDescent="0.25">
      <c r="B142" s="647" t="s">
        <v>359</v>
      </c>
      <c r="C142" s="646">
        <v>0.28458225734343939</v>
      </c>
      <c r="D142" s="95"/>
      <c r="E142" s="95"/>
      <c r="F142" s="95"/>
      <c r="G142" s="95"/>
      <c r="H142" s="95"/>
    </row>
    <row r="143" spans="2:14" x14ac:dyDescent="0.25">
      <c r="B143" s="642" t="s">
        <v>360</v>
      </c>
      <c r="C143" s="643">
        <v>0.33048223154849782</v>
      </c>
      <c r="D143" s="95"/>
      <c r="E143" s="95"/>
      <c r="F143" s="95"/>
      <c r="G143" s="95"/>
      <c r="H143" s="95"/>
    </row>
    <row r="144" spans="2:14" x14ac:dyDescent="0.25">
      <c r="B144" s="95"/>
      <c r="C144" s="95"/>
      <c r="D144" s="95"/>
      <c r="E144" s="95"/>
      <c r="F144" s="95"/>
      <c r="G144" s="95"/>
      <c r="H144" s="95"/>
    </row>
    <row r="145" spans="2:8" x14ac:dyDescent="0.25">
      <c r="B145" s="671"/>
      <c r="C145" s="671"/>
      <c r="D145" s="95"/>
      <c r="E145" s="95"/>
      <c r="F145" s="95"/>
      <c r="G145" s="95"/>
      <c r="H145" s="95"/>
    </row>
    <row r="146" spans="2:8" x14ac:dyDescent="0.25">
      <c r="B146" s="99"/>
      <c r="C146" s="100"/>
      <c r="D146" s="95"/>
      <c r="E146" s="95"/>
      <c r="F146" s="95"/>
      <c r="G146" s="95"/>
      <c r="H146" s="95"/>
    </row>
    <row r="147" spans="2:8" x14ac:dyDescent="0.25">
      <c r="B147" s="99"/>
      <c r="C147" s="100"/>
      <c r="D147" s="95"/>
      <c r="E147" s="95"/>
      <c r="F147" s="95"/>
      <c r="G147" s="95"/>
      <c r="H147" s="95"/>
    </row>
    <row r="148" spans="2:8" x14ac:dyDescent="0.25">
      <c r="B148" s="99"/>
      <c r="C148" s="100"/>
      <c r="D148" s="95"/>
      <c r="E148" s="95"/>
      <c r="F148" s="95"/>
      <c r="G148" s="95"/>
      <c r="H148" s="95"/>
    </row>
    <row r="149" spans="2:8" ht="16.5" thickBot="1" x14ac:dyDescent="0.3"/>
    <row r="150" spans="2:8" ht="16.5" thickBot="1" x14ac:dyDescent="0.3">
      <c r="B150" s="666" t="s">
        <v>361</v>
      </c>
      <c r="C150" s="667"/>
    </row>
    <row r="151" spans="2:8" x14ac:dyDescent="0.25">
      <c r="B151" s="95"/>
      <c r="C151" s="95"/>
    </row>
    <row r="153" spans="2:8" x14ac:dyDescent="0.25">
      <c r="B153" s="615"/>
      <c r="C153" s="616" t="s">
        <v>332</v>
      </c>
      <c r="D153" s="617"/>
      <c r="E153" s="617"/>
      <c r="F153" s="618"/>
      <c r="G153" s="95"/>
      <c r="H153" s="95"/>
    </row>
    <row r="154" spans="2:8" x14ac:dyDescent="0.25">
      <c r="B154" s="619" t="s">
        <v>75</v>
      </c>
      <c r="C154" s="615">
        <v>2012</v>
      </c>
      <c r="D154" s="620">
        <v>2013</v>
      </c>
      <c r="E154" s="620">
        <v>2014</v>
      </c>
      <c r="F154" s="621" t="s">
        <v>73</v>
      </c>
      <c r="G154" s="95"/>
      <c r="H154" s="95"/>
    </row>
    <row r="155" spans="2:8" x14ac:dyDescent="0.25">
      <c r="B155" s="615" t="s">
        <v>362</v>
      </c>
      <c r="C155" s="622">
        <v>273381</v>
      </c>
      <c r="D155" s="623">
        <v>64179</v>
      </c>
      <c r="E155" s="623">
        <v>113171</v>
      </c>
      <c r="F155" s="624">
        <v>450731</v>
      </c>
      <c r="G155" s="95"/>
      <c r="H155" s="95"/>
    </row>
    <row r="156" spans="2:8" x14ac:dyDescent="0.25">
      <c r="B156" s="625" t="s">
        <v>363</v>
      </c>
      <c r="C156" s="626">
        <v>269017</v>
      </c>
      <c r="D156" s="627">
        <v>80502</v>
      </c>
      <c r="E156" s="627">
        <v>115597</v>
      </c>
      <c r="F156" s="628">
        <v>465116</v>
      </c>
      <c r="G156" s="95"/>
      <c r="H156" s="95"/>
    </row>
    <row r="157" spans="2:8" x14ac:dyDescent="0.25">
      <c r="B157" s="629" t="s">
        <v>364</v>
      </c>
      <c r="C157" s="630">
        <v>292077</v>
      </c>
      <c r="D157" s="631">
        <v>88723</v>
      </c>
      <c r="E157" s="631">
        <v>119889</v>
      </c>
      <c r="F157" s="632">
        <v>500689</v>
      </c>
    </row>
    <row r="158" spans="2:8" ht="31.15" customHeight="1" x14ac:dyDescent="0.25">
      <c r="B158" s="671"/>
      <c r="C158" s="671"/>
    </row>
    <row r="165" spans="2:8" ht="16.5" thickBot="1" x14ac:dyDescent="0.3"/>
    <row r="166" spans="2:8" ht="16.5" thickBot="1" x14ac:dyDescent="0.3">
      <c r="B166" s="666" t="s">
        <v>365</v>
      </c>
      <c r="C166" s="667"/>
    </row>
    <row r="167" spans="2:8" x14ac:dyDescent="0.25">
      <c r="B167" s="644" t="s">
        <v>366</v>
      </c>
      <c r="C167" s="645" t="s">
        <v>74</v>
      </c>
    </row>
    <row r="169" spans="2:8" x14ac:dyDescent="0.25">
      <c r="B169" s="615"/>
      <c r="C169" s="616" t="s">
        <v>332</v>
      </c>
      <c r="D169" s="617"/>
      <c r="E169" s="617"/>
      <c r="F169" s="618"/>
      <c r="G169" s="95"/>
      <c r="H169" s="95"/>
    </row>
    <row r="170" spans="2:8" x14ac:dyDescent="0.25">
      <c r="B170" s="619" t="s">
        <v>75</v>
      </c>
      <c r="C170" s="615">
        <v>2012</v>
      </c>
      <c r="D170" s="620">
        <v>2013</v>
      </c>
      <c r="E170" s="620">
        <v>2014</v>
      </c>
      <c r="F170" s="621" t="s">
        <v>73</v>
      </c>
      <c r="G170" s="95"/>
      <c r="H170" s="95"/>
    </row>
    <row r="171" spans="2:8" x14ac:dyDescent="0.25">
      <c r="B171" s="615" t="s">
        <v>367</v>
      </c>
      <c r="C171" s="622">
        <v>2500</v>
      </c>
      <c r="D171" s="623">
        <v>22000</v>
      </c>
      <c r="E171" s="623">
        <v>0</v>
      </c>
      <c r="F171" s="624">
        <v>24500</v>
      </c>
      <c r="G171" s="95"/>
      <c r="H171" s="95"/>
    </row>
    <row r="172" spans="2:8" x14ac:dyDescent="0.25">
      <c r="B172" s="625" t="s">
        <v>368</v>
      </c>
      <c r="C172" s="626">
        <v>2500</v>
      </c>
      <c r="D172" s="627">
        <v>8788</v>
      </c>
      <c r="E172" s="627">
        <v>0</v>
      </c>
      <c r="F172" s="628">
        <v>11288</v>
      </c>
      <c r="G172" s="95"/>
      <c r="H172" s="95"/>
    </row>
    <row r="173" spans="2:8" x14ac:dyDescent="0.25">
      <c r="B173" s="629" t="s">
        <v>369</v>
      </c>
      <c r="C173" s="630">
        <v>2500</v>
      </c>
      <c r="D173" s="631">
        <v>30788</v>
      </c>
      <c r="E173" s="631">
        <v>2418</v>
      </c>
      <c r="F173" s="632">
        <v>35706</v>
      </c>
    </row>
    <row r="179" spans="2:8" x14ac:dyDescent="0.25">
      <c r="B179" s="95"/>
      <c r="C179" s="95"/>
      <c r="D179" s="95"/>
      <c r="E179" s="95"/>
      <c r="F179" s="95"/>
      <c r="G179" s="95"/>
      <c r="H179" s="95"/>
    </row>
    <row r="180" spans="2:8" x14ac:dyDescent="0.25">
      <c r="B180" s="95"/>
      <c r="C180" s="95"/>
      <c r="D180" s="95"/>
      <c r="E180" s="95"/>
      <c r="F180" s="95"/>
      <c r="G180" s="95"/>
      <c r="H180" s="95"/>
    </row>
    <row r="181" spans="2:8" x14ac:dyDescent="0.25">
      <c r="B181" s="95"/>
      <c r="C181" s="95"/>
      <c r="D181" s="95"/>
      <c r="E181" s="95"/>
      <c r="F181" s="95"/>
      <c r="G181" s="95"/>
      <c r="H181" s="95"/>
    </row>
    <row r="182" spans="2:8" x14ac:dyDescent="0.25">
      <c r="B182" s="95"/>
      <c r="C182" s="95"/>
      <c r="D182" s="95"/>
      <c r="E182" s="95"/>
      <c r="F182" s="95"/>
      <c r="G182" s="95"/>
      <c r="H182" s="95"/>
    </row>
    <row r="183" spans="2:8" x14ac:dyDescent="0.25">
      <c r="B183" s="95"/>
      <c r="C183" s="95"/>
      <c r="D183" s="95"/>
      <c r="E183" s="95"/>
      <c r="F183" s="95"/>
      <c r="G183" s="95"/>
      <c r="H183" s="95"/>
    </row>
    <row r="184" spans="2:8" x14ac:dyDescent="0.25">
      <c r="B184" s="95"/>
      <c r="C184" s="95"/>
      <c r="D184" s="95"/>
      <c r="E184" s="95"/>
      <c r="F184" s="95"/>
      <c r="G184" s="95"/>
      <c r="H184" s="95"/>
    </row>
    <row r="185" spans="2:8" x14ac:dyDescent="0.25">
      <c r="B185" s="95"/>
      <c r="C185" s="95"/>
      <c r="D185" s="95"/>
      <c r="E185" s="95"/>
      <c r="F185" s="95"/>
      <c r="G185" s="95"/>
      <c r="H185" s="95"/>
    </row>
    <row r="186" spans="2:8" x14ac:dyDescent="0.25">
      <c r="B186" s="95"/>
      <c r="C186" s="95"/>
      <c r="D186" s="95"/>
      <c r="E186" s="95"/>
      <c r="F186" s="95"/>
      <c r="G186" s="95"/>
      <c r="H186" s="95"/>
    </row>
    <row r="187" spans="2:8" x14ac:dyDescent="0.25">
      <c r="B187" s="95"/>
      <c r="C187" s="95"/>
      <c r="D187" s="95"/>
      <c r="E187" s="95"/>
      <c r="F187" s="95"/>
      <c r="G187" s="95"/>
      <c r="H187" s="95"/>
    </row>
    <row r="188" spans="2:8" x14ac:dyDescent="0.25">
      <c r="B188" s="95"/>
      <c r="C188" s="95"/>
      <c r="D188" s="95"/>
    </row>
    <row r="189" spans="2:8" x14ac:dyDescent="0.25">
      <c r="B189" s="95"/>
      <c r="C189" s="95"/>
      <c r="D189" s="95"/>
    </row>
    <row r="190" spans="2:8" x14ac:dyDescent="0.25">
      <c r="B190" s="95"/>
      <c r="C190" s="95"/>
      <c r="D190" s="95"/>
    </row>
    <row r="191" spans="2:8" x14ac:dyDescent="0.25">
      <c r="B191" s="95"/>
      <c r="C191" s="95"/>
      <c r="D191" s="95"/>
    </row>
    <row r="192" spans="2:8" x14ac:dyDescent="0.25">
      <c r="B192" s="95"/>
      <c r="C192" s="95"/>
      <c r="D192" s="95"/>
    </row>
    <row r="193" spans="2:4" x14ac:dyDescent="0.25">
      <c r="B193" s="95"/>
      <c r="C193" s="95"/>
      <c r="D193" s="95"/>
    </row>
    <row r="194" spans="2:4" x14ac:dyDescent="0.25">
      <c r="B194" s="95"/>
      <c r="C194" s="95"/>
      <c r="D194" s="95"/>
    </row>
    <row r="195" spans="2:4" x14ac:dyDescent="0.25">
      <c r="B195" s="95"/>
      <c r="C195" s="95"/>
      <c r="D195" s="95"/>
    </row>
    <row r="196" spans="2:4" x14ac:dyDescent="0.25">
      <c r="B196" s="95"/>
      <c r="C196" s="95"/>
      <c r="D196" s="95"/>
    </row>
    <row r="197" spans="2:4" x14ac:dyDescent="0.25">
      <c r="B197" s="95"/>
      <c r="C197" s="95"/>
      <c r="D197" s="95"/>
    </row>
    <row r="198" spans="2:4" x14ac:dyDescent="0.25">
      <c r="B198" s="95"/>
      <c r="C198" s="95"/>
      <c r="D198" s="95"/>
    </row>
  </sheetData>
  <mergeCells count="13">
    <mergeCell ref="B166:C166"/>
    <mergeCell ref="B2:M2"/>
    <mergeCell ref="B5:C5"/>
    <mergeCell ref="B55:C55"/>
    <mergeCell ref="B68:C68"/>
    <mergeCell ref="B91:C91"/>
    <mergeCell ref="B105:C105"/>
    <mergeCell ref="B121:C121"/>
    <mergeCell ref="B137:C137"/>
    <mergeCell ref="B145:C145"/>
    <mergeCell ref="B150:C150"/>
    <mergeCell ref="B158:C158"/>
    <mergeCell ref="B32:C32"/>
  </mergeCells>
  <pageMargins left="0.7" right="0.7" top="0.75" bottom="0.75" header="0.3" footer="0.3"/>
  <pageSetup orientation="portrait" r:id="rId11"/>
  <drawing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3"/>
  <sheetViews>
    <sheetView topLeftCell="B1" zoomScaleNormal="100" workbookViewId="0">
      <selection activeCell="C1" sqref="C1"/>
    </sheetView>
  </sheetViews>
  <sheetFormatPr defaultColWidth="8.85546875" defaultRowHeight="15" x14ac:dyDescent="0.25"/>
  <cols>
    <col min="1" max="1" width="8.85546875" style="41"/>
    <col min="2" max="2" width="33.28515625" style="41" customWidth="1"/>
    <col min="3" max="3" width="27.140625" style="87" customWidth="1"/>
    <col min="4" max="5" width="27.140625" style="41" customWidth="1"/>
    <col min="6" max="6" width="15.85546875" style="41" customWidth="1"/>
    <col min="7" max="7" width="67.7109375" style="41" customWidth="1"/>
    <col min="8" max="16384" width="8.85546875" style="41"/>
  </cols>
  <sheetData>
    <row r="1" spans="2:9" x14ac:dyDescent="0.25">
      <c r="C1" s="41"/>
    </row>
    <row r="2" spans="2:9" ht="44.45" customHeight="1" x14ac:dyDescent="0.25">
      <c r="B2" s="674" t="s">
        <v>448</v>
      </c>
      <c r="C2" s="674"/>
      <c r="D2" s="674"/>
      <c r="E2" s="674"/>
      <c r="F2" s="674"/>
      <c r="G2" s="674"/>
    </row>
    <row r="3" spans="2:9" ht="21" customHeight="1" x14ac:dyDescent="0.25">
      <c r="C3" s="41"/>
    </row>
    <row r="4" spans="2:9" ht="25.15" customHeight="1" x14ac:dyDescent="0.25">
      <c r="B4" s="42" t="s">
        <v>449</v>
      </c>
      <c r="C4" s="43"/>
      <c r="D4" s="43"/>
      <c r="E4" s="43"/>
      <c r="F4" s="43"/>
      <c r="G4" s="42"/>
      <c r="H4" s="44"/>
      <c r="I4" s="44"/>
    </row>
    <row r="5" spans="2:9" x14ac:dyDescent="0.25">
      <c r="C5" s="41"/>
    </row>
    <row r="6" spans="2:9" ht="18.600000000000001" customHeight="1" x14ac:dyDescent="0.25">
      <c r="B6" s="675" t="s">
        <v>450</v>
      </c>
      <c r="C6" s="676"/>
      <c r="D6" s="45" t="s">
        <v>854</v>
      </c>
      <c r="E6" s="45" t="s">
        <v>451</v>
      </c>
      <c r="F6" s="46" t="s">
        <v>452</v>
      </c>
      <c r="G6" s="47" t="s">
        <v>453</v>
      </c>
    </row>
    <row r="7" spans="2:9" ht="27" customHeight="1" x14ac:dyDescent="0.25">
      <c r="B7" s="48" t="s">
        <v>505</v>
      </c>
      <c r="C7" s="49">
        <v>42000</v>
      </c>
      <c r="D7" s="49">
        <f>SUMIFS(Database!K5:K179,Database!I5:I179,"GCA",Database!H5:H179,"Camp")</f>
        <v>43967</v>
      </c>
      <c r="E7" s="49">
        <f>SUMIFS(Database!K5:K179,Database!I5:I179,"GCA",Database!H5:H179,"Camp")-SUMIFS(Database!K5:K179,Database!I5:I179,"GCA",Database!H5:H179,"Camp",Database!O5:O179,"None")</f>
        <v>43726</v>
      </c>
      <c r="F7" s="50">
        <f t="shared" ref="F7:F12" si="0">E7/D7</f>
        <v>0.99451861623490345</v>
      </c>
      <c r="G7" s="51" t="s">
        <v>454</v>
      </c>
    </row>
    <row r="8" spans="2:9" ht="27" customHeight="1" x14ac:dyDescent="0.25">
      <c r="B8" s="48" t="s">
        <v>506</v>
      </c>
      <c r="C8" s="49">
        <v>33500</v>
      </c>
      <c r="D8" s="49">
        <f>SUMIFS(Database!K5:K179,Database!I5:I179,"NGCA",Database!H5:H179,"Camp")</f>
        <v>29949</v>
      </c>
      <c r="E8" s="49">
        <f>SUMIFS(Database!K5:K179,Database!I5:I179,"NGCA",Database!H5:H179,"Camp")-SUMIFS(Database!K5:K179,Database!I5:I179,"NGCA",Database!H5:H179,"Camp",Database!O5:O179,"None")</f>
        <v>29949</v>
      </c>
      <c r="F8" s="50">
        <f t="shared" si="0"/>
        <v>1</v>
      </c>
      <c r="G8" s="51"/>
    </row>
    <row r="9" spans="2:9" ht="27" customHeight="1" x14ac:dyDescent="0.25">
      <c r="B9" s="48" t="s">
        <v>824</v>
      </c>
      <c r="C9" s="49">
        <v>10000</v>
      </c>
      <c r="D9" s="49">
        <f>SUMIFS(Database!K5:K179,Database!H5:H179,"Village")</f>
        <v>9208</v>
      </c>
      <c r="E9" s="49">
        <f>SUMIFS(Database!K5:K179,Database!H5:H179,"Village")-SUMIFS(Database!K5:K179,Database!H5:H179,"Village",Database!O5:O179,"None")</f>
        <v>6652</v>
      </c>
      <c r="F9" s="50">
        <f t="shared" si="0"/>
        <v>0.72241529105125979</v>
      </c>
      <c r="G9" s="51"/>
    </row>
    <row r="10" spans="2:9" ht="27" customHeight="1" x14ac:dyDescent="0.25">
      <c r="B10" s="48" t="s">
        <v>508</v>
      </c>
      <c r="C10" s="49">
        <v>20000</v>
      </c>
      <c r="D10" s="49">
        <v>20000</v>
      </c>
      <c r="E10" s="102">
        <v>2500</v>
      </c>
      <c r="F10" s="50">
        <f t="shared" si="0"/>
        <v>0.125</v>
      </c>
      <c r="G10" s="103" t="s">
        <v>825</v>
      </c>
    </row>
    <row r="11" spans="2:9" ht="27" customHeight="1" x14ac:dyDescent="0.25">
      <c r="B11" s="48" t="s">
        <v>507</v>
      </c>
      <c r="C11" s="49">
        <v>10000</v>
      </c>
      <c r="D11" s="49">
        <v>10000</v>
      </c>
      <c r="E11" s="54">
        <f>SUMIFS(Database!K5:K179,Database!H5:H179,"School")-SUMIFS(Database!K5:K179,Database!H5:H179,"School",Database!O5:O179,"None")</f>
        <v>2150</v>
      </c>
      <c r="F11" s="50">
        <f t="shared" si="0"/>
        <v>0.215</v>
      </c>
      <c r="G11" s="53"/>
    </row>
    <row r="12" spans="2:9" ht="27" customHeight="1" x14ac:dyDescent="0.25">
      <c r="B12" s="408" t="s">
        <v>2</v>
      </c>
      <c r="C12" s="409">
        <f>SUM(C7:C11)</f>
        <v>115500</v>
      </c>
      <c r="D12" s="409">
        <f t="shared" ref="D12:E12" si="1">SUM(D7:D11)</f>
        <v>113124</v>
      </c>
      <c r="E12" s="410">
        <f t="shared" si="1"/>
        <v>84977</v>
      </c>
      <c r="F12" s="411">
        <f t="shared" si="0"/>
        <v>0.75118454085781972</v>
      </c>
      <c r="G12" s="412"/>
    </row>
    <row r="13" spans="2:9" x14ac:dyDescent="0.25">
      <c r="C13" s="58"/>
    </row>
    <row r="14" spans="2:9" x14ac:dyDescent="0.25">
      <c r="B14" s="59" t="s">
        <v>455</v>
      </c>
      <c r="C14" s="58"/>
    </row>
    <row r="15" spans="2:9" x14ac:dyDescent="0.25">
      <c r="C15" s="58"/>
    </row>
    <row r="16" spans="2:9" x14ac:dyDescent="0.25">
      <c r="C16" s="58"/>
    </row>
    <row r="17" spans="2:9" ht="28.15" customHeight="1" x14ac:dyDescent="0.25">
      <c r="B17" s="42" t="s">
        <v>456</v>
      </c>
      <c r="C17" s="43"/>
      <c r="D17" s="43"/>
      <c r="E17" s="43"/>
      <c r="F17" s="43"/>
      <c r="G17" s="42"/>
      <c r="H17" s="60"/>
      <c r="I17" s="60"/>
    </row>
    <row r="18" spans="2:9" x14ac:dyDescent="0.25">
      <c r="C18" s="58"/>
    </row>
    <row r="19" spans="2:9" ht="58.9" customHeight="1" x14ac:dyDescent="0.25">
      <c r="B19" s="61" t="s">
        <v>457</v>
      </c>
      <c r="C19" s="62" t="s">
        <v>458</v>
      </c>
      <c r="D19" s="45" t="s">
        <v>459</v>
      </c>
      <c r="E19" s="63" t="s">
        <v>460</v>
      </c>
      <c r="F19" s="63" t="s">
        <v>461</v>
      </c>
      <c r="G19" s="47" t="s">
        <v>453</v>
      </c>
    </row>
    <row r="20" spans="2:9" ht="67.150000000000006" customHeight="1" x14ac:dyDescent="0.25">
      <c r="B20" s="124" t="s">
        <v>462</v>
      </c>
      <c r="C20" s="125">
        <v>1</v>
      </c>
      <c r="D20" s="125">
        <f>SituationAnalysis!F57+GETPIVOTDATA("% Water coverage",SituationAnalysis!$B$13)</f>
        <v>0.94593237727282631</v>
      </c>
      <c r="E20" s="125">
        <f>D20</f>
        <v>0.94593237727282631</v>
      </c>
      <c r="F20" s="126" t="s">
        <v>463</v>
      </c>
      <c r="G20" s="72"/>
    </row>
    <row r="21" spans="2:9" ht="67.150000000000006" customHeight="1" x14ac:dyDescent="0.25">
      <c r="B21" s="122" t="s">
        <v>710</v>
      </c>
      <c r="C21" s="366">
        <v>1</v>
      </c>
      <c r="D21" s="366">
        <f>GETPIVOTDATA("% Water coverage",SituationAnalysis!$B$13,"Type","GCA")</f>
        <v>0.99087354908257219</v>
      </c>
      <c r="E21" s="366">
        <v>0.93</v>
      </c>
      <c r="F21" s="367" t="s">
        <v>463</v>
      </c>
      <c r="G21" s="123"/>
    </row>
    <row r="22" spans="2:9" ht="67.150000000000006" customHeight="1" x14ac:dyDescent="0.25">
      <c r="B22" s="121" t="s">
        <v>711</v>
      </c>
      <c r="C22" s="368">
        <v>1</v>
      </c>
      <c r="D22" s="368">
        <f>GETPIVOTDATA("% Water coverage",SituationAnalysis!$B$13,"Type","NGCA")</f>
        <v>0.88511372742402761</v>
      </c>
      <c r="E22" s="368">
        <v>0.77</v>
      </c>
      <c r="F22" s="369" t="s">
        <v>463</v>
      </c>
      <c r="G22" s="120"/>
    </row>
    <row r="23" spans="2:9" ht="30" x14ac:dyDescent="0.25">
      <c r="B23" s="68" t="s">
        <v>464</v>
      </c>
      <c r="C23" s="62" t="s">
        <v>458</v>
      </c>
      <c r="D23" s="63" t="s">
        <v>465</v>
      </c>
      <c r="E23" s="63" t="s">
        <v>459</v>
      </c>
      <c r="F23" s="63" t="s">
        <v>461</v>
      </c>
      <c r="G23" s="47" t="s">
        <v>453</v>
      </c>
      <c r="H23" s="69"/>
      <c r="I23" s="69"/>
    </row>
    <row r="24" spans="2:9" ht="28.15" customHeight="1" x14ac:dyDescent="0.25">
      <c r="B24" s="52" t="s">
        <v>466</v>
      </c>
      <c r="C24" s="104" t="s">
        <v>511</v>
      </c>
      <c r="D24" s="71" t="s">
        <v>467</v>
      </c>
      <c r="E24" s="106" t="s">
        <v>489</v>
      </c>
      <c r="F24" s="71" t="s">
        <v>468</v>
      </c>
      <c r="G24" s="72"/>
    </row>
    <row r="25" spans="2:9" ht="28.15" customHeight="1" x14ac:dyDescent="0.25">
      <c r="B25" s="52" t="s">
        <v>469</v>
      </c>
      <c r="C25" s="70">
        <v>118</v>
      </c>
      <c r="D25" s="105" t="s">
        <v>512</v>
      </c>
      <c r="E25" s="71"/>
      <c r="F25" s="71" t="s">
        <v>463</v>
      </c>
      <c r="G25" s="72"/>
    </row>
    <row r="26" spans="2:9" ht="28.15" customHeight="1" x14ac:dyDescent="0.25">
      <c r="B26" s="52" t="s">
        <v>470</v>
      </c>
      <c r="C26" s="70" t="s">
        <v>471</v>
      </c>
      <c r="D26" s="70" t="s">
        <v>471</v>
      </c>
      <c r="E26" s="109">
        <f>SUM(Database!AM5:AM179)</f>
        <v>111.755</v>
      </c>
      <c r="F26" s="71" t="s">
        <v>463</v>
      </c>
      <c r="G26" s="72"/>
    </row>
    <row r="27" spans="2:9" ht="28.15" customHeight="1" x14ac:dyDescent="0.25">
      <c r="B27" s="52" t="s">
        <v>473</v>
      </c>
      <c r="C27" s="104" t="s">
        <v>513</v>
      </c>
      <c r="D27" s="105" t="s">
        <v>514</v>
      </c>
      <c r="E27" s="109">
        <f>1161-(SUMIFS(Database!BK5:BK179,Database!H5:H179,"Camp"))/6*0.7</f>
        <v>1117.7131666666667</v>
      </c>
      <c r="F27" s="71" t="s">
        <v>463</v>
      </c>
      <c r="G27" s="72"/>
    </row>
    <row r="28" spans="2:9" ht="28.15" customHeight="1" x14ac:dyDescent="0.25">
      <c r="B28" s="55" t="s">
        <v>474</v>
      </c>
      <c r="C28" s="107" t="s">
        <v>515</v>
      </c>
      <c r="D28" s="108" t="s">
        <v>516</v>
      </c>
      <c r="E28" s="110">
        <f>SUMIFS(Database!AO5:AO179,Database!H5:H179,"Camp")/SUMIFS(Database!K5:K179,Database!H5:H179,"Camp")</f>
        <v>0.15430299258617891</v>
      </c>
      <c r="F28" s="73" t="s">
        <v>463</v>
      </c>
      <c r="G28" s="74"/>
    </row>
    <row r="31" spans="2:9" ht="27.6" customHeight="1" x14ac:dyDescent="0.25">
      <c r="B31" s="61" t="s">
        <v>475</v>
      </c>
      <c r="C31" s="62" t="s">
        <v>458</v>
      </c>
      <c r="D31" s="45" t="s">
        <v>459</v>
      </c>
      <c r="E31" s="63" t="s">
        <v>476</v>
      </c>
      <c r="F31" s="63" t="s">
        <v>461</v>
      </c>
      <c r="G31" s="47" t="s">
        <v>453</v>
      </c>
    </row>
    <row r="32" spans="2:9" ht="67.150000000000006" customHeight="1" x14ac:dyDescent="0.25">
      <c r="B32" s="64" t="s">
        <v>477</v>
      </c>
      <c r="C32" s="65">
        <v>1</v>
      </c>
      <c r="D32" s="65">
        <f>GETPIVOTDATA("% Latrine coverage",SituationAnalysis!$B$13)</f>
        <v>0.86574553074454852</v>
      </c>
      <c r="E32" s="65">
        <f>GETPIVOTDATA("% Coverage Permanent Latrine",SituationAnalysis!$B$252)</f>
        <v>0.55570689542269658</v>
      </c>
      <c r="F32" s="66" t="s">
        <v>463</v>
      </c>
      <c r="G32" s="67"/>
    </row>
    <row r="33" spans="2:9" ht="30" x14ac:dyDescent="0.25">
      <c r="B33" s="68" t="s">
        <v>464</v>
      </c>
      <c r="C33" s="62" t="s">
        <v>458</v>
      </c>
      <c r="D33" s="63" t="s">
        <v>465</v>
      </c>
      <c r="E33" s="63" t="s">
        <v>459</v>
      </c>
      <c r="F33" s="63" t="s">
        <v>461</v>
      </c>
      <c r="G33" s="47" t="s">
        <v>453</v>
      </c>
    </row>
    <row r="34" spans="2:9" ht="28.15" customHeight="1" x14ac:dyDescent="0.25">
      <c r="B34" s="52" t="s">
        <v>478</v>
      </c>
      <c r="C34" s="111" t="s">
        <v>521</v>
      </c>
      <c r="D34" s="71"/>
      <c r="E34" s="109">
        <f>2702-SUMIFS(Database!BF5:BF179,Database!H5:H179,"Camp")*0.8</f>
        <v>1283.5200000000004</v>
      </c>
      <c r="F34" s="79" t="s">
        <v>463</v>
      </c>
      <c r="G34" s="72"/>
    </row>
    <row r="35" spans="2:9" ht="28.15" customHeight="1" x14ac:dyDescent="0.25">
      <c r="B35" s="52" t="s">
        <v>479</v>
      </c>
      <c r="C35" s="111" t="s">
        <v>522</v>
      </c>
      <c r="D35" s="79"/>
      <c r="E35" s="118">
        <f>803-SUMIFS(Database!BP5:BP179,Database!H5:H179,"Camp")</f>
        <v>561.55999999999995</v>
      </c>
      <c r="F35" s="79" t="s">
        <v>463</v>
      </c>
      <c r="G35" s="72"/>
    </row>
    <row r="36" spans="2:9" ht="28.15" customHeight="1" x14ac:dyDescent="0.25">
      <c r="B36" s="52" t="s">
        <v>480</v>
      </c>
      <c r="C36" s="111" t="s">
        <v>523</v>
      </c>
      <c r="D36" s="79"/>
      <c r="E36" s="112" t="s">
        <v>489</v>
      </c>
      <c r="F36" s="79" t="s">
        <v>463</v>
      </c>
      <c r="G36" s="72" t="s">
        <v>481</v>
      </c>
    </row>
    <row r="37" spans="2:9" ht="28.15" customHeight="1" x14ac:dyDescent="0.25">
      <c r="B37" s="55" t="s">
        <v>482</v>
      </c>
      <c r="C37" s="80" t="s">
        <v>483</v>
      </c>
      <c r="D37" s="81"/>
      <c r="E37" s="113" t="s">
        <v>489</v>
      </c>
      <c r="F37" s="81" t="s">
        <v>463</v>
      </c>
      <c r="G37" s="82" t="s">
        <v>484</v>
      </c>
      <c r="H37" s="83"/>
      <c r="I37" s="83"/>
    </row>
    <row r="40" spans="2:9" ht="27.6" customHeight="1" x14ac:dyDescent="0.25">
      <c r="B40" s="61" t="s">
        <v>485</v>
      </c>
      <c r="C40" s="62" t="s">
        <v>458</v>
      </c>
      <c r="D40" s="45" t="s">
        <v>459</v>
      </c>
      <c r="E40" s="63" t="s">
        <v>476</v>
      </c>
      <c r="F40" s="63" t="s">
        <v>461</v>
      </c>
      <c r="G40" s="47" t="s">
        <v>453</v>
      </c>
    </row>
    <row r="41" spans="2:9" ht="67.150000000000006" customHeight="1" x14ac:dyDescent="0.25">
      <c r="B41" s="64" t="s">
        <v>486</v>
      </c>
      <c r="C41" s="65">
        <v>1</v>
      </c>
      <c r="D41" s="65">
        <f>GETPIVOTDATA("Coverage HP session at HH level %",SituationAnalysis!$B$425)</f>
        <v>0.6331541504680035</v>
      </c>
      <c r="E41" s="65" t="s">
        <v>487</v>
      </c>
      <c r="F41" s="84" t="s">
        <v>463</v>
      </c>
      <c r="G41" s="67"/>
    </row>
    <row r="42" spans="2:9" ht="67.150000000000006" customHeight="1" x14ac:dyDescent="0.25">
      <c r="B42" s="75" t="s">
        <v>488</v>
      </c>
      <c r="C42" s="76">
        <v>1</v>
      </c>
      <c r="D42" s="65">
        <f>GETPIVOTDATA("Coverage Full HK %",SituationAnalysis!$B$374)</f>
        <v>0.68214854952601345</v>
      </c>
      <c r="E42" s="77" t="s">
        <v>487</v>
      </c>
      <c r="F42" s="86" t="s">
        <v>463</v>
      </c>
      <c r="G42" s="78"/>
    </row>
    <row r="43" spans="2:9" ht="30" x14ac:dyDescent="0.25">
      <c r="B43" s="68" t="s">
        <v>464</v>
      </c>
      <c r="C43" s="62" t="s">
        <v>458</v>
      </c>
      <c r="D43" s="63" t="s">
        <v>465</v>
      </c>
      <c r="E43" s="63" t="s">
        <v>459</v>
      </c>
      <c r="F43" s="63" t="s">
        <v>461</v>
      </c>
      <c r="G43" s="47" t="s">
        <v>453</v>
      </c>
    </row>
    <row r="44" spans="2:9" ht="28.15" customHeight="1" x14ac:dyDescent="0.25">
      <c r="B44" s="64" t="s">
        <v>490</v>
      </c>
      <c r="C44" s="80" t="s">
        <v>491</v>
      </c>
      <c r="D44" s="365">
        <f>157057/6</f>
        <v>26176.166666666668</v>
      </c>
      <c r="E44" s="365">
        <f>SUM(Database!BU5:BU179)</f>
        <v>16948</v>
      </c>
      <c r="F44" s="73" t="s">
        <v>463</v>
      </c>
      <c r="G44" s="74" t="s">
        <v>492</v>
      </c>
    </row>
    <row r="45" spans="2:9" x14ac:dyDescent="0.25">
      <c r="F45" s="88"/>
    </row>
    <row r="46" spans="2:9" x14ac:dyDescent="0.25">
      <c r="F46" s="88"/>
    </row>
    <row r="47" spans="2:9" ht="27.6" customHeight="1" x14ac:dyDescent="0.25">
      <c r="B47" s="61" t="s">
        <v>493</v>
      </c>
      <c r="C47" s="62" t="s">
        <v>458</v>
      </c>
      <c r="D47" s="45" t="s">
        <v>459</v>
      </c>
      <c r="E47" s="63" t="s">
        <v>476</v>
      </c>
      <c r="F47" s="63" t="s">
        <v>461</v>
      </c>
      <c r="G47" s="47" t="s">
        <v>453</v>
      </c>
    </row>
    <row r="48" spans="2:9" ht="67.150000000000006" customHeight="1" x14ac:dyDescent="0.25">
      <c r="B48" s="64" t="s">
        <v>494</v>
      </c>
      <c r="C48" s="114" t="s">
        <v>525</v>
      </c>
      <c r="D48" s="115">
        <f>SUMIFS(Database!L5:L179,Database!H5:H179,"School")-SUMIFS(Database!L5:L179,Database!H5:H179,"School",Database!O5:O179,"None")</f>
        <v>2150</v>
      </c>
      <c r="E48" s="56">
        <f>D48</f>
        <v>2150</v>
      </c>
      <c r="F48" s="66" t="s">
        <v>463</v>
      </c>
      <c r="G48" s="67"/>
    </row>
    <row r="49" spans="2:9" ht="30" x14ac:dyDescent="0.25">
      <c r="B49" s="68" t="s">
        <v>464</v>
      </c>
      <c r="C49" s="62" t="s">
        <v>458</v>
      </c>
      <c r="D49" s="63" t="s">
        <v>465</v>
      </c>
      <c r="E49" s="63" t="s">
        <v>459</v>
      </c>
      <c r="F49" s="63" t="s">
        <v>461</v>
      </c>
      <c r="G49" s="46" t="s">
        <v>453</v>
      </c>
      <c r="H49" s="69"/>
      <c r="I49" s="69"/>
    </row>
    <row r="50" spans="2:9" ht="30" x14ac:dyDescent="0.25">
      <c r="B50" s="64" t="s">
        <v>495</v>
      </c>
      <c r="C50" s="89">
        <v>10000</v>
      </c>
      <c r="D50" s="56" t="s">
        <v>472</v>
      </c>
      <c r="E50" s="56">
        <f>D48</f>
        <v>2150</v>
      </c>
      <c r="F50" s="73" t="s">
        <v>463</v>
      </c>
      <c r="G50" s="74"/>
    </row>
    <row r="53" spans="2:9" ht="27.6" customHeight="1" x14ac:dyDescent="0.25">
      <c r="B53" s="61" t="s">
        <v>496</v>
      </c>
      <c r="C53" s="62" t="s">
        <v>458</v>
      </c>
      <c r="D53" s="45" t="s">
        <v>459</v>
      </c>
      <c r="E53" s="63" t="s">
        <v>476</v>
      </c>
      <c r="F53" s="63" t="s">
        <v>461</v>
      </c>
      <c r="G53" s="47" t="s">
        <v>453</v>
      </c>
    </row>
    <row r="54" spans="2:9" ht="67.150000000000006" customHeight="1" x14ac:dyDescent="0.25">
      <c r="B54" s="64" t="s">
        <v>497</v>
      </c>
      <c r="C54" s="65">
        <v>1</v>
      </c>
      <c r="D54" s="65" t="e">
        <f>GETPIVOTDATA("Community management organise and efficient in camps",SituationAnalysis!#REF!,"Community management organise and efficient in camps","Functional and efficient")/100</f>
        <v>#REF!</v>
      </c>
      <c r="E54" s="57" t="s">
        <v>487</v>
      </c>
      <c r="F54" s="66" t="s">
        <v>463</v>
      </c>
      <c r="G54" s="67" t="s">
        <v>498</v>
      </c>
    </row>
    <row r="55" spans="2:9" ht="67.150000000000006" customHeight="1" x14ac:dyDescent="0.25">
      <c r="B55" s="75" t="s">
        <v>499</v>
      </c>
      <c r="C55" s="90" t="s">
        <v>500</v>
      </c>
      <c r="D55" s="85" t="s">
        <v>489</v>
      </c>
      <c r="E55" s="77" t="s">
        <v>487</v>
      </c>
      <c r="F55" s="77" t="s">
        <v>468</v>
      </c>
      <c r="G55" s="78" t="s">
        <v>501</v>
      </c>
    </row>
    <row r="56" spans="2:9" ht="30" x14ac:dyDescent="0.25">
      <c r="B56" s="68" t="s">
        <v>464</v>
      </c>
      <c r="C56" s="62" t="s">
        <v>458</v>
      </c>
      <c r="D56" s="63" t="s">
        <v>465</v>
      </c>
      <c r="E56" s="63" t="s">
        <v>459</v>
      </c>
      <c r="F56" s="63" t="s">
        <v>461</v>
      </c>
      <c r="G56" s="47" t="s">
        <v>453</v>
      </c>
    </row>
    <row r="57" spans="2:9" ht="30" x14ac:dyDescent="0.25">
      <c r="B57" s="64" t="s">
        <v>502</v>
      </c>
      <c r="C57" s="91" t="s">
        <v>503</v>
      </c>
      <c r="D57" s="73" t="s">
        <v>472</v>
      </c>
      <c r="E57" s="65" t="e">
        <f>D54</f>
        <v>#REF!</v>
      </c>
      <c r="F57" s="73" t="s">
        <v>463</v>
      </c>
      <c r="G57" s="74" t="s">
        <v>504</v>
      </c>
    </row>
    <row r="60" spans="2:9" ht="21" x14ac:dyDescent="0.25">
      <c r="G60" s="677"/>
      <c r="H60" s="678"/>
      <c r="I60" s="678"/>
    </row>
    <row r="61" spans="2:9" s="392" customFormat="1" ht="25.15" customHeight="1" x14ac:dyDescent="0.25">
      <c r="B61" s="393" t="s">
        <v>776</v>
      </c>
      <c r="C61" s="394"/>
      <c r="D61" s="394"/>
      <c r="E61" s="394"/>
      <c r="F61" s="394"/>
      <c r="G61" s="393"/>
      <c r="H61" s="395"/>
      <c r="I61" s="395"/>
    </row>
    <row r="64" spans="2:9" x14ac:dyDescent="0.25">
      <c r="B64" s="396" t="s">
        <v>777</v>
      </c>
      <c r="C64" s="397"/>
      <c r="D64" s="398" t="s">
        <v>778</v>
      </c>
    </row>
    <row r="65" spans="2:4" x14ac:dyDescent="0.25">
      <c r="B65" s="399" t="s">
        <v>779</v>
      </c>
      <c r="C65" s="400">
        <f>F12</f>
        <v>0.75118454085781972</v>
      </c>
      <c r="D65" s="401">
        <v>0.4</v>
      </c>
    </row>
    <row r="66" spans="2:4" x14ac:dyDescent="0.25">
      <c r="B66" s="402" t="s">
        <v>780</v>
      </c>
      <c r="C66" s="403">
        <f>1-C65</f>
        <v>0.24881545914218028</v>
      </c>
      <c r="D66" s="404">
        <v>0.3</v>
      </c>
    </row>
    <row r="67" spans="2:4" x14ac:dyDescent="0.25">
      <c r="B67" s="402" t="s">
        <v>778</v>
      </c>
      <c r="C67" s="403">
        <v>0.5</v>
      </c>
      <c r="D67" s="404">
        <v>0.3</v>
      </c>
    </row>
    <row r="68" spans="2:4" x14ac:dyDescent="0.25">
      <c r="B68" s="405" t="s">
        <v>778</v>
      </c>
      <c r="C68" s="406">
        <v>0.5</v>
      </c>
      <c r="D68" s="407">
        <v>1</v>
      </c>
    </row>
    <row r="72" spans="2:4" x14ac:dyDescent="0.25">
      <c r="B72" s="396" t="s">
        <v>781</v>
      </c>
      <c r="C72" s="397"/>
      <c r="D72" s="420" t="s">
        <v>690</v>
      </c>
    </row>
    <row r="73" spans="2:4" x14ac:dyDescent="0.25">
      <c r="B73" s="399" t="s">
        <v>779</v>
      </c>
      <c r="C73" s="400">
        <f>(D20*(E12-E10))/(C12-C10)</f>
        <v>0.8169388971762398</v>
      </c>
      <c r="D73" s="419">
        <f>C73*(C12-C10)</f>
        <v>78017.664680330898</v>
      </c>
    </row>
    <row r="74" spans="2:4" x14ac:dyDescent="0.25">
      <c r="B74" s="402" t="s">
        <v>780</v>
      </c>
      <c r="C74" s="403">
        <f>1-C73</f>
        <v>0.1830611028237602</v>
      </c>
      <c r="D74" s="417"/>
    </row>
    <row r="75" spans="2:4" x14ac:dyDescent="0.25">
      <c r="B75" s="402" t="s">
        <v>778</v>
      </c>
      <c r="C75" s="403">
        <v>0.5</v>
      </c>
      <c r="D75" s="417"/>
    </row>
    <row r="76" spans="2:4" x14ac:dyDescent="0.25">
      <c r="B76" s="405" t="s">
        <v>778</v>
      </c>
      <c r="C76" s="406">
        <v>0.5</v>
      </c>
      <c r="D76" s="418"/>
    </row>
    <row r="77" spans="2:4" x14ac:dyDescent="0.25">
      <c r="D77" s="416"/>
    </row>
    <row r="78" spans="2:4" x14ac:dyDescent="0.25">
      <c r="D78" s="416"/>
    </row>
    <row r="79" spans="2:4" x14ac:dyDescent="0.25">
      <c r="B79" s="396" t="s">
        <v>782</v>
      </c>
      <c r="C79" s="397"/>
      <c r="D79" s="420" t="s">
        <v>690</v>
      </c>
    </row>
    <row r="80" spans="2:4" x14ac:dyDescent="0.25">
      <c r="B80" s="399" t="s">
        <v>779</v>
      </c>
      <c r="C80" s="413">
        <f>(D32*(E12-E10))/(C12-C10)</f>
        <v>0.74768684962532073</v>
      </c>
      <c r="D80" s="419">
        <f>C80*(C12-C10)</f>
        <v>71404.094139218127</v>
      </c>
    </row>
    <row r="81" spans="2:4" x14ac:dyDescent="0.25">
      <c r="B81" s="402" t="s">
        <v>780</v>
      </c>
      <c r="C81" s="414">
        <f>1-C80</f>
        <v>0.25231315037467927</v>
      </c>
      <c r="D81" s="417"/>
    </row>
    <row r="82" spans="2:4" x14ac:dyDescent="0.25">
      <c r="B82" s="402" t="s">
        <v>778</v>
      </c>
      <c r="C82" s="414">
        <v>0.5</v>
      </c>
      <c r="D82" s="417"/>
    </row>
    <row r="83" spans="2:4" x14ac:dyDescent="0.25">
      <c r="B83" s="405" t="s">
        <v>778</v>
      </c>
      <c r="C83" s="415">
        <v>0.5</v>
      </c>
      <c r="D83" s="418"/>
    </row>
    <row r="84" spans="2:4" x14ac:dyDescent="0.25">
      <c r="D84" s="416"/>
    </row>
    <row r="85" spans="2:4" x14ac:dyDescent="0.25">
      <c r="D85" s="416"/>
    </row>
    <row r="86" spans="2:4" x14ac:dyDescent="0.25">
      <c r="D86" s="416"/>
    </row>
    <row r="87" spans="2:4" x14ac:dyDescent="0.25">
      <c r="D87" s="416"/>
    </row>
    <row r="88" spans="2:4" x14ac:dyDescent="0.25">
      <c r="D88" s="416"/>
    </row>
    <row r="89" spans="2:4" x14ac:dyDescent="0.25">
      <c r="B89" s="396" t="s">
        <v>783</v>
      </c>
      <c r="C89" s="397"/>
      <c r="D89" s="420" t="s">
        <v>690</v>
      </c>
    </row>
    <row r="90" spans="2:4" x14ac:dyDescent="0.25">
      <c r="B90" s="399" t="s">
        <v>779</v>
      </c>
      <c r="C90" s="413">
        <f>(D41*(E12-E10))/(C12-C10)</f>
        <v>0.54681313998062331</v>
      </c>
      <c r="D90" s="419">
        <f>C90*(C12-C10)</f>
        <v>52220.654868149526</v>
      </c>
    </row>
    <row r="91" spans="2:4" x14ac:dyDescent="0.25">
      <c r="B91" s="402" t="s">
        <v>780</v>
      </c>
      <c r="C91" s="414">
        <f>1-C90</f>
        <v>0.45318686001937669</v>
      </c>
      <c r="D91" s="417"/>
    </row>
    <row r="92" spans="2:4" x14ac:dyDescent="0.25">
      <c r="B92" s="402" t="s">
        <v>778</v>
      </c>
      <c r="C92" s="414">
        <v>0.5</v>
      </c>
      <c r="D92" s="417"/>
    </row>
    <row r="93" spans="2:4" x14ac:dyDescent="0.25">
      <c r="B93" s="405" t="s">
        <v>778</v>
      </c>
      <c r="C93" s="415">
        <v>0.5</v>
      </c>
      <c r="D93" s="418"/>
    </row>
  </sheetData>
  <mergeCells count="3">
    <mergeCell ref="B2:G2"/>
    <mergeCell ref="B6:C6"/>
    <mergeCell ref="G60:I6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CH179"/>
  <sheetViews>
    <sheetView showGridLines="0" zoomScale="80" zoomScaleNormal="80" zoomScaleSheetLayoutView="80" workbookViewId="0">
      <selection activeCell="J6" sqref="J6"/>
    </sheetView>
  </sheetViews>
  <sheetFormatPr defaultColWidth="9.140625" defaultRowHeight="12.75" x14ac:dyDescent="0.2"/>
  <cols>
    <col min="1" max="1" width="5.7109375" style="18" customWidth="1"/>
    <col min="2" max="2" width="18.140625" style="18" bestFit="1" customWidth="1"/>
    <col min="3" max="3" width="17.42578125" style="18" customWidth="1"/>
    <col min="4" max="4" width="14.28515625" style="18" customWidth="1"/>
    <col min="5" max="5" width="30" style="18" customWidth="1"/>
    <col min="6" max="7" width="10.5703125" style="18" customWidth="1"/>
    <col min="8" max="8" width="13.85546875" style="18" customWidth="1"/>
    <col min="9" max="9" width="10.5703125" style="18" customWidth="1"/>
    <col min="10" max="12" width="10.5703125" style="436" customWidth="1"/>
    <col min="13" max="13" width="14.7109375" style="18" customWidth="1"/>
    <col min="14" max="14" width="18.7109375" style="439" customWidth="1"/>
    <col min="15" max="15" width="12.85546875" style="24" customWidth="1"/>
    <col min="16" max="16" width="12.85546875" style="24" hidden="1" customWidth="1"/>
    <col min="17" max="17" width="12.85546875" style="24" customWidth="1"/>
    <col min="18" max="18" width="16.140625" style="439" customWidth="1"/>
    <col min="19" max="19" width="12.85546875" style="24" customWidth="1"/>
    <col min="20" max="20" width="17.42578125" style="24" bestFit="1" customWidth="1"/>
    <col min="21" max="21" width="20.85546875" style="24" hidden="1" customWidth="1"/>
    <col min="22" max="23" width="13.85546875" style="24" customWidth="1"/>
    <col min="24" max="26" width="13.85546875" style="439" customWidth="1"/>
    <col min="27" max="27" width="19.42578125" style="24" customWidth="1"/>
    <col min="28" max="28" width="14.85546875" style="440" customWidth="1"/>
    <col min="29" max="29" width="13.85546875" style="440" customWidth="1"/>
    <col min="30" max="30" width="15.5703125" style="24" customWidth="1"/>
    <col min="31" max="31" width="12.7109375" style="24" hidden="1" customWidth="1"/>
    <col min="32" max="32" width="16.28515625" style="24" customWidth="1"/>
    <col min="33" max="33" width="15.85546875" style="24" hidden="1" customWidth="1"/>
    <col min="34" max="34" width="17.28515625" style="24" customWidth="1"/>
    <col min="35" max="35" width="13.7109375" style="24" hidden="1" customWidth="1"/>
    <col min="36" max="36" width="13.28515625" style="24" customWidth="1"/>
    <col min="37" max="37" width="13.42578125" style="24" customWidth="1"/>
    <col min="38" max="38" width="15.28515625" style="24" hidden="1" customWidth="1"/>
    <col min="39" max="39" width="13.28515625" style="24" hidden="1" customWidth="1"/>
    <col min="40" max="40" width="12.7109375" style="24" hidden="1" customWidth="1"/>
    <col min="41" max="41" width="15.85546875" style="24" hidden="1" customWidth="1"/>
    <col min="42" max="42" width="15.7109375" style="440" customWidth="1"/>
    <col min="43" max="43" width="14.28515625" style="24" hidden="1" customWidth="1"/>
    <col min="44" max="44" width="48.28515625" style="24" customWidth="1"/>
    <col min="45" max="45" width="15.140625" style="24" customWidth="1"/>
    <col min="46" max="46" width="15.140625" style="24" customWidth="1" collapsed="1"/>
    <col min="47" max="47" width="15.140625" style="24" customWidth="1"/>
    <col min="48" max="48" width="43.42578125" style="24" bestFit="1" customWidth="1"/>
    <col min="49" max="49" width="15.140625" style="24" customWidth="1"/>
    <col min="50" max="50" width="14.5703125" style="24" hidden="1" customWidth="1"/>
    <col min="51" max="51" width="15.140625" style="24" customWidth="1"/>
    <col min="52" max="52" width="15.7109375" style="24" hidden="1" customWidth="1"/>
    <col min="53" max="53" width="15.140625" style="24" customWidth="1"/>
    <col min="54" max="54" width="14.140625" style="24" hidden="1" customWidth="1"/>
    <col min="55" max="55" width="17.7109375" style="24" customWidth="1"/>
    <col min="56" max="56" width="15.140625" style="24" customWidth="1"/>
    <col min="57" max="57" width="15.28515625" style="24" hidden="1" customWidth="1"/>
    <col min="58" max="59" width="15.140625" style="24" customWidth="1"/>
    <col min="60" max="60" width="43.42578125" style="24" bestFit="1" customWidth="1"/>
    <col min="61" max="61" width="15.140625" style="24" customWidth="1"/>
    <col min="62" max="62" width="13.42578125" style="24" hidden="1" customWidth="1"/>
    <col min="63" max="63" width="13.85546875" style="24" customWidth="1"/>
    <col min="64" max="64" width="18.28515625" style="24" customWidth="1"/>
    <col min="65" max="65" width="16.5703125" style="24" hidden="1" customWidth="1"/>
    <col min="66" max="66" width="15.140625" style="24" customWidth="1"/>
    <col min="67" max="67" width="18.140625" style="24" customWidth="1"/>
    <col min="68" max="68" width="17.5703125" style="24" customWidth="1"/>
    <col min="69" max="69" width="15.140625" style="24" customWidth="1"/>
    <col min="70" max="70" width="136.42578125" style="443" customWidth="1"/>
    <col min="71" max="71" width="20.42578125" style="24" customWidth="1"/>
    <col min="72" max="72" width="19.7109375" style="24" customWidth="1"/>
    <col min="73" max="73" width="23.28515625" style="24" customWidth="1"/>
    <col min="74" max="74" width="21" style="24" customWidth="1"/>
    <col min="75" max="75" width="16.7109375" style="24" customWidth="1"/>
    <col min="76" max="76" width="15.140625" style="24" customWidth="1"/>
    <col min="77" max="77" width="20.140625" style="24" hidden="1" customWidth="1"/>
    <col min="78" max="78" width="17.7109375" style="24" customWidth="1"/>
    <col min="79" max="79" width="46.7109375" style="24" customWidth="1"/>
    <col min="80" max="80" width="19" style="24" customWidth="1"/>
    <col min="81" max="81" width="19" style="24" hidden="1" customWidth="1"/>
    <col min="82" max="82" width="15.140625" style="24" customWidth="1"/>
    <col min="83" max="84" width="21.28515625" style="24" customWidth="1"/>
    <col min="85" max="85" width="54.5703125" style="24" customWidth="1"/>
    <col min="86" max="86" width="51.28515625" style="441" customWidth="1"/>
    <col min="87" max="270" width="9.140625" style="18"/>
    <col min="271" max="271" width="2.5703125" style="18" customWidth="1"/>
    <col min="272" max="272" width="17.85546875" style="18" customWidth="1"/>
    <col min="273" max="273" width="41.5703125" style="18" customWidth="1"/>
    <col min="274" max="275" width="12" style="18" customWidth="1"/>
    <col min="276" max="276" width="17" style="18" customWidth="1"/>
    <col min="277" max="277" width="9.7109375" style="18" customWidth="1"/>
    <col min="278" max="278" width="12.28515625" style="18" customWidth="1"/>
    <col min="279" max="279" width="13.7109375" style="18" customWidth="1"/>
    <col min="280" max="280" width="13.5703125" style="18" bestFit="1" customWidth="1"/>
    <col min="281" max="281" width="13.5703125" style="18" customWidth="1"/>
    <col min="282" max="282" width="21" style="18" customWidth="1"/>
    <col min="283" max="286" width="13.42578125" style="18" customWidth="1"/>
    <col min="287" max="288" width="19" style="18" customWidth="1"/>
    <col min="289" max="289" width="34" style="18" customWidth="1"/>
    <col min="290" max="290" width="19" style="18" customWidth="1"/>
    <col min="291" max="291" width="20" style="18" bestFit="1" customWidth="1"/>
    <col min="292" max="292" width="20.28515625" style="18" bestFit="1" customWidth="1"/>
    <col min="293" max="293" width="26.7109375" style="18" customWidth="1"/>
    <col min="294" max="294" width="20.85546875" style="18" bestFit="1" customWidth="1"/>
    <col min="295" max="295" width="20.85546875" style="18" customWidth="1"/>
    <col min="296" max="296" width="18.85546875" style="18" customWidth="1"/>
    <col min="297" max="297" width="17.5703125" style="18" customWidth="1"/>
    <col min="298" max="299" width="19.42578125" style="18" customWidth="1"/>
    <col min="300" max="300" width="20.7109375" style="18" bestFit="1" customWidth="1"/>
    <col min="301" max="301" width="80.7109375" style="18" customWidth="1"/>
    <col min="302" max="302" width="14.7109375" style="18" bestFit="1" customWidth="1"/>
    <col min="303" max="303" width="18.140625" style="18" bestFit="1" customWidth="1"/>
    <col min="304" max="304" width="16.7109375" style="18" bestFit="1" customWidth="1"/>
    <col min="305" max="305" width="18.5703125" style="18" bestFit="1" customWidth="1"/>
    <col min="306" max="306" width="21.28515625" style="18" bestFit="1" customWidth="1"/>
    <col min="307" max="307" width="16.28515625" style="18" bestFit="1" customWidth="1"/>
    <col min="308" max="308" width="21.140625" style="18" bestFit="1" customWidth="1"/>
    <col min="309" max="309" width="19" style="18" bestFit="1" customWidth="1"/>
    <col min="310" max="310" width="19.140625" style="18" customWidth="1"/>
    <col min="311" max="311" width="16.7109375" style="18" customWidth="1"/>
    <col min="312" max="312" width="21.140625" style="18" bestFit="1" customWidth="1"/>
    <col min="313" max="313" width="20.42578125" style="18" bestFit="1" customWidth="1"/>
    <col min="314" max="314" width="21.140625" style="18" customWidth="1"/>
    <col min="315" max="315" width="20.5703125" style="18" bestFit="1" customWidth="1"/>
    <col min="316" max="316" width="19.7109375" style="18" bestFit="1" customWidth="1"/>
    <col min="317" max="317" width="20.28515625" style="18" customWidth="1"/>
    <col min="318" max="318" width="20.85546875" style="18" bestFit="1" customWidth="1"/>
    <col min="319" max="319" width="19.5703125" style="18" bestFit="1" customWidth="1"/>
    <col min="320" max="320" width="18" style="18" customWidth="1"/>
    <col min="321" max="321" width="20" style="18" bestFit="1" customWidth="1"/>
    <col min="322" max="322" width="35.7109375" style="18" customWidth="1"/>
    <col min="323" max="323" width="21.140625" style="18" bestFit="1" customWidth="1"/>
    <col min="324" max="324" width="20.5703125" style="18" bestFit="1" customWidth="1"/>
    <col min="325" max="325" width="19.42578125" style="18" bestFit="1" customWidth="1"/>
    <col min="326" max="326" width="18.5703125" style="18" bestFit="1" customWidth="1"/>
    <col min="327" max="327" width="20.5703125" style="18" bestFit="1" customWidth="1"/>
    <col min="328" max="328" width="21.28515625" style="18" bestFit="1" customWidth="1"/>
    <col min="329" max="329" width="15.42578125" style="18" customWidth="1"/>
    <col min="330" max="330" width="20.7109375" style="18" customWidth="1"/>
    <col min="331" max="331" width="21.28515625" style="18" customWidth="1"/>
    <col min="332" max="332" width="14.85546875" style="18" bestFit="1" customWidth="1"/>
    <col min="333" max="333" width="23" style="18" bestFit="1" customWidth="1"/>
    <col min="334" max="334" width="21.28515625" style="18" bestFit="1" customWidth="1"/>
    <col min="335" max="335" width="20.28515625" style="18" bestFit="1" customWidth="1"/>
    <col min="336" max="336" width="21" style="18" bestFit="1" customWidth="1"/>
    <col min="337" max="337" width="18.85546875" style="18" bestFit="1" customWidth="1"/>
    <col min="338" max="338" width="80.7109375" style="18" customWidth="1"/>
    <col min="339" max="526" width="9.140625" style="18"/>
    <col min="527" max="527" width="2.5703125" style="18" customWidth="1"/>
    <col min="528" max="528" width="17.85546875" style="18" customWidth="1"/>
    <col min="529" max="529" width="41.5703125" style="18" customWidth="1"/>
    <col min="530" max="531" width="12" style="18" customWidth="1"/>
    <col min="532" max="532" width="17" style="18" customWidth="1"/>
    <col min="533" max="533" width="9.7109375" style="18" customWidth="1"/>
    <col min="534" max="534" width="12.28515625" style="18" customWidth="1"/>
    <col min="535" max="535" width="13.7109375" style="18" customWidth="1"/>
    <col min="536" max="536" width="13.5703125" style="18" bestFit="1" customWidth="1"/>
    <col min="537" max="537" width="13.5703125" style="18" customWidth="1"/>
    <col min="538" max="538" width="21" style="18" customWidth="1"/>
    <col min="539" max="542" width="13.42578125" style="18" customWidth="1"/>
    <col min="543" max="544" width="19" style="18" customWidth="1"/>
    <col min="545" max="545" width="34" style="18" customWidth="1"/>
    <col min="546" max="546" width="19" style="18" customWidth="1"/>
    <col min="547" max="547" width="20" style="18" bestFit="1" customWidth="1"/>
    <col min="548" max="548" width="20.28515625" style="18" bestFit="1" customWidth="1"/>
    <col min="549" max="549" width="26.7109375" style="18" customWidth="1"/>
    <col min="550" max="550" width="20.85546875" style="18" bestFit="1" customWidth="1"/>
    <col min="551" max="551" width="20.85546875" style="18" customWidth="1"/>
    <col min="552" max="552" width="18.85546875" style="18" customWidth="1"/>
    <col min="553" max="553" width="17.5703125" style="18" customWidth="1"/>
    <col min="554" max="555" width="19.42578125" style="18" customWidth="1"/>
    <col min="556" max="556" width="20.7109375" style="18" bestFit="1" customWidth="1"/>
    <col min="557" max="557" width="80.7109375" style="18" customWidth="1"/>
    <col min="558" max="558" width="14.7109375" style="18" bestFit="1" customWidth="1"/>
    <col min="559" max="559" width="18.140625" style="18" bestFit="1" customWidth="1"/>
    <col min="560" max="560" width="16.7109375" style="18" bestFit="1" customWidth="1"/>
    <col min="561" max="561" width="18.5703125" style="18" bestFit="1" customWidth="1"/>
    <col min="562" max="562" width="21.28515625" style="18" bestFit="1" customWidth="1"/>
    <col min="563" max="563" width="16.28515625" style="18" bestFit="1" customWidth="1"/>
    <col min="564" max="564" width="21.140625" style="18" bestFit="1" customWidth="1"/>
    <col min="565" max="565" width="19" style="18" bestFit="1" customWidth="1"/>
    <col min="566" max="566" width="19.140625" style="18" customWidth="1"/>
    <col min="567" max="567" width="16.7109375" style="18" customWidth="1"/>
    <col min="568" max="568" width="21.140625" style="18" bestFit="1" customWidth="1"/>
    <col min="569" max="569" width="20.42578125" style="18" bestFit="1" customWidth="1"/>
    <col min="570" max="570" width="21.140625" style="18" customWidth="1"/>
    <col min="571" max="571" width="20.5703125" style="18" bestFit="1" customWidth="1"/>
    <col min="572" max="572" width="19.7109375" style="18" bestFit="1" customWidth="1"/>
    <col min="573" max="573" width="20.28515625" style="18" customWidth="1"/>
    <col min="574" max="574" width="20.85546875" style="18" bestFit="1" customWidth="1"/>
    <col min="575" max="575" width="19.5703125" style="18" bestFit="1" customWidth="1"/>
    <col min="576" max="576" width="18" style="18" customWidth="1"/>
    <col min="577" max="577" width="20" style="18" bestFit="1" customWidth="1"/>
    <col min="578" max="578" width="35.7109375" style="18" customWidth="1"/>
    <col min="579" max="579" width="21.140625" style="18" bestFit="1" customWidth="1"/>
    <col min="580" max="580" width="20.5703125" style="18" bestFit="1" customWidth="1"/>
    <col min="581" max="581" width="19.42578125" style="18" bestFit="1" customWidth="1"/>
    <col min="582" max="582" width="18.5703125" style="18" bestFit="1" customWidth="1"/>
    <col min="583" max="583" width="20.5703125" style="18" bestFit="1" customWidth="1"/>
    <col min="584" max="584" width="21.28515625" style="18" bestFit="1" customWidth="1"/>
    <col min="585" max="585" width="15.42578125" style="18" customWidth="1"/>
    <col min="586" max="586" width="20.7109375" style="18" customWidth="1"/>
    <col min="587" max="587" width="21.28515625" style="18" customWidth="1"/>
    <col min="588" max="588" width="14.85546875" style="18" bestFit="1" customWidth="1"/>
    <col min="589" max="589" width="23" style="18" bestFit="1" customWidth="1"/>
    <col min="590" max="590" width="21.28515625" style="18" bestFit="1" customWidth="1"/>
    <col min="591" max="591" width="20.28515625" style="18" bestFit="1" customWidth="1"/>
    <col min="592" max="592" width="21" style="18" bestFit="1" customWidth="1"/>
    <col min="593" max="593" width="18.85546875" style="18" bestFit="1" customWidth="1"/>
    <col min="594" max="594" width="80.7109375" style="18" customWidth="1"/>
    <col min="595" max="782" width="9.140625" style="18"/>
    <col min="783" max="783" width="2.5703125" style="18" customWidth="1"/>
    <col min="784" max="784" width="17.85546875" style="18" customWidth="1"/>
    <col min="785" max="785" width="41.5703125" style="18" customWidth="1"/>
    <col min="786" max="787" width="12" style="18" customWidth="1"/>
    <col min="788" max="788" width="17" style="18" customWidth="1"/>
    <col min="789" max="789" width="9.7109375" style="18" customWidth="1"/>
    <col min="790" max="790" width="12.28515625" style="18" customWidth="1"/>
    <col min="791" max="791" width="13.7109375" style="18" customWidth="1"/>
    <col min="792" max="792" width="13.5703125" style="18" bestFit="1" customWidth="1"/>
    <col min="793" max="793" width="13.5703125" style="18" customWidth="1"/>
    <col min="794" max="794" width="21" style="18" customWidth="1"/>
    <col min="795" max="798" width="13.42578125" style="18" customWidth="1"/>
    <col min="799" max="800" width="19" style="18" customWidth="1"/>
    <col min="801" max="801" width="34" style="18" customWidth="1"/>
    <col min="802" max="802" width="19" style="18" customWidth="1"/>
    <col min="803" max="803" width="20" style="18" bestFit="1" customWidth="1"/>
    <col min="804" max="804" width="20.28515625" style="18" bestFit="1" customWidth="1"/>
    <col min="805" max="805" width="26.7109375" style="18" customWidth="1"/>
    <col min="806" max="806" width="20.85546875" style="18" bestFit="1" customWidth="1"/>
    <col min="807" max="807" width="20.85546875" style="18" customWidth="1"/>
    <col min="808" max="808" width="18.85546875" style="18" customWidth="1"/>
    <col min="809" max="809" width="17.5703125" style="18" customWidth="1"/>
    <col min="810" max="811" width="19.42578125" style="18" customWidth="1"/>
    <col min="812" max="812" width="20.7109375" style="18" bestFit="1" customWidth="1"/>
    <col min="813" max="813" width="80.7109375" style="18" customWidth="1"/>
    <col min="814" max="814" width="14.7109375" style="18" bestFit="1" customWidth="1"/>
    <col min="815" max="815" width="18.140625" style="18" bestFit="1" customWidth="1"/>
    <col min="816" max="816" width="16.7109375" style="18" bestFit="1" customWidth="1"/>
    <col min="817" max="817" width="18.5703125" style="18" bestFit="1" customWidth="1"/>
    <col min="818" max="818" width="21.28515625" style="18" bestFit="1" customWidth="1"/>
    <col min="819" max="819" width="16.28515625" style="18" bestFit="1" customWidth="1"/>
    <col min="820" max="820" width="21.140625" style="18" bestFit="1" customWidth="1"/>
    <col min="821" max="821" width="19" style="18" bestFit="1" customWidth="1"/>
    <col min="822" max="822" width="19.140625" style="18" customWidth="1"/>
    <col min="823" max="823" width="16.7109375" style="18" customWidth="1"/>
    <col min="824" max="824" width="21.140625" style="18" bestFit="1" customWidth="1"/>
    <col min="825" max="825" width="20.42578125" style="18" bestFit="1" customWidth="1"/>
    <col min="826" max="826" width="21.140625" style="18" customWidth="1"/>
    <col min="827" max="827" width="20.5703125" style="18" bestFit="1" customWidth="1"/>
    <col min="828" max="828" width="19.7109375" style="18" bestFit="1" customWidth="1"/>
    <col min="829" max="829" width="20.28515625" style="18" customWidth="1"/>
    <col min="830" max="830" width="20.85546875" style="18" bestFit="1" customWidth="1"/>
    <col min="831" max="831" width="19.5703125" style="18" bestFit="1" customWidth="1"/>
    <col min="832" max="832" width="18" style="18" customWidth="1"/>
    <col min="833" max="833" width="20" style="18" bestFit="1" customWidth="1"/>
    <col min="834" max="834" width="35.7109375" style="18" customWidth="1"/>
    <col min="835" max="835" width="21.140625" style="18" bestFit="1" customWidth="1"/>
    <col min="836" max="836" width="20.5703125" style="18" bestFit="1" customWidth="1"/>
    <col min="837" max="837" width="19.42578125" style="18" bestFit="1" customWidth="1"/>
    <col min="838" max="838" width="18.5703125" style="18" bestFit="1" customWidth="1"/>
    <col min="839" max="839" width="20.5703125" style="18" bestFit="1" customWidth="1"/>
    <col min="840" max="840" width="21.28515625" style="18" bestFit="1" customWidth="1"/>
    <col min="841" max="841" width="15.42578125" style="18" customWidth="1"/>
    <col min="842" max="842" width="20.7109375" style="18" customWidth="1"/>
    <col min="843" max="843" width="21.28515625" style="18" customWidth="1"/>
    <col min="844" max="844" width="14.85546875" style="18" bestFit="1" customWidth="1"/>
    <col min="845" max="845" width="23" style="18" bestFit="1" customWidth="1"/>
    <col min="846" max="846" width="21.28515625" style="18" bestFit="1" customWidth="1"/>
    <col min="847" max="847" width="20.28515625" style="18" bestFit="1" customWidth="1"/>
    <col min="848" max="848" width="21" style="18" bestFit="1" customWidth="1"/>
    <col min="849" max="849" width="18.85546875" style="18" bestFit="1" customWidth="1"/>
    <col min="850" max="850" width="80.7109375" style="18" customWidth="1"/>
    <col min="851" max="1038" width="9.140625" style="18"/>
    <col min="1039" max="1039" width="2.5703125" style="18" customWidth="1"/>
    <col min="1040" max="1040" width="17.85546875" style="18" customWidth="1"/>
    <col min="1041" max="1041" width="41.5703125" style="18" customWidth="1"/>
    <col min="1042" max="1043" width="12" style="18" customWidth="1"/>
    <col min="1044" max="1044" width="17" style="18" customWidth="1"/>
    <col min="1045" max="1045" width="9.7109375" style="18" customWidth="1"/>
    <col min="1046" max="1046" width="12.28515625" style="18" customWidth="1"/>
    <col min="1047" max="1047" width="13.7109375" style="18" customWidth="1"/>
    <col min="1048" max="1048" width="13.5703125" style="18" bestFit="1" customWidth="1"/>
    <col min="1049" max="1049" width="13.5703125" style="18" customWidth="1"/>
    <col min="1050" max="1050" width="21" style="18" customWidth="1"/>
    <col min="1051" max="1054" width="13.42578125" style="18" customWidth="1"/>
    <col min="1055" max="1056" width="19" style="18" customWidth="1"/>
    <col min="1057" max="1057" width="34" style="18" customWidth="1"/>
    <col min="1058" max="1058" width="19" style="18" customWidth="1"/>
    <col min="1059" max="1059" width="20" style="18" bestFit="1" customWidth="1"/>
    <col min="1060" max="1060" width="20.28515625" style="18" bestFit="1" customWidth="1"/>
    <col min="1061" max="1061" width="26.7109375" style="18" customWidth="1"/>
    <col min="1062" max="1062" width="20.85546875" style="18" bestFit="1" customWidth="1"/>
    <col min="1063" max="1063" width="20.85546875" style="18" customWidth="1"/>
    <col min="1064" max="1064" width="18.85546875" style="18" customWidth="1"/>
    <col min="1065" max="1065" width="17.5703125" style="18" customWidth="1"/>
    <col min="1066" max="1067" width="19.42578125" style="18" customWidth="1"/>
    <col min="1068" max="1068" width="20.7109375" style="18" bestFit="1" customWidth="1"/>
    <col min="1069" max="1069" width="80.7109375" style="18" customWidth="1"/>
    <col min="1070" max="1070" width="14.7109375" style="18" bestFit="1" customWidth="1"/>
    <col min="1071" max="1071" width="18.140625" style="18" bestFit="1" customWidth="1"/>
    <col min="1072" max="1072" width="16.7109375" style="18" bestFit="1" customWidth="1"/>
    <col min="1073" max="1073" width="18.5703125" style="18" bestFit="1" customWidth="1"/>
    <col min="1074" max="1074" width="21.28515625" style="18" bestFit="1" customWidth="1"/>
    <col min="1075" max="1075" width="16.28515625" style="18" bestFit="1" customWidth="1"/>
    <col min="1076" max="1076" width="21.140625" style="18" bestFit="1" customWidth="1"/>
    <col min="1077" max="1077" width="19" style="18" bestFit="1" customWidth="1"/>
    <col min="1078" max="1078" width="19.140625" style="18" customWidth="1"/>
    <col min="1079" max="1079" width="16.7109375" style="18" customWidth="1"/>
    <col min="1080" max="1080" width="21.140625" style="18" bestFit="1" customWidth="1"/>
    <col min="1081" max="1081" width="20.42578125" style="18" bestFit="1" customWidth="1"/>
    <col min="1082" max="1082" width="21.140625" style="18" customWidth="1"/>
    <col min="1083" max="1083" width="20.5703125" style="18" bestFit="1" customWidth="1"/>
    <col min="1084" max="1084" width="19.7109375" style="18" bestFit="1" customWidth="1"/>
    <col min="1085" max="1085" width="20.28515625" style="18" customWidth="1"/>
    <col min="1086" max="1086" width="20.85546875" style="18" bestFit="1" customWidth="1"/>
    <col min="1087" max="1087" width="19.5703125" style="18" bestFit="1" customWidth="1"/>
    <col min="1088" max="1088" width="18" style="18" customWidth="1"/>
    <col min="1089" max="1089" width="20" style="18" bestFit="1" customWidth="1"/>
    <col min="1090" max="1090" width="35.7109375" style="18" customWidth="1"/>
    <col min="1091" max="1091" width="21.140625" style="18" bestFit="1" customWidth="1"/>
    <col min="1092" max="1092" width="20.5703125" style="18" bestFit="1" customWidth="1"/>
    <col min="1093" max="1093" width="19.42578125" style="18" bestFit="1" customWidth="1"/>
    <col min="1094" max="1094" width="18.5703125" style="18" bestFit="1" customWidth="1"/>
    <col min="1095" max="1095" width="20.5703125" style="18" bestFit="1" customWidth="1"/>
    <col min="1096" max="1096" width="21.28515625" style="18" bestFit="1" customWidth="1"/>
    <col min="1097" max="1097" width="15.42578125" style="18" customWidth="1"/>
    <col min="1098" max="1098" width="20.7109375" style="18" customWidth="1"/>
    <col min="1099" max="1099" width="21.28515625" style="18" customWidth="1"/>
    <col min="1100" max="1100" width="14.85546875" style="18" bestFit="1" customWidth="1"/>
    <col min="1101" max="1101" width="23" style="18" bestFit="1" customWidth="1"/>
    <col min="1102" max="1102" width="21.28515625" style="18" bestFit="1" customWidth="1"/>
    <col min="1103" max="1103" width="20.28515625" style="18" bestFit="1" customWidth="1"/>
    <col min="1104" max="1104" width="21" style="18" bestFit="1" customWidth="1"/>
    <col min="1105" max="1105" width="18.85546875" style="18" bestFit="1" customWidth="1"/>
    <col min="1106" max="1106" width="80.7109375" style="18" customWidth="1"/>
    <col min="1107" max="1294" width="9.140625" style="18"/>
    <col min="1295" max="1295" width="2.5703125" style="18" customWidth="1"/>
    <col min="1296" max="1296" width="17.85546875" style="18" customWidth="1"/>
    <col min="1297" max="1297" width="41.5703125" style="18" customWidth="1"/>
    <col min="1298" max="1299" width="12" style="18" customWidth="1"/>
    <col min="1300" max="1300" width="17" style="18" customWidth="1"/>
    <col min="1301" max="1301" width="9.7109375" style="18" customWidth="1"/>
    <col min="1302" max="1302" width="12.28515625" style="18" customWidth="1"/>
    <col min="1303" max="1303" width="13.7109375" style="18" customWidth="1"/>
    <col min="1304" max="1304" width="13.5703125" style="18" bestFit="1" customWidth="1"/>
    <col min="1305" max="1305" width="13.5703125" style="18" customWidth="1"/>
    <col min="1306" max="1306" width="21" style="18" customWidth="1"/>
    <col min="1307" max="1310" width="13.42578125" style="18" customWidth="1"/>
    <col min="1311" max="1312" width="19" style="18" customWidth="1"/>
    <col min="1313" max="1313" width="34" style="18" customWidth="1"/>
    <col min="1314" max="1314" width="19" style="18" customWidth="1"/>
    <col min="1315" max="1315" width="20" style="18" bestFit="1" customWidth="1"/>
    <col min="1316" max="1316" width="20.28515625" style="18" bestFit="1" customWidth="1"/>
    <col min="1317" max="1317" width="26.7109375" style="18" customWidth="1"/>
    <col min="1318" max="1318" width="20.85546875" style="18" bestFit="1" customWidth="1"/>
    <col min="1319" max="1319" width="20.85546875" style="18" customWidth="1"/>
    <col min="1320" max="1320" width="18.85546875" style="18" customWidth="1"/>
    <col min="1321" max="1321" width="17.5703125" style="18" customWidth="1"/>
    <col min="1322" max="1323" width="19.42578125" style="18" customWidth="1"/>
    <col min="1324" max="1324" width="20.7109375" style="18" bestFit="1" customWidth="1"/>
    <col min="1325" max="1325" width="80.7109375" style="18" customWidth="1"/>
    <col min="1326" max="1326" width="14.7109375" style="18" bestFit="1" customWidth="1"/>
    <col min="1327" max="1327" width="18.140625" style="18" bestFit="1" customWidth="1"/>
    <col min="1328" max="1328" width="16.7109375" style="18" bestFit="1" customWidth="1"/>
    <col min="1329" max="1329" width="18.5703125" style="18" bestFit="1" customWidth="1"/>
    <col min="1330" max="1330" width="21.28515625" style="18" bestFit="1" customWidth="1"/>
    <col min="1331" max="1331" width="16.28515625" style="18" bestFit="1" customWidth="1"/>
    <col min="1332" max="1332" width="21.140625" style="18" bestFit="1" customWidth="1"/>
    <col min="1333" max="1333" width="19" style="18" bestFit="1" customWidth="1"/>
    <col min="1334" max="1334" width="19.140625" style="18" customWidth="1"/>
    <col min="1335" max="1335" width="16.7109375" style="18" customWidth="1"/>
    <col min="1336" max="1336" width="21.140625" style="18" bestFit="1" customWidth="1"/>
    <col min="1337" max="1337" width="20.42578125" style="18" bestFit="1" customWidth="1"/>
    <col min="1338" max="1338" width="21.140625" style="18" customWidth="1"/>
    <col min="1339" max="1339" width="20.5703125" style="18" bestFit="1" customWidth="1"/>
    <col min="1340" max="1340" width="19.7109375" style="18" bestFit="1" customWidth="1"/>
    <col min="1341" max="1341" width="20.28515625" style="18" customWidth="1"/>
    <col min="1342" max="1342" width="20.85546875" style="18" bestFit="1" customWidth="1"/>
    <col min="1343" max="1343" width="19.5703125" style="18" bestFit="1" customWidth="1"/>
    <col min="1344" max="1344" width="18" style="18" customWidth="1"/>
    <col min="1345" max="1345" width="20" style="18" bestFit="1" customWidth="1"/>
    <col min="1346" max="1346" width="35.7109375" style="18" customWidth="1"/>
    <col min="1347" max="1347" width="21.140625" style="18" bestFit="1" customWidth="1"/>
    <col min="1348" max="1348" width="20.5703125" style="18" bestFit="1" customWidth="1"/>
    <col min="1349" max="1349" width="19.42578125" style="18" bestFit="1" customWidth="1"/>
    <col min="1350" max="1350" width="18.5703125" style="18" bestFit="1" customWidth="1"/>
    <col min="1351" max="1351" width="20.5703125" style="18" bestFit="1" customWidth="1"/>
    <col min="1352" max="1352" width="21.28515625" style="18" bestFit="1" customWidth="1"/>
    <col min="1353" max="1353" width="15.42578125" style="18" customWidth="1"/>
    <col min="1354" max="1354" width="20.7109375" style="18" customWidth="1"/>
    <col min="1355" max="1355" width="21.28515625" style="18" customWidth="1"/>
    <col min="1356" max="1356" width="14.85546875" style="18" bestFit="1" customWidth="1"/>
    <col min="1357" max="1357" width="23" style="18" bestFit="1" customWidth="1"/>
    <col min="1358" max="1358" width="21.28515625" style="18" bestFit="1" customWidth="1"/>
    <col min="1359" max="1359" width="20.28515625" style="18" bestFit="1" customWidth="1"/>
    <col min="1360" max="1360" width="21" style="18" bestFit="1" customWidth="1"/>
    <col min="1361" max="1361" width="18.85546875" style="18" bestFit="1" customWidth="1"/>
    <col min="1362" max="1362" width="80.7109375" style="18" customWidth="1"/>
    <col min="1363" max="1550" width="9.140625" style="18"/>
    <col min="1551" max="1551" width="2.5703125" style="18" customWidth="1"/>
    <col min="1552" max="1552" width="17.85546875" style="18" customWidth="1"/>
    <col min="1553" max="1553" width="41.5703125" style="18" customWidth="1"/>
    <col min="1554" max="1555" width="12" style="18" customWidth="1"/>
    <col min="1556" max="1556" width="17" style="18" customWidth="1"/>
    <col min="1557" max="1557" width="9.7109375" style="18" customWidth="1"/>
    <col min="1558" max="1558" width="12.28515625" style="18" customWidth="1"/>
    <col min="1559" max="1559" width="13.7109375" style="18" customWidth="1"/>
    <col min="1560" max="1560" width="13.5703125" style="18" bestFit="1" customWidth="1"/>
    <col min="1561" max="1561" width="13.5703125" style="18" customWidth="1"/>
    <col min="1562" max="1562" width="21" style="18" customWidth="1"/>
    <col min="1563" max="1566" width="13.42578125" style="18" customWidth="1"/>
    <col min="1567" max="1568" width="19" style="18" customWidth="1"/>
    <col min="1569" max="1569" width="34" style="18" customWidth="1"/>
    <col min="1570" max="1570" width="19" style="18" customWidth="1"/>
    <col min="1571" max="1571" width="20" style="18" bestFit="1" customWidth="1"/>
    <col min="1572" max="1572" width="20.28515625" style="18" bestFit="1" customWidth="1"/>
    <col min="1573" max="1573" width="26.7109375" style="18" customWidth="1"/>
    <col min="1574" max="1574" width="20.85546875" style="18" bestFit="1" customWidth="1"/>
    <col min="1575" max="1575" width="20.85546875" style="18" customWidth="1"/>
    <col min="1576" max="1576" width="18.85546875" style="18" customWidth="1"/>
    <col min="1577" max="1577" width="17.5703125" style="18" customWidth="1"/>
    <col min="1578" max="1579" width="19.42578125" style="18" customWidth="1"/>
    <col min="1580" max="1580" width="20.7109375" style="18" bestFit="1" customWidth="1"/>
    <col min="1581" max="1581" width="80.7109375" style="18" customWidth="1"/>
    <col min="1582" max="1582" width="14.7109375" style="18" bestFit="1" customWidth="1"/>
    <col min="1583" max="1583" width="18.140625" style="18" bestFit="1" customWidth="1"/>
    <col min="1584" max="1584" width="16.7109375" style="18" bestFit="1" customWidth="1"/>
    <col min="1585" max="1585" width="18.5703125" style="18" bestFit="1" customWidth="1"/>
    <col min="1586" max="1586" width="21.28515625" style="18" bestFit="1" customWidth="1"/>
    <col min="1587" max="1587" width="16.28515625" style="18" bestFit="1" customWidth="1"/>
    <col min="1588" max="1588" width="21.140625" style="18" bestFit="1" customWidth="1"/>
    <col min="1589" max="1589" width="19" style="18" bestFit="1" customWidth="1"/>
    <col min="1590" max="1590" width="19.140625" style="18" customWidth="1"/>
    <col min="1591" max="1591" width="16.7109375" style="18" customWidth="1"/>
    <col min="1592" max="1592" width="21.140625" style="18" bestFit="1" customWidth="1"/>
    <col min="1593" max="1593" width="20.42578125" style="18" bestFit="1" customWidth="1"/>
    <col min="1594" max="1594" width="21.140625" style="18" customWidth="1"/>
    <col min="1595" max="1595" width="20.5703125" style="18" bestFit="1" customWidth="1"/>
    <col min="1596" max="1596" width="19.7109375" style="18" bestFit="1" customWidth="1"/>
    <col min="1597" max="1597" width="20.28515625" style="18" customWidth="1"/>
    <col min="1598" max="1598" width="20.85546875" style="18" bestFit="1" customWidth="1"/>
    <col min="1599" max="1599" width="19.5703125" style="18" bestFit="1" customWidth="1"/>
    <col min="1600" max="1600" width="18" style="18" customWidth="1"/>
    <col min="1601" max="1601" width="20" style="18" bestFit="1" customWidth="1"/>
    <col min="1602" max="1602" width="35.7109375" style="18" customWidth="1"/>
    <col min="1603" max="1603" width="21.140625" style="18" bestFit="1" customWidth="1"/>
    <col min="1604" max="1604" width="20.5703125" style="18" bestFit="1" customWidth="1"/>
    <col min="1605" max="1605" width="19.42578125" style="18" bestFit="1" customWidth="1"/>
    <col min="1606" max="1606" width="18.5703125" style="18" bestFit="1" customWidth="1"/>
    <col min="1607" max="1607" width="20.5703125" style="18" bestFit="1" customWidth="1"/>
    <col min="1608" max="1608" width="21.28515625" style="18" bestFit="1" customWidth="1"/>
    <col min="1609" max="1609" width="15.42578125" style="18" customWidth="1"/>
    <col min="1610" max="1610" width="20.7109375" style="18" customWidth="1"/>
    <col min="1611" max="1611" width="21.28515625" style="18" customWidth="1"/>
    <col min="1612" max="1612" width="14.85546875" style="18" bestFit="1" customWidth="1"/>
    <col min="1613" max="1613" width="23" style="18" bestFit="1" customWidth="1"/>
    <col min="1614" max="1614" width="21.28515625" style="18" bestFit="1" customWidth="1"/>
    <col min="1615" max="1615" width="20.28515625" style="18" bestFit="1" customWidth="1"/>
    <col min="1616" max="1616" width="21" style="18" bestFit="1" customWidth="1"/>
    <col min="1617" max="1617" width="18.85546875" style="18" bestFit="1" customWidth="1"/>
    <col min="1618" max="1618" width="80.7109375" style="18" customWidth="1"/>
    <col min="1619" max="1806" width="9.140625" style="18"/>
    <col min="1807" max="1807" width="2.5703125" style="18" customWidth="1"/>
    <col min="1808" max="1808" width="17.85546875" style="18" customWidth="1"/>
    <col min="1809" max="1809" width="41.5703125" style="18" customWidth="1"/>
    <col min="1810" max="1811" width="12" style="18" customWidth="1"/>
    <col min="1812" max="1812" width="17" style="18" customWidth="1"/>
    <col min="1813" max="1813" width="9.7109375" style="18" customWidth="1"/>
    <col min="1814" max="1814" width="12.28515625" style="18" customWidth="1"/>
    <col min="1815" max="1815" width="13.7109375" style="18" customWidth="1"/>
    <col min="1816" max="1816" width="13.5703125" style="18" bestFit="1" customWidth="1"/>
    <col min="1817" max="1817" width="13.5703125" style="18" customWidth="1"/>
    <col min="1818" max="1818" width="21" style="18" customWidth="1"/>
    <col min="1819" max="1822" width="13.42578125" style="18" customWidth="1"/>
    <col min="1823" max="1824" width="19" style="18" customWidth="1"/>
    <col min="1825" max="1825" width="34" style="18" customWidth="1"/>
    <col min="1826" max="1826" width="19" style="18" customWidth="1"/>
    <col min="1827" max="1827" width="20" style="18" bestFit="1" customWidth="1"/>
    <col min="1828" max="1828" width="20.28515625" style="18" bestFit="1" customWidth="1"/>
    <col min="1829" max="1829" width="26.7109375" style="18" customWidth="1"/>
    <col min="1830" max="1830" width="20.85546875" style="18" bestFit="1" customWidth="1"/>
    <col min="1831" max="1831" width="20.85546875" style="18" customWidth="1"/>
    <col min="1832" max="1832" width="18.85546875" style="18" customWidth="1"/>
    <col min="1833" max="1833" width="17.5703125" style="18" customWidth="1"/>
    <col min="1834" max="1835" width="19.42578125" style="18" customWidth="1"/>
    <col min="1836" max="1836" width="20.7109375" style="18" bestFit="1" customWidth="1"/>
    <col min="1837" max="1837" width="80.7109375" style="18" customWidth="1"/>
    <col min="1838" max="1838" width="14.7109375" style="18" bestFit="1" customWidth="1"/>
    <col min="1839" max="1839" width="18.140625" style="18" bestFit="1" customWidth="1"/>
    <col min="1840" max="1840" width="16.7109375" style="18" bestFit="1" customWidth="1"/>
    <col min="1841" max="1841" width="18.5703125" style="18" bestFit="1" customWidth="1"/>
    <col min="1842" max="1842" width="21.28515625" style="18" bestFit="1" customWidth="1"/>
    <col min="1843" max="1843" width="16.28515625" style="18" bestFit="1" customWidth="1"/>
    <col min="1844" max="1844" width="21.140625" style="18" bestFit="1" customWidth="1"/>
    <col min="1845" max="1845" width="19" style="18" bestFit="1" customWidth="1"/>
    <col min="1846" max="1846" width="19.140625" style="18" customWidth="1"/>
    <col min="1847" max="1847" width="16.7109375" style="18" customWidth="1"/>
    <col min="1848" max="1848" width="21.140625" style="18" bestFit="1" customWidth="1"/>
    <col min="1849" max="1849" width="20.42578125" style="18" bestFit="1" customWidth="1"/>
    <col min="1850" max="1850" width="21.140625" style="18" customWidth="1"/>
    <col min="1851" max="1851" width="20.5703125" style="18" bestFit="1" customWidth="1"/>
    <col min="1852" max="1852" width="19.7109375" style="18" bestFit="1" customWidth="1"/>
    <col min="1853" max="1853" width="20.28515625" style="18" customWidth="1"/>
    <col min="1854" max="1854" width="20.85546875" style="18" bestFit="1" customWidth="1"/>
    <col min="1855" max="1855" width="19.5703125" style="18" bestFit="1" customWidth="1"/>
    <col min="1856" max="1856" width="18" style="18" customWidth="1"/>
    <col min="1857" max="1857" width="20" style="18" bestFit="1" customWidth="1"/>
    <col min="1858" max="1858" width="35.7109375" style="18" customWidth="1"/>
    <col min="1859" max="1859" width="21.140625" style="18" bestFit="1" customWidth="1"/>
    <col min="1860" max="1860" width="20.5703125" style="18" bestFit="1" customWidth="1"/>
    <col min="1861" max="1861" width="19.42578125" style="18" bestFit="1" customWidth="1"/>
    <col min="1862" max="1862" width="18.5703125" style="18" bestFit="1" customWidth="1"/>
    <col min="1863" max="1863" width="20.5703125" style="18" bestFit="1" customWidth="1"/>
    <col min="1864" max="1864" width="21.28515625" style="18" bestFit="1" customWidth="1"/>
    <col min="1865" max="1865" width="15.42578125" style="18" customWidth="1"/>
    <col min="1866" max="1866" width="20.7109375" style="18" customWidth="1"/>
    <col min="1867" max="1867" width="21.28515625" style="18" customWidth="1"/>
    <col min="1868" max="1868" width="14.85546875" style="18" bestFit="1" customWidth="1"/>
    <col min="1869" max="1869" width="23" style="18" bestFit="1" customWidth="1"/>
    <col min="1870" max="1870" width="21.28515625" style="18" bestFit="1" customWidth="1"/>
    <col min="1871" max="1871" width="20.28515625" style="18" bestFit="1" customWidth="1"/>
    <col min="1872" max="1872" width="21" style="18" bestFit="1" customWidth="1"/>
    <col min="1873" max="1873" width="18.85546875" style="18" bestFit="1" customWidth="1"/>
    <col min="1874" max="1874" width="80.7109375" style="18" customWidth="1"/>
    <col min="1875" max="2062" width="9.140625" style="18"/>
    <col min="2063" max="2063" width="2.5703125" style="18" customWidth="1"/>
    <col min="2064" max="2064" width="17.85546875" style="18" customWidth="1"/>
    <col min="2065" max="2065" width="41.5703125" style="18" customWidth="1"/>
    <col min="2066" max="2067" width="12" style="18" customWidth="1"/>
    <col min="2068" max="2068" width="17" style="18" customWidth="1"/>
    <col min="2069" max="2069" width="9.7109375" style="18" customWidth="1"/>
    <col min="2070" max="2070" width="12.28515625" style="18" customWidth="1"/>
    <col min="2071" max="2071" width="13.7109375" style="18" customWidth="1"/>
    <col min="2072" max="2072" width="13.5703125" style="18" bestFit="1" customWidth="1"/>
    <col min="2073" max="2073" width="13.5703125" style="18" customWidth="1"/>
    <col min="2074" max="2074" width="21" style="18" customWidth="1"/>
    <col min="2075" max="2078" width="13.42578125" style="18" customWidth="1"/>
    <col min="2079" max="2080" width="19" style="18" customWidth="1"/>
    <col min="2081" max="2081" width="34" style="18" customWidth="1"/>
    <col min="2082" max="2082" width="19" style="18" customWidth="1"/>
    <col min="2083" max="2083" width="20" style="18" bestFit="1" customWidth="1"/>
    <col min="2084" max="2084" width="20.28515625" style="18" bestFit="1" customWidth="1"/>
    <col min="2085" max="2085" width="26.7109375" style="18" customWidth="1"/>
    <col min="2086" max="2086" width="20.85546875" style="18" bestFit="1" customWidth="1"/>
    <col min="2087" max="2087" width="20.85546875" style="18" customWidth="1"/>
    <col min="2088" max="2088" width="18.85546875" style="18" customWidth="1"/>
    <col min="2089" max="2089" width="17.5703125" style="18" customWidth="1"/>
    <col min="2090" max="2091" width="19.42578125" style="18" customWidth="1"/>
    <col min="2092" max="2092" width="20.7109375" style="18" bestFit="1" customWidth="1"/>
    <col min="2093" max="2093" width="80.7109375" style="18" customWidth="1"/>
    <col min="2094" max="2094" width="14.7109375" style="18" bestFit="1" customWidth="1"/>
    <col min="2095" max="2095" width="18.140625" style="18" bestFit="1" customWidth="1"/>
    <col min="2096" max="2096" width="16.7109375" style="18" bestFit="1" customWidth="1"/>
    <col min="2097" max="2097" width="18.5703125" style="18" bestFit="1" customWidth="1"/>
    <col min="2098" max="2098" width="21.28515625" style="18" bestFit="1" customWidth="1"/>
    <col min="2099" max="2099" width="16.28515625" style="18" bestFit="1" customWidth="1"/>
    <col min="2100" max="2100" width="21.140625" style="18" bestFit="1" customWidth="1"/>
    <col min="2101" max="2101" width="19" style="18" bestFit="1" customWidth="1"/>
    <col min="2102" max="2102" width="19.140625" style="18" customWidth="1"/>
    <col min="2103" max="2103" width="16.7109375" style="18" customWidth="1"/>
    <col min="2104" max="2104" width="21.140625" style="18" bestFit="1" customWidth="1"/>
    <col min="2105" max="2105" width="20.42578125" style="18" bestFit="1" customWidth="1"/>
    <col min="2106" max="2106" width="21.140625" style="18" customWidth="1"/>
    <col min="2107" max="2107" width="20.5703125" style="18" bestFit="1" customWidth="1"/>
    <col min="2108" max="2108" width="19.7109375" style="18" bestFit="1" customWidth="1"/>
    <col min="2109" max="2109" width="20.28515625" style="18" customWidth="1"/>
    <col min="2110" max="2110" width="20.85546875" style="18" bestFit="1" customWidth="1"/>
    <col min="2111" max="2111" width="19.5703125" style="18" bestFit="1" customWidth="1"/>
    <col min="2112" max="2112" width="18" style="18" customWidth="1"/>
    <col min="2113" max="2113" width="20" style="18" bestFit="1" customWidth="1"/>
    <col min="2114" max="2114" width="35.7109375" style="18" customWidth="1"/>
    <col min="2115" max="2115" width="21.140625" style="18" bestFit="1" customWidth="1"/>
    <col min="2116" max="2116" width="20.5703125" style="18" bestFit="1" customWidth="1"/>
    <col min="2117" max="2117" width="19.42578125" style="18" bestFit="1" customWidth="1"/>
    <col min="2118" max="2118" width="18.5703125" style="18" bestFit="1" customWidth="1"/>
    <col min="2119" max="2119" width="20.5703125" style="18" bestFit="1" customWidth="1"/>
    <col min="2120" max="2120" width="21.28515625" style="18" bestFit="1" customWidth="1"/>
    <col min="2121" max="2121" width="15.42578125" style="18" customWidth="1"/>
    <col min="2122" max="2122" width="20.7109375" style="18" customWidth="1"/>
    <col min="2123" max="2123" width="21.28515625" style="18" customWidth="1"/>
    <col min="2124" max="2124" width="14.85546875" style="18" bestFit="1" customWidth="1"/>
    <col min="2125" max="2125" width="23" style="18" bestFit="1" customWidth="1"/>
    <col min="2126" max="2126" width="21.28515625" style="18" bestFit="1" customWidth="1"/>
    <col min="2127" max="2127" width="20.28515625" style="18" bestFit="1" customWidth="1"/>
    <col min="2128" max="2128" width="21" style="18" bestFit="1" customWidth="1"/>
    <col min="2129" max="2129" width="18.85546875" style="18" bestFit="1" customWidth="1"/>
    <col min="2130" max="2130" width="80.7109375" style="18" customWidth="1"/>
    <col min="2131" max="2318" width="9.140625" style="18"/>
    <col min="2319" max="2319" width="2.5703125" style="18" customWidth="1"/>
    <col min="2320" max="2320" width="17.85546875" style="18" customWidth="1"/>
    <col min="2321" max="2321" width="41.5703125" style="18" customWidth="1"/>
    <col min="2322" max="2323" width="12" style="18" customWidth="1"/>
    <col min="2324" max="2324" width="17" style="18" customWidth="1"/>
    <col min="2325" max="2325" width="9.7109375" style="18" customWidth="1"/>
    <col min="2326" max="2326" width="12.28515625" style="18" customWidth="1"/>
    <col min="2327" max="2327" width="13.7109375" style="18" customWidth="1"/>
    <col min="2328" max="2328" width="13.5703125" style="18" bestFit="1" customWidth="1"/>
    <col min="2329" max="2329" width="13.5703125" style="18" customWidth="1"/>
    <col min="2330" max="2330" width="21" style="18" customWidth="1"/>
    <col min="2331" max="2334" width="13.42578125" style="18" customWidth="1"/>
    <col min="2335" max="2336" width="19" style="18" customWidth="1"/>
    <col min="2337" max="2337" width="34" style="18" customWidth="1"/>
    <col min="2338" max="2338" width="19" style="18" customWidth="1"/>
    <col min="2339" max="2339" width="20" style="18" bestFit="1" customWidth="1"/>
    <col min="2340" max="2340" width="20.28515625" style="18" bestFit="1" customWidth="1"/>
    <col min="2341" max="2341" width="26.7109375" style="18" customWidth="1"/>
    <col min="2342" max="2342" width="20.85546875" style="18" bestFit="1" customWidth="1"/>
    <col min="2343" max="2343" width="20.85546875" style="18" customWidth="1"/>
    <col min="2344" max="2344" width="18.85546875" style="18" customWidth="1"/>
    <col min="2345" max="2345" width="17.5703125" style="18" customWidth="1"/>
    <col min="2346" max="2347" width="19.42578125" style="18" customWidth="1"/>
    <col min="2348" max="2348" width="20.7109375" style="18" bestFit="1" customWidth="1"/>
    <col min="2349" max="2349" width="80.7109375" style="18" customWidth="1"/>
    <col min="2350" max="2350" width="14.7109375" style="18" bestFit="1" customWidth="1"/>
    <col min="2351" max="2351" width="18.140625" style="18" bestFit="1" customWidth="1"/>
    <col min="2352" max="2352" width="16.7109375" style="18" bestFit="1" customWidth="1"/>
    <col min="2353" max="2353" width="18.5703125" style="18" bestFit="1" customWidth="1"/>
    <col min="2354" max="2354" width="21.28515625" style="18" bestFit="1" customWidth="1"/>
    <col min="2355" max="2355" width="16.28515625" style="18" bestFit="1" customWidth="1"/>
    <col min="2356" max="2356" width="21.140625" style="18" bestFit="1" customWidth="1"/>
    <col min="2357" max="2357" width="19" style="18" bestFit="1" customWidth="1"/>
    <col min="2358" max="2358" width="19.140625" style="18" customWidth="1"/>
    <col min="2359" max="2359" width="16.7109375" style="18" customWidth="1"/>
    <col min="2360" max="2360" width="21.140625" style="18" bestFit="1" customWidth="1"/>
    <col min="2361" max="2361" width="20.42578125" style="18" bestFit="1" customWidth="1"/>
    <col min="2362" max="2362" width="21.140625" style="18" customWidth="1"/>
    <col min="2363" max="2363" width="20.5703125" style="18" bestFit="1" customWidth="1"/>
    <col min="2364" max="2364" width="19.7109375" style="18" bestFit="1" customWidth="1"/>
    <col min="2365" max="2365" width="20.28515625" style="18" customWidth="1"/>
    <col min="2366" max="2366" width="20.85546875" style="18" bestFit="1" customWidth="1"/>
    <col min="2367" max="2367" width="19.5703125" style="18" bestFit="1" customWidth="1"/>
    <col min="2368" max="2368" width="18" style="18" customWidth="1"/>
    <col min="2369" max="2369" width="20" style="18" bestFit="1" customWidth="1"/>
    <col min="2370" max="2370" width="35.7109375" style="18" customWidth="1"/>
    <col min="2371" max="2371" width="21.140625" style="18" bestFit="1" customWidth="1"/>
    <col min="2372" max="2372" width="20.5703125" style="18" bestFit="1" customWidth="1"/>
    <col min="2373" max="2373" width="19.42578125" style="18" bestFit="1" customWidth="1"/>
    <col min="2374" max="2374" width="18.5703125" style="18" bestFit="1" customWidth="1"/>
    <col min="2375" max="2375" width="20.5703125" style="18" bestFit="1" customWidth="1"/>
    <col min="2376" max="2376" width="21.28515625" style="18" bestFit="1" customWidth="1"/>
    <col min="2377" max="2377" width="15.42578125" style="18" customWidth="1"/>
    <col min="2378" max="2378" width="20.7109375" style="18" customWidth="1"/>
    <col min="2379" max="2379" width="21.28515625" style="18" customWidth="1"/>
    <col min="2380" max="2380" width="14.85546875" style="18" bestFit="1" customWidth="1"/>
    <col min="2381" max="2381" width="23" style="18" bestFit="1" customWidth="1"/>
    <col min="2382" max="2382" width="21.28515625" style="18" bestFit="1" customWidth="1"/>
    <col min="2383" max="2383" width="20.28515625" style="18" bestFit="1" customWidth="1"/>
    <col min="2384" max="2384" width="21" style="18" bestFit="1" customWidth="1"/>
    <col min="2385" max="2385" width="18.85546875" style="18" bestFit="1" customWidth="1"/>
    <col min="2386" max="2386" width="80.7109375" style="18" customWidth="1"/>
    <col min="2387" max="2574" width="9.140625" style="18"/>
    <col min="2575" max="2575" width="2.5703125" style="18" customWidth="1"/>
    <col min="2576" max="2576" width="17.85546875" style="18" customWidth="1"/>
    <col min="2577" max="2577" width="41.5703125" style="18" customWidth="1"/>
    <col min="2578" max="2579" width="12" style="18" customWidth="1"/>
    <col min="2580" max="2580" width="17" style="18" customWidth="1"/>
    <col min="2581" max="2581" width="9.7109375" style="18" customWidth="1"/>
    <col min="2582" max="2582" width="12.28515625" style="18" customWidth="1"/>
    <col min="2583" max="2583" width="13.7109375" style="18" customWidth="1"/>
    <col min="2584" max="2584" width="13.5703125" style="18" bestFit="1" customWidth="1"/>
    <col min="2585" max="2585" width="13.5703125" style="18" customWidth="1"/>
    <col min="2586" max="2586" width="21" style="18" customWidth="1"/>
    <col min="2587" max="2590" width="13.42578125" style="18" customWidth="1"/>
    <col min="2591" max="2592" width="19" style="18" customWidth="1"/>
    <col min="2593" max="2593" width="34" style="18" customWidth="1"/>
    <col min="2594" max="2594" width="19" style="18" customWidth="1"/>
    <col min="2595" max="2595" width="20" style="18" bestFit="1" customWidth="1"/>
    <col min="2596" max="2596" width="20.28515625" style="18" bestFit="1" customWidth="1"/>
    <col min="2597" max="2597" width="26.7109375" style="18" customWidth="1"/>
    <col min="2598" max="2598" width="20.85546875" style="18" bestFit="1" customWidth="1"/>
    <col min="2599" max="2599" width="20.85546875" style="18" customWidth="1"/>
    <col min="2600" max="2600" width="18.85546875" style="18" customWidth="1"/>
    <col min="2601" max="2601" width="17.5703125" style="18" customWidth="1"/>
    <col min="2602" max="2603" width="19.42578125" style="18" customWidth="1"/>
    <col min="2604" max="2604" width="20.7109375" style="18" bestFit="1" customWidth="1"/>
    <col min="2605" max="2605" width="80.7109375" style="18" customWidth="1"/>
    <col min="2606" max="2606" width="14.7109375" style="18" bestFit="1" customWidth="1"/>
    <col min="2607" max="2607" width="18.140625" style="18" bestFit="1" customWidth="1"/>
    <col min="2608" max="2608" width="16.7109375" style="18" bestFit="1" customWidth="1"/>
    <col min="2609" max="2609" width="18.5703125" style="18" bestFit="1" customWidth="1"/>
    <col min="2610" max="2610" width="21.28515625" style="18" bestFit="1" customWidth="1"/>
    <col min="2611" max="2611" width="16.28515625" style="18" bestFit="1" customWidth="1"/>
    <col min="2612" max="2612" width="21.140625" style="18" bestFit="1" customWidth="1"/>
    <col min="2613" max="2613" width="19" style="18" bestFit="1" customWidth="1"/>
    <col min="2614" max="2614" width="19.140625" style="18" customWidth="1"/>
    <col min="2615" max="2615" width="16.7109375" style="18" customWidth="1"/>
    <col min="2616" max="2616" width="21.140625" style="18" bestFit="1" customWidth="1"/>
    <col min="2617" max="2617" width="20.42578125" style="18" bestFit="1" customWidth="1"/>
    <col min="2618" max="2618" width="21.140625" style="18" customWidth="1"/>
    <col min="2619" max="2619" width="20.5703125" style="18" bestFit="1" customWidth="1"/>
    <col min="2620" max="2620" width="19.7109375" style="18" bestFit="1" customWidth="1"/>
    <col min="2621" max="2621" width="20.28515625" style="18" customWidth="1"/>
    <col min="2622" max="2622" width="20.85546875" style="18" bestFit="1" customWidth="1"/>
    <col min="2623" max="2623" width="19.5703125" style="18" bestFit="1" customWidth="1"/>
    <col min="2624" max="2624" width="18" style="18" customWidth="1"/>
    <col min="2625" max="2625" width="20" style="18" bestFit="1" customWidth="1"/>
    <col min="2626" max="2626" width="35.7109375" style="18" customWidth="1"/>
    <col min="2627" max="2627" width="21.140625" style="18" bestFit="1" customWidth="1"/>
    <col min="2628" max="2628" width="20.5703125" style="18" bestFit="1" customWidth="1"/>
    <col min="2629" max="2629" width="19.42578125" style="18" bestFit="1" customWidth="1"/>
    <col min="2630" max="2630" width="18.5703125" style="18" bestFit="1" customWidth="1"/>
    <col min="2631" max="2631" width="20.5703125" style="18" bestFit="1" customWidth="1"/>
    <col min="2632" max="2632" width="21.28515625" style="18" bestFit="1" customWidth="1"/>
    <col min="2633" max="2633" width="15.42578125" style="18" customWidth="1"/>
    <col min="2634" max="2634" width="20.7109375" style="18" customWidth="1"/>
    <col min="2635" max="2635" width="21.28515625" style="18" customWidth="1"/>
    <col min="2636" max="2636" width="14.85546875" style="18" bestFit="1" customWidth="1"/>
    <col min="2637" max="2637" width="23" style="18" bestFit="1" customWidth="1"/>
    <col min="2638" max="2638" width="21.28515625" style="18" bestFit="1" customWidth="1"/>
    <col min="2639" max="2639" width="20.28515625" style="18" bestFit="1" customWidth="1"/>
    <col min="2640" max="2640" width="21" style="18" bestFit="1" customWidth="1"/>
    <col min="2641" max="2641" width="18.85546875" style="18" bestFit="1" customWidth="1"/>
    <col min="2642" max="2642" width="80.7109375" style="18" customWidth="1"/>
    <col min="2643" max="2830" width="9.140625" style="18"/>
    <col min="2831" max="2831" width="2.5703125" style="18" customWidth="1"/>
    <col min="2832" max="2832" width="17.85546875" style="18" customWidth="1"/>
    <col min="2833" max="2833" width="41.5703125" style="18" customWidth="1"/>
    <col min="2834" max="2835" width="12" style="18" customWidth="1"/>
    <col min="2836" max="2836" width="17" style="18" customWidth="1"/>
    <col min="2837" max="2837" width="9.7109375" style="18" customWidth="1"/>
    <col min="2838" max="2838" width="12.28515625" style="18" customWidth="1"/>
    <col min="2839" max="2839" width="13.7109375" style="18" customWidth="1"/>
    <col min="2840" max="2840" width="13.5703125" style="18" bestFit="1" customWidth="1"/>
    <col min="2841" max="2841" width="13.5703125" style="18" customWidth="1"/>
    <col min="2842" max="2842" width="21" style="18" customWidth="1"/>
    <col min="2843" max="2846" width="13.42578125" style="18" customWidth="1"/>
    <col min="2847" max="2848" width="19" style="18" customWidth="1"/>
    <col min="2849" max="2849" width="34" style="18" customWidth="1"/>
    <col min="2850" max="2850" width="19" style="18" customWidth="1"/>
    <col min="2851" max="2851" width="20" style="18" bestFit="1" customWidth="1"/>
    <col min="2852" max="2852" width="20.28515625" style="18" bestFit="1" customWidth="1"/>
    <col min="2853" max="2853" width="26.7109375" style="18" customWidth="1"/>
    <col min="2854" max="2854" width="20.85546875" style="18" bestFit="1" customWidth="1"/>
    <col min="2855" max="2855" width="20.85546875" style="18" customWidth="1"/>
    <col min="2856" max="2856" width="18.85546875" style="18" customWidth="1"/>
    <col min="2857" max="2857" width="17.5703125" style="18" customWidth="1"/>
    <col min="2858" max="2859" width="19.42578125" style="18" customWidth="1"/>
    <col min="2860" max="2860" width="20.7109375" style="18" bestFit="1" customWidth="1"/>
    <col min="2861" max="2861" width="80.7109375" style="18" customWidth="1"/>
    <col min="2862" max="2862" width="14.7109375" style="18" bestFit="1" customWidth="1"/>
    <col min="2863" max="2863" width="18.140625" style="18" bestFit="1" customWidth="1"/>
    <col min="2864" max="2864" width="16.7109375" style="18" bestFit="1" customWidth="1"/>
    <col min="2865" max="2865" width="18.5703125" style="18" bestFit="1" customWidth="1"/>
    <col min="2866" max="2866" width="21.28515625" style="18" bestFit="1" customWidth="1"/>
    <col min="2867" max="2867" width="16.28515625" style="18" bestFit="1" customWidth="1"/>
    <col min="2868" max="2868" width="21.140625" style="18" bestFit="1" customWidth="1"/>
    <col min="2869" max="2869" width="19" style="18" bestFit="1" customWidth="1"/>
    <col min="2870" max="2870" width="19.140625" style="18" customWidth="1"/>
    <col min="2871" max="2871" width="16.7109375" style="18" customWidth="1"/>
    <col min="2872" max="2872" width="21.140625" style="18" bestFit="1" customWidth="1"/>
    <col min="2873" max="2873" width="20.42578125" style="18" bestFit="1" customWidth="1"/>
    <col min="2874" max="2874" width="21.140625" style="18" customWidth="1"/>
    <col min="2875" max="2875" width="20.5703125" style="18" bestFit="1" customWidth="1"/>
    <col min="2876" max="2876" width="19.7109375" style="18" bestFit="1" customWidth="1"/>
    <col min="2877" max="2877" width="20.28515625" style="18" customWidth="1"/>
    <col min="2878" max="2878" width="20.85546875" style="18" bestFit="1" customWidth="1"/>
    <col min="2879" max="2879" width="19.5703125" style="18" bestFit="1" customWidth="1"/>
    <col min="2880" max="2880" width="18" style="18" customWidth="1"/>
    <col min="2881" max="2881" width="20" style="18" bestFit="1" customWidth="1"/>
    <col min="2882" max="2882" width="35.7109375" style="18" customWidth="1"/>
    <col min="2883" max="2883" width="21.140625" style="18" bestFit="1" customWidth="1"/>
    <col min="2884" max="2884" width="20.5703125" style="18" bestFit="1" customWidth="1"/>
    <col min="2885" max="2885" width="19.42578125" style="18" bestFit="1" customWidth="1"/>
    <col min="2886" max="2886" width="18.5703125" style="18" bestFit="1" customWidth="1"/>
    <col min="2887" max="2887" width="20.5703125" style="18" bestFit="1" customWidth="1"/>
    <col min="2888" max="2888" width="21.28515625" style="18" bestFit="1" customWidth="1"/>
    <col min="2889" max="2889" width="15.42578125" style="18" customWidth="1"/>
    <col min="2890" max="2890" width="20.7109375" style="18" customWidth="1"/>
    <col min="2891" max="2891" width="21.28515625" style="18" customWidth="1"/>
    <col min="2892" max="2892" width="14.85546875" style="18" bestFit="1" customWidth="1"/>
    <col min="2893" max="2893" width="23" style="18" bestFit="1" customWidth="1"/>
    <col min="2894" max="2894" width="21.28515625" style="18" bestFit="1" customWidth="1"/>
    <col min="2895" max="2895" width="20.28515625" style="18" bestFit="1" customWidth="1"/>
    <col min="2896" max="2896" width="21" style="18" bestFit="1" customWidth="1"/>
    <col min="2897" max="2897" width="18.85546875" style="18" bestFit="1" customWidth="1"/>
    <col min="2898" max="2898" width="80.7109375" style="18" customWidth="1"/>
    <col min="2899" max="3086" width="9.140625" style="18"/>
    <col min="3087" max="3087" width="2.5703125" style="18" customWidth="1"/>
    <col min="3088" max="3088" width="17.85546875" style="18" customWidth="1"/>
    <col min="3089" max="3089" width="41.5703125" style="18" customWidth="1"/>
    <col min="3090" max="3091" width="12" style="18" customWidth="1"/>
    <col min="3092" max="3092" width="17" style="18" customWidth="1"/>
    <col min="3093" max="3093" width="9.7109375" style="18" customWidth="1"/>
    <col min="3094" max="3094" width="12.28515625" style="18" customWidth="1"/>
    <col min="3095" max="3095" width="13.7109375" style="18" customWidth="1"/>
    <col min="3096" max="3096" width="13.5703125" style="18" bestFit="1" customWidth="1"/>
    <col min="3097" max="3097" width="13.5703125" style="18" customWidth="1"/>
    <col min="3098" max="3098" width="21" style="18" customWidth="1"/>
    <col min="3099" max="3102" width="13.42578125" style="18" customWidth="1"/>
    <col min="3103" max="3104" width="19" style="18" customWidth="1"/>
    <col min="3105" max="3105" width="34" style="18" customWidth="1"/>
    <col min="3106" max="3106" width="19" style="18" customWidth="1"/>
    <col min="3107" max="3107" width="20" style="18" bestFit="1" customWidth="1"/>
    <col min="3108" max="3108" width="20.28515625" style="18" bestFit="1" customWidth="1"/>
    <col min="3109" max="3109" width="26.7109375" style="18" customWidth="1"/>
    <col min="3110" max="3110" width="20.85546875" style="18" bestFit="1" customWidth="1"/>
    <col min="3111" max="3111" width="20.85546875" style="18" customWidth="1"/>
    <col min="3112" max="3112" width="18.85546875" style="18" customWidth="1"/>
    <col min="3113" max="3113" width="17.5703125" style="18" customWidth="1"/>
    <col min="3114" max="3115" width="19.42578125" style="18" customWidth="1"/>
    <col min="3116" max="3116" width="20.7109375" style="18" bestFit="1" customWidth="1"/>
    <col min="3117" max="3117" width="80.7109375" style="18" customWidth="1"/>
    <col min="3118" max="3118" width="14.7109375" style="18" bestFit="1" customWidth="1"/>
    <col min="3119" max="3119" width="18.140625" style="18" bestFit="1" customWidth="1"/>
    <col min="3120" max="3120" width="16.7109375" style="18" bestFit="1" customWidth="1"/>
    <col min="3121" max="3121" width="18.5703125" style="18" bestFit="1" customWidth="1"/>
    <col min="3122" max="3122" width="21.28515625" style="18" bestFit="1" customWidth="1"/>
    <col min="3123" max="3123" width="16.28515625" style="18" bestFit="1" customWidth="1"/>
    <col min="3124" max="3124" width="21.140625" style="18" bestFit="1" customWidth="1"/>
    <col min="3125" max="3125" width="19" style="18" bestFit="1" customWidth="1"/>
    <col min="3126" max="3126" width="19.140625" style="18" customWidth="1"/>
    <col min="3127" max="3127" width="16.7109375" style="18" customWidth="1"/>
    <col min="3128" max="3128" width="21.140625" style="18" bestFit="1" customWidth="1"/>
    <col min="3129" max="3129" width="20.42578125" style="18" bestFit="1" customWidth="1"/>
    <col min="3130" max="3130" width="21.140625" style="18" customWidth="1"/>
    <col min="3131" max="3131" width="20.5703125" style="18" bestFit="1" customWidth="1"/>
    <col min="3132" max="3132" width="19.7109375" style="18" bestFit="1" customWidth="1"/>
    <col min="3133" max="3133" width="20.28515625" style="18" customWidth="1"/>
    <col min="3134" max="3134" width="20.85546875" style="18" bestFit="1" customWidth="1"/>
    <col min="3135" max="3135" width="19.5703125" style="18" bestFit="1" customWidth="1"/>
    <col min="3136" max="3136" width="18" style="18" customWidth="1"/>
    <col min="3137" max="3137" width="20" style="18" bestFit="1" customWidth="1"/>
    <col min="3138" max="3138" width="35.7109375" style="18" customWidth="1"/>
    <col min="3139" max="3139" width="21.140625" style="18" bestFit="1" customWidth="1"/>
    <col min="3140" max="3140" width="20.5703125" style="18" bestFit="1" customWidth="1"/>
    <col min="3141" max="3141" width="19.42578125" style="18" bestFit="1" customWidth="1"/>
    <col min="3142" max="3142" width="18.5703125" style="18" bestFit="1" customWidth="1"/>
    <col min="3143" max="3143" width="20.5703125" style="18" bestFit="1" customWidth="1"/>
    <col min="3144" max="3144" width="21.28515625" style="18" bestFit="1" customWidth="1"/>
    <col min="3145" max="3145" width="15.42578125" style="18" customWidth="1"/>
    <col min="3146" max="3146" width="20.7109375" style="18" customWidth="1"/>
    <col min="3147" max="3147" width="21.28515625" style="18" customWidth="1"/>
    <col min="3148" max="3148" width="14.85546875" style="18" bestFit="1" customWidth="1"/>
    <col min="3149" max="3149" width="23" style="18" bestFit="1" customWidth="1"/>
    <col min="3150" max="3150" width="21.28515625" style="18" bestFit="1" customWidth="1"/>
    <col min="3151" max="3151" width="20.28515625" style="18" bestFit="1" customWidth="1"/>
    <col min="3152" max="3152" width="21" style="18" bestFit="1" customWidth="1"/>
    <col min="3153" max="3153" width="18.85546875" style="18" bestFit="1" customWidth="1"/>
    <col min="3154" max="3154" width="80.7109375" style="18" customWidth="1"/>
    <col min="3155" max="3342" width="9.140625" style="18"/>
    <col min="3343" max="3343" width="2.5703125" style="18" customWidth="1"/>
    <col min="3344" max="3344" width="17.85546875" style="18" customWidth="1"/>
    <col min="3345" max="3345" width="41.5703125" style="18" customWidth="1"/>
    <col min="3346" max="3347" width="12" style="18" customWidth="1"/>
    <col min="3348" max="3348" width="17" style="18" customWidth="1"/>
    <col min="3349" max="3349" width="9.7109375" style="18" customWidth="1"/>
    <col min="3350" max="3350" width="12.28515625" style="18" customWidth="1"/>
    <col min="3351" max="3351" width="13.7109375" style="18" customWidth="1"/>
    <col min="3352" max="3352" width="13.5703125" style="18" bestFit="1" customWidth="1"/>
    <col min="3353" max="3353" width="13.5703125" style="18" customWidth="1"/>
    <col min="3354" max="3354" width="21" style="18" customWidth="1"/>
    <col min="3355" max="3358" width="13.42578125" style="18" customWidth="1"/>
    <col min="3359" max="3360" width="19" style="18" customWidth="1"/>
    <col min="3361" max="3361" width="34" style="18" customWidth="1"/>
    <col min="3362" max="3362" width="19" style="18" customWidth="1"/>
    <col min="3363" max="3363" width="20" style="18" bestFit="1" customWidth="1"/>
    <col min="3364" max="3364" width="20.28515625" style="18" bestFit="1" customWidth="1"/>
    <col min="3365" max="3365" width="26.7109375" style="18" customWidth="1"/>
    <col min="3366" max="3366" width="20.85546875" style="18" bestFit="1" customWidth="1"/>
    <col min="3367" max="3367" width="20.85546875" style="18" customWidth="1"/>
    <col min="3368" max="3368" width="18.85546875" style="18" customWidth="1"/>
    <col min="3369" max="3369" width="17.5703125" style="18" customWidth="1"/>
    <col min="3370" max="3371" width="19.42578125" style="18" customWidth="1"/>
    <col min="3372" max="3372" width="20.7109375" style="18" bestFit="1" customWidth="1"/>
    <col min="3373" max="3373" width="80.7109375" style="18" customWidth="1"/>
    <col min="3374" max="3374" width="14.7109375" style="18" bestFit="1" customWidth="1"/>
    <col min="3375" max="3375" width="18.140625" style="18" bestFit="1" customWidth="1"/>
    <col min="3376" max="3376" width="16.7109375" style="18" bestFit="1" customWidth="1"/>
    <col min="3377" max="3377" width="18.5703125" style="18" bestFit="1" customWidth="1"/>
    <col min="3378" max="3378" width="21.28515625" style="18" bestFit="1" customWidth="1"/>
    <col min="3379" max="3379" width="16.28515625" style="18" bestFit="1" customWidth="1"/>
    <col min="3380" max="3380" width="21.140625" style="18" bestFit="1" customWidth="1"/>
    <col min="3381" max="3381" width="19" style="18" bestFit="1" customWidth="1"/>
    <col min="3382" max="3382" width="19.140625" style="18" customWidth="1"/>
    <col min="3383" max="3383" width="16.7109375" style="18" customWidth="1"/>
    <col min="3384" max="3384" width="21.140625" style="18" bestFit="1" customWidth="1"/>
    <col min="3385" max="3385" width="20.42578125" style="18" bestFit="1" customWidth="1"/>
    <col min="3386" max="3386" width="21.140625" style="18" customWidth="1"/>
    <col min="3387" max="3387" width="20.5703125" style="18" bestFit="1" customWidth="1"/>
    <col min="3388" max="3388" width="19.7109375" style="18" bestFit="1" customWidth="1"/>
    <col min="3389" max="3389" width="20.28515625" style="18" customWidth="1"/>
    <col min="3390" max="3390" width="20.85546875" style="18" bestFit="1" customWidth="1"/>
    <col min="3391" max="3391" width="19.5703125" style="18" bestFit="1" customWidth="1"/>
    <col min="3392" max="3392" width="18" style="18" customWidth="1"/>
    <col min="3393" max="3393" width="20" style="18" bestFit="1" customWidth="1"/>
    <col min="3394" max="3394" width="35.7109375" style="18" customWidth="1"/>
    <col min="3395" max="3395" width="21.140625" style="18" bestFit="1" customWidth="1"/>
    <col min="3396" max="3396" width="20.5703125" style="18" bestFit="1" customWidth="1"/>
    <col min="3397" max="3397" width="19.42578125" style="18" bestFit="1" customWidth="1"/>
    <col min="3398" max="3398" width="18.5703125" style="18" bestFit="1" customWidth="1"/>
    <col min="3399" max="3399" width="20.5703125" style="18" bestFit="1" customWidth="1"/>
    <col min="3400" max="3400" width="21.28515625" style="18" bestFit="1" customWidth="1"/>
    <col min="3401" max="3401" width="15.42578125" style="18" customWidth="1"/>
    <col min="3402" max="3402" width="20.7109375" style="18" customWidth="1"/>
    <col min="3403" max="3403" width="21.28515625" style="18" customWidth="1"/>
    <col min="3404" max="3404" width="14.85546875" style="18" bestFit="1" customWidth="1"/>
    <col min="3405" max="3405" width="23" style="18" bestFit="1" customWidth="1"/>
    <col min="3406" max="3406" width="21.28515625" style="18" bestFit="1" customWidth="1"/>
    <col min="3407" max="3407" width="20.28515625" style="18" bestFit="1" customWidth="1"/>
    <col min="3408" max="3408" width="21" style="18" bestFit="1" customWidth="1"/>
    <col min="3409" max="3409" width="18.85546875" style="18" bestFit="1" customWidth="1"/>
    <col min="3410" max="3410" width="80.7109375" style="18" customWidth="1"/>
    <col min="3411" max="3598" width="9.140625" style="18"/>
    <col min="3599" max="3599" width="2.5703125" style="18" customWidth="1"/>
    <col min="3600" max="3600" width="17.85546875" style="18" customWidth="1"/>
    <col min="3601" max="3601" width="41.5703125" style="18" customWidth="1"/>
    <col min="3602" max="3603" width="12" style="18" customWidth="1"/>
    <col min="3604" max="3604" width="17" style="18" customWidth="1"/>
    <col min="3605" max="3605" width="9.7109375" style="18" customWidth="1"/>
    <col min="3606" max="3606" width="12.28515625" style="18" customWidth="1"/>
    <col min="3607" max="3607" width="13.7109375" style="18" customWidth="1"/>
    <col min="3608" max="3608" width="13.5703125" style="18" bestFit="1" customWidth="1"/>
    <col min="3609" max="3609" width="13.5703125" style="18" customWidth="1"/>
    <col min="3610" max="3610" width="21" style="18" customWidth="1"/>
    <col min="3611" max="3614" width="13.42578125" style="18" customWidth="1"/>
    <col min="3615" max="3616" width="19" style="18" customWidth="1"/>
    <col min="3617" max="3617" width="34" style="18" customWidth="1"/>
    <col min="3618" max="3618" width="19" style="18" customWidth="1"/>
    <col min="3619" max="3619" width="20" style="18" bestFit="1" customWidth="1"/>
    <col min="3620" max="3620" width="20.28515625" style="18" bestFit="1" customWidth="1"/>
    <col min="3621" max="3621" width="26.7109375" style="18" customWidth="1"/>
    <col min="3622" max="3622" width="20.85546875" style="18" bestFit="1" customWidth="1"/>
    <col min="3623" max="3623" width="20.85546875" style="18" customWidth="1"/>
    <col min="3624" max="3624" width="18.85546875" style="18" customWidth="1"/>
    <col min="3625" max="3625" width="17.5703125" style="18" customWidth="1"/>
    <col min="3626" max="3627" width="19.42578125" style="18" customWidth="1"/>
    <col min="3628" max="3628" width="20.7109375" style="18" bestFit="1" customWidth="1"/>
    <col min="3629" max="3629" width="80.7109375" style="18" customWidth="1"/>
    <col min="3630" max="3630" width="14.7109375" style="18" bestFit="1" customWidth="1"/>
    <col min="3631" max="3631" width="18.140625" style="18" bestFit="1" customWidth="1"/>
    <col min="3632" max="3632" width="16.7109375" style="18" bestFit="1" customWidth="1"/>
    <col min="3633" max="3633" width="18.5703125" style="18" bestFit="1" customWidth="1"/>
    <col min="3634" max="3634" width="21.28515625" style="18" bestFit="1" customWidth="1"/>
    <col min="3635" max="3635" width="16.28515625" style="18" bestFit="1" customWidth="1"/>
    <col min="3636" max="3636" width="21.140625" style="18" bestFit="1" customWidth="1"/>
    <col min="3637" max="3637" width="19" style="18" bestFit="1" customWidth="1"/>
    <col min="3638" max="3638" width="19.140625" style="18" customWidth="1"/>
    <col min="3639" max="3639" width="16.7109375" style="18" customWidth="1"/>
    <col min="3640" max="3640" width="21.140625" style="18" bestFit="1" customWidth="1"/>
    <col min="3641" max="3641" width="20.42578125" style="18" bestFit="1" customWidth="1"/>
    <col min="3642" max="3642" width="21.140625" style="18" customWidth="1"/>
    <col min="3643" max="3643" width="20.5703125" style="18" bestFit="1" customWidth="1"/>
    <col min="3644" max="3644" width="19.7109375" style="18" bestFit="1" customWidth="1"/>
    <col min="3645" max="3645" width="20.28515625" style="18" customWidth="1"/>
    <col min="3646" max="3646" width="20.85546875" style="18" bestFit="1" customWidth="1"/>
    <col min="3647" max="3647" width="19.5703125" style="18" bestFit="1" customWidth="1"/>
    <col min="3648" max="3648" width="18" style="18" customWidth="1"/>
    <col min="3649" max="3649" width="20" style="18" bestFit="1" customWidth="1"/>
    <col min="3650" max="3650" width="35.7109375" style="18" customWidth="1"/>
    <col min="3651" max="3651" width="21.140625" style="18" bestFit="1" customWidth="1"/>
    <col min="3652" max="3652" width="20.5703125" style="18" bestFit="1" customWidth="1"/>
    <col min="3653" max="3653" width="19.42578125" style="18" bestFit="1" customWidth="1"/>
    <col min="3654" max="3654" width="18.5703125" style="18" bestFit="1" customWidth="1"/>
    <col min="3655" max="3655" width="20.5703125" style="18" bestFit="1" customWidth="1"/>
    <col min="3656" max="3656" width="21.28515625" style="18" bestFit="1" customWidth="1"/>
    <col min="3657" max="3657" width="15.42578125" style="18" customWidth="1"/>
    <col min="3658" max="3658" width="20.7109375" style="18" customWidth="1"/>
    <col min="3659" max="3659" width="21.28515625" style="18" customWidth="1"/>
    <col min="3660" max="3660" width="14.85546875" style="18" bestFit="1" customWidth="1"/>
    <col min="3661" max="3661" width="23" style="18" bestFit="1" customWidth="1"/>
    <col min="3662" max="3662" width="21.28515625" style="18" bestFit="1" customWidth="1"/>
    <col min="3663" max="3663" width="20.28515625" style="18" bestFit="1" customWidth="1"/>
    <col min="3664" max="3664" width="21" style="18" bestFit="1" customWidth="1"/>
    <col min="3665" max="3665" width="18.85546875" style="18" bestFit="1" customWidth="1"/>
    <col min="3666" max="3666" width="80.7109375" style="18" customWidth="1"/>
    <col min="3667" max="3854" width="9.140625" style="18"/>
    <col min="3855" max="3855" width="2.5703125" style="18" customWidth="1"/>
    <col min="3856" max="3856" width="17.85546875" style="18" customWidth="1"/>
    <col min="3857" max="3857" width="41.5703125" style="18" customWidth="1"/>
    <col min="3858" max="3859" width="12" style="18" customWidth="1"/>
    <col min="3860" max="3860" width="17" style="18" customWidth="1"/>
    <col min="3861" max="3861" width="9.7109375" style="18" customWidth="1"/>
    <col min="3862" max="3862" width="12.28515625" style="18" customWidth="1"/>
    <col min="3863" max="3863" width="13.7109375" style="18" customWidth="1"/>
    <col min="3864" max="3864" width="13.5703125" style="18" bestFit="1" customWidth="1"/>
    <col min="3865" max="3865" width="13.5703125" style="18" customWidth="1"/>
    <col min="3866" max="3866" width="21" style="18" customWidth="1"/>
    <col min="3867" max="3870" width="13.42578125" style="18" customWidth="1"/>
    <col min="3871" max="3872" width="19" style="18" customWidth="1"/>
    <col min="3873" max="3873" width="34" style="18" customWidth="1"/>
    <col min="3874" max="3874" width="19" style="18" customWidth="1"/>
    <col min="3875" max="3875" width="20" style="18" bestFit="1" customWidth="1"/>
    <col min="3876" max="3876" width="20.28515625" style="18" bestFit="1" customWidth="1"/>
    <col min="3877" max="3877" width="26.7109375" style="18" customWidth="1"/>
    <col min="3878" max="3878" width="20.85546875" style="18" bestFit="1" customWidth="1"/>
    <col min="3879" max="3879" width="20.85546875" style="18" customWidth="1"/>
    <col min="3880" max="3880" width="18.85546875" style="18" customWidth="1"/>
    <col min="3881" max="3881" width="17.5703125" style="18" customWidth="1"/>
    <col min="3882" max="3883" width="19.42578125" style="18" customWidth="1"/>
    <col min="3884" max="3884" width="20.7109375" style="18" bestFit="1" customWidth="1"/>
    <col min="3885" max="3885" width="80.7109375" style="18" customWidth="1"/>
    <col min="3886" max="3886" width="14.7109375" style="18" bestFit="1" customWidth="1"/>
    <col min="3887" max="3887" width="18.140625" style="18" bestFit="1" customWidth="1"/>
    <col min="3888" max="3888" width="16.7109375" style="18" bestFit="1" customWidth="1"/>
    <col min="3889" max="3889" width="18.5703125" style="18" bestFit="1" customWidth="1"/>
    <col min="3890" max="3890" width="21.28515625" style="18" bestFit="1" customWidth="1"/>
    <col min="3891" max="3891" width="16.28515625" style="18" bestFit="1" customWidth="1"/>
    <col min="3892" max="3892" width="21.140625" style="18" bestFit="1" customWidth="1"/>
    <col min="3893" max="3893" width="19" style="18" bestFit="1" customWidth="1"/>
    <col min="3894" max="3894" width="19.140625" style="18" customWidth="1"/>
    <col min="3895" max="3895" width="16.7109375" style="18" customWidth="1"/>
    <col min="3896" max="3896" width="21.140625" style="18" bestFit="1" customWidth="1"/>
    <col min="3897" max="3897" width="20.42578125" style="18" bestFit="1" customWidth="1"/>
    <col min="3898" max="3898" width="21.140625" style="18" customWidth="1"/>
    <col min="3899" max="3899" width="20.5703125" style="18" bestFit="1" customWidth="1"/>
    <col min="3900" max="3900" width="19.7109375" style="18" bestFit="1" customWidth="1"/>
    <col min="3901" max="3901" width="20.28515625" style="18" customWidth="1"/>
    <col min="3902" max="3902" width="20.85546875" style="18" bestFit="1" customWidth="1"/>
    <col min="3903" max="3903" width="19.5703125" style="18" bestFit="1" customWidth="1"/>
    <col min="3904" max="3904" width="18" style="18" customWidth="1"/>
    <col min="3905" max="3905" width="20" style="18" bestFit="1" customWidth="1"/>
    <col min="3906" max="3906" width="35.7109375" style="18" customWidth="1"/>
    <col min="3907" max="3907" width="21.140625" style="18" bestFit="1" customWidth="1"/>
    <col min="3908" max="3908" width="20.5703125" style="18" bestFit="1" customWidth="1"/>
    <col min="3909" max="3909" width="19.42578125" style="18" bestFit="1" customWidth="1"/>
    <col min="3910" max="3910" width="18.5703125" style="18" bestFit="1" customWidth="1"/>
    <col min="3911" max="3911" width="20.5703125" style="18" bestFit="1" customWidth="1"/>
    <col min="3912" max="3912" width="21.28515625" style="18" bestFit="1" customWidth="1"/>
    <col min="3913" max="3913" width="15.42578125" style="18" customWidth="1"/>
    <col min="3914" max="3914" width="20.7109375" style="18" customWidth="1"/>
    <col min="3915" max="3915" width="21.28515625" style="18" customWidth="1"/>
    <col min="3916" max="3916" width="14.85546875" style="18" bestFit="1" customWidth="1"/>
    <col min="3917" max="3917" width="23" style="18" bestFit="1" customWidth="1"/>
    <col min="3918" max="3918" width="21.28515625" style="18" bestFit="1" customWidth="1"/>
    <col min="3919" max="3919" width="20.28515625" style="18" bestFit="1" customWidth="1"/>
    <col min="3920" max="3920" width="21" style="18" bestFit="1" customWidth="1"/>
    <col min="3921" max="3921" width="18.85546875" style="18" bestFit="1" customWidth="1"/>
    <col min="3922" max="3922" width="80.7109375" style="18" customWidth="1"/>
    <col min="3923" max="4110" width="9.140625" style="18"/>
    <col min="4111" max="4111" width="2.5703125" style="18" customWidth="1"/>
    <col min="4112" max="4112" width="17.85546875" style="18" customWidth="1"/>
    <col min="4113" max="4113" width="41.5703125" style="18" customWidth="1"/>
    <col min="4114" max="4115" width="12" style="18" customWidth="1"/>
    <col min="4116" max="4116" width="17" style="18" customWidth="1"/>
    <col min="4117" max="4117" width="9.7109375" style="18" customWidth="1"/>
    <col min="4118" max="4118" width="12.28515625" style="18" customWidth="1"/>
    <col min="4119" max="4119" width="13.7109375" style="18" customWidth="1"/>
    <col min="4120" max="4120" width="13.5703125" style="18" bestFit="1" customWidth="1"/>
    <col min="4121" max="4121" width="13.5703125" style="18" customWidth="1"/>
    <col min="4122" max="4122" width="21" style="18" customWidth="1"/>
    <col min="4123" max="4126" width="13.42578125" style="18" customWidth="1"/>
    <col min="4127" max="4128" width="19" style="18" customWidth="1"/>
    <col min="4129" max="4129" width="34" style="18" customWidth="1"/>
    <col min="4130" max="4130" width="19" style="18" customWidth="1"/>
    <col min="4131" max="4131" width="20" style="18" bestFit="1" customWidth="1"/>
    <col min="4132" max="4132" width="20.28515625" style="18" bestFit="1" customWidth="1"/>
    <col min="4133" max="4133" width="26.7109375" style="18" customWidth="1"/>
    <col min="4134" max="4134" width="20.85546875" style="18" bestFit="1" customWidth="1"/>
    <col min="4135" max="4135" width="20.85546875" style="18" customWidth="1"/>
    <col min="4136" max="4136" width="18.85546875" style="18" customWidth="1"/>
    <col min="4137" max="4137" width="17.5703125" style="18" customWidth="1"/>
    <col min="4138" max="4139" width="19.42578125" style="18" customWidth="1"/>
    <col min="4140" max="4140" width="20.7109375" style="18" bestFit="1" customWidth="1"/>
    <col min="4141" max="4141" width="80.7109375" style="18" customWidth="1"/>
    <col min="4142" max="4142" width="14.7109375" style="18" bestFit="1" customWidth="1"/>
    <col min="4143" max="4143" width="18.140625" style="18" bestFit="1" customWidth="1"/>
    <col min="4144" max="4144" width="16.7109375" style="18" bestFit="1" customWidth="1"/>
    <col min="4145" max="4145" width="18.5703125" style="18" bestFit="1" customWidth="1"/>
    <col min="4146" max="4146" width="21.28515625" style="18" bestFit="1" customWidth="1"/>
    <col min="4147" max="4147" width="16.28515625" style="18" bestFit="1" customWidth="1"/>
    <col min="4148" max="4148" width="21.140625" style="18" bestFit="1" customWidth="1"/>
    <col min="4149" max="4149" width="19" style="18" bestFit="1" customWidth="1"/>
    <col min="4150" max="4150" width="19.140625" style="18" customWidth="1"/>
    <col min="4151" max="4151" width="16.7109375" style="18" customWidth="1"/>
    <col min="4152" max="4152" width="21.140625" style="18" bestFit="1" customWidth="1"/>
    <col min="4153" max="4153" width="20.42578125" style="18" bestFit="1" customWidth="1"/>
    <col min="4154" max="4154" width="21.140625" style="18" customWidth="1"/>
    <col min="4155" max="4155" width="20.5703125" style="18" bestFit="1" customWidth="1"/>
    <col min="4156" max="4156" width="19.7109375" style="18" bestFit="1" customWidth="1"/>
    <col min="4157" max="4157" width="20.28515625" style="18" customWidth="1"/>
    <col min="4158" max="4158" width="20.85546875" style="18" bestFit="1" customWidth="1"/>
    <col min="4159" max="4159" width="19.5703125" style="18" bestFit="1" customWidth="1"/>
    <col min="4160" max="4160" width="18" style="18" customWidth="1"/>
    <col min="4161" max="4161" width="20" style="18" bestFit="1" customWidth="1"/>
    <col min="4162" max="4162" width="35.7109375" style="18" customWidth="1"/>
    <col min="4163" max="4163" width="21.140625" style="18" bestFit="1" customWidth="1"/>
    <col min="4164" max="4164" width="20.5703125" style="18" bestFit="1" customWidth="1"/>
    <col min="4165" max="4165" width="19.42578125" style="18" bestFit="1" customWidth="1"/>
    <col min="4166" max="4166" width="18.5703125" style="18" bestFit="1" customWidth="1"/>
    <col min="4167" max="4167" width="20.5703125" style="18" bestFit="1" customWidth="1"/>
    <col min="4168" max="4168" width="21.28515625" style="18" bestFit="1" customWidth="1"/>
    <col min="4169" max="4169" width="15.42578125" style="18" customWidth="1"/>
    <col min="4170" max="4170" width="20.7109375" style="18" customWidth="1"/>
    <col min="4171" max="4171" width="21.28515625" style="18" customWidth="1"/>
    <col min="4172" max="4172" width="14.85546875" style="18" bestFit="1" customWidth="1"/>
    <col min="4173" max="4173" width="23" style="18" bestFit="1" customWidth="1"/>
    <col min="4174" max="4174" width="21.28515625" style="18" bestFit="1" customWidth="1"/>
    <col min="4175" max="4175" width="20.28515625" style="18" bestFit="1" customWidth="1"/>
    <col min="4176" max="4176" width="21" style="18" bestFit="1" customWidth="1"/>
    <col min="4177" max="4177" width="18.85546875" style="18" bestFit="1" customWidth="1"/>
    <col min="4178" max="4178" width="80.7109375" style="18" customWidth="1"/>
    <col min="4179" max="4366" width="9.140625" style="18"/>
    <col min="4367" max="4367" width="2.5703125" style="18" customWidth="1"/>
    <col min="4368" max="4368" width="17.85546875" style="18" customWidth="1"/>
    <col min="4369" max="4369" width="41.5703125" style="18" customWidth="1"/>
    <col min="4370" max="4371" width="12" style="18" customWidth="1"/>
    <col min="4372" max="4372" width="17" style="18" customWidth="1"/>
    <col min="4373" max="4373" width="9.7109375" style="18" customWidth="1"/>
    <col min="4374" max="4374" width="12.28515625" style="18" customWidth="1"/>
    <col min="4375" max="4375" width="13.7109375" style="18" customWidth="1"/>
    <col min="4376" max="4376" width="13.5703125" style="18" bestFit="1" customWidth="1"/>
    <col min="4377" max="4377" width="13.5703125" style="18" customWidth="1"/>
    <col min="4378" max="4378" width="21" style="18" customWidth="1"/>
    <col min="4379" max="4382" width="13.42578125" style="18" customWidth="1"/>
    <col min="4383" max="4384" width="19" style="18" customWidth="1"/>
    <col min="4385" max="4385" width="34" style="18" customWidth="1"/>
    <col min="4386" max="4386" width="19" style="18" customWidth="1"/>
    <col min="4387" max="4387" width="20" style="18" bestFit="1" customWidth="1"/>
    <col min="4388" max="4388" width="20.28515625" style="18" bestFit="1" customWidth="1"/>
    <col min="4389" max="4389" width="26.7109375" style="18" customWidth="1"/>
    <col min="4390" max="4390" width="20.85546875" style="18" bestFit="1" customWidth="1"/>
    <col min="4391" max="4391" width="20.85546875" style="18" customWidth="1"/>
    <col min="4392" max="4392" width="18.85546875" style="18" customWidth="1"/>
    <col min="4393" max="4393" width="17.5703125" style="18" customWidth="1"/>
    <col min="4394" max="4395" width="19.42578125" style="18" customWidth="1"/>
    <col min="4396" max="4396" width="20.7109375" style="18" bestFit="1" customWidth="1"/>
    <col min="4397" max="4397" width="80.7109375" style="18" customWidth="1"/>
    <col min="4398" max="4398" width="14.7109375" style="18" bestFit="1" customWidth="1"/>
    <col min="4399" max="4399" width="18.140625" style="18" bestFit="1" customWidth="1"/>
    <col min="4400" max="4400" width="16.7109375" style="18" bestFit="1" customWidth="1"/>
    <col min="4401" max="4401" width="18.5703125" style="18" bestFit="1" customWidth="1"/>
    <col min="4402" max="4402" width="21.28515625" style="18" bestFit="1" customWidth="1"/>
    <col min="4403" max="4403" width="16.28515625" style="18" bestFit="1" customWidth="1"/>
    <col min="4404" max="4404" width="21.140625" style="18" bestFit="1" customWidth="1"/>
    <col min="4405" max="4405" width="19" style="18" bestFit="1" customWidth="1"/>
    <col min="4406" max="4406" width="19.140625" style="18" customWidth="1"/>
    <col min="4407" max="4407" width="16.7109375" style="18" customWidth="1"/>
    <col min="4408" max="4408" width="21.140625" style="18" bestFit="1" customWidth="1"/>
    <col min="4409" max="4409" width="20.42578125" style="18" bestFit="1" customWidth="1"/>
    <col min="4410" max="4410" width="21.140625" style="18" customWidth="1"/>
    <col min="4411" max="4411" width="20.5703125" style="18" bestFit="1" customWidth="1"/>
    <col min="4412" max="4412" width="19.7109375" style="18" bestFit="1" customWidth="1"/>
    <col min="4413" max="4413" width="20.28515625" style="18" customWidth="1"/>
    <col min="4414" max="4414" width="20.85546875" style="18" bestFit="1" customWidth="1"/>
    <col min="4415" max="4415" width="19.5703125" style="18" bestFit="1" customWidth="1"/>
    <col min="4416" max="4416" width="18" style="18" customWidth="1"/>
    <col min="4417" max="4417" width="20" style="18" bestFit="1" customWidth="1"/>
    <col min="4418" max="4418" width="35.7109375" style="18" customWidth="1"/>
    <col min="4419" max="4419" width="21.140625" style="18" bestFit="1" customWidth="1"/>
    <col min="4420" max="4420" width="20.5703125" style="18" bestFit="1" customWidth="1"/>
    <col min="4421" max="4421" width="19.42578125" style="18" bestFit="1" customWidth="1"/>
    <col min="4422" max="4422" width="18.5703125" style="18" bestFit="1" customWidth="1"/>
    <col min="4423" max="4423" width="20.5703125" style="18" bestFit="1" customWidth="1"/>
    <col min="4424" max="4424" width="21.28515625" style="18" bestFit="1" customWidth="1"/>
    <col min="4425" max="4425" width="15.42578125" style="18" customWidth="1"/>
    <col min="4426" max="4426" width="20.7109375" style="18" customWidth="1"/>
    <col min="4427" max="4427" width="21.28515625" style="18" customWidth="1"/>
    <col min="4428" max="4428" width="14.85546875" style="18" bestFit="1" customWidth="1"/>
    <col min="4429" max="4429" width="23" style="18" bestFit="1" customWidth="1"/>
    <col min="4430" max="4430" width="21.28515625" style="18" bestFit="1" customWidth="1"/>
    <col min="4431" max="4431" width="20.28515625" style="18" bestFit="1" customWidth="1"/>
    <col min="4432" max="4432" width="21" style="18" bestFit="1" customWidth="1"/>
    <col min="4433" max="4433" width="18.85546875" style="18" bestFit="1" customWidth="1"/>
    <col min="4434" max="4434" width="80.7109375" style="18" customWidth="1"/>
    <col min="4435" max="4622" width="9.140625" style="18"/>
    <col min="4623" max="4623" width="2.5703125" style="18" customWidth="1"/>
    <col min="4624" max="4624" width="17.85546875" style="18" customWidth="1"/>
    <col min="4625" max="4625" width="41.5703125" style="18" customWidth="1"/>
    <col min="4626" max="4627" width="12" style="18" customWidth="1"/>
    <col min="4628" max="4628" width="17" style="18" customWidth="1"/>
    <col min="4629" max="4629" width="9.7109375" style="18" customWidth="1"/>
    <col min="4630" max="4630" width="12.28515625" style="18" customWidth="1"/>
    <col min="4631" max="4631" width="13.7109375" style="18" customWidth="1"/>
    <col min="4632" max="4632" width="13.5703125" style="18" bestFit="1" customWidth="1"/>
    <col min="4633" max="4633" width="13.5703125" style="18" customWidth="1"/>
    <col min="4634" max="4634" width="21" style="18" customWidth="1"/>
    <col min="4635" max="4638" width="13.42578125" style="18" customWidth="1"/>
    <col min="4639" max="4640" width="19" style="18" customWidth="1"/>
    <col min="4641" max="4641" width="34" style="18" customWidth="1"/>
    <col min="4642" max="4642" width="19" style="18" customWidth="1"/>
    <col min="4643" max="4643" width="20" style="18" bestFit="1" customWidth="1"/>
    <col min="4644" max="4644" width="20.28515625" style="18" bestFit="1" customWidth="1"/>
    <col min="4645" max="4645" width="26.7109375" style="18" customWidth="1"/>
    <col min="4646" max="4646" width="20.85546875" style="18" bestFit="1" customWidth="1"/>
    <col min="4647" max="4647" width="20.85546875" style="18" customWidth="1"/>
    <col min="4648" max="4648" width="18.85546875" style="18" customWidth="1"/>
    <col min="4649" max="4649" width="17.5703125" style="18" customWidth="1"/>
    <col min="4650" max="4651" width="19.42578125" style="18" customWidth="1"/>
    <col min="4652" max="4652" width="20.7109375" style="18" bestFit="1" customWidth="1"/>
    <col min="4653" max="4653" width="80.7109375" style="18" customWidth="1"/>
    <col min="4654" max="4654" width="14.7109375" style="18" bestFit="1" customWidth="1"/>
    <col min="4655" max="4655" width="18.140625" style="18" bestFit="1" customWidth="1"/>
    <col min="4656" max="4656" width="16.7109375" style="18" bestFit="1" customWidth="1"/>
    <col min="4657" max="4657" width="18.5703125" style="18" bestFit="1" customWidth="1"/>
    <col min="4658" max="4658" width="21.28515625" style="18" bestFit="1" customWidth="1"/>
    <col min="4659" max="4659" width="16.28515625" style="18" bestFit="1" customWidth="1"/>
    <col min="4660" max="4660" width="21.140625" style="18" bestFit="1" customWidth="1"/>
    <col min="4661" max="4661" width="19" style="18" bestFit="1" customWidth="1"/>
    <col min="4662" max="4662" width="19.140625" style="18" customWidth="1"/>
    <col min="4663" max="4663" width="16.7109375" style="18" customWidth="1"/>
    <col min="4664" max="4664" width="21.140625" style="18" bestFit="1" customWidth="1"/>
    <col min="4665" max="4665" width="20.42578125" style="18" bestFit="1" customWidth="1"/>
    <col min="4666" max="4666" width="21.140625" style="18" customWidth="1"/>
    <col min="4667" max="4667" width="20.5703125" style="18" bestFit="1" customWidth="1"/>
    <col min="4668" max="4668" width="19.7109375" style="18" bestFit="1" customWidth="1"/>
    <col min="4669" max="4669" width="20.28515625" style="18" customWidth="1"/>
    <col min="4670" max="4670" width="20.85546875" style="18" bestFit="1" customWidth="1"/>
    <col min="4671" max="4671" width="19.5703125" style="18" bestFit="1" customWidth="1"/>
    <col min="4672" max="4672" width="18" style="18" customWidth="1"/>
    <col min="4673" max="4673" width="20" style="18" bestFit="1" customWidth="1"/>
    <col min="4674" max="4674" width="35.7109375" style="18" customWidth="1"/>
    <col min="4675" max="4675" width="21.140625" style="18" bestFit="1" customWidth="1"/>
    <col min="4676" max="4676" width="20.5703125" style="18" bestFit="1" customWidth="1"/>
    <col min="4677" max="4677" width="19.42578125" style="18" bestFit="1" customWidth="1"/>
    <col min="4678" max="4678" width="18.5703125" style="18" bestFit="1" customWidth="1"/>
    <col min="4679" max="4679" width="20.5703125" style="18" bestFit="1" customWidth="1"/>
    <col min="4680" max="4680" width="21.28515625" style="18" bestFit="1" customWidth="1"/>
    <col min="4681" max="4681" width="15.42578125" style="18" customWidth="1"/>
    <col min="4682" max="4682" width="20.7109375" style="18" customWidth="1"/>
    <col min="4683" max="4683" width="21.28515625" style="18" customWidth="1"/>
    <col min="4684" max="4684" width="14.85546875" style="18" bestFit="1" customWidth="1"/>
    <col min="4685" max="4685" width="23" style="18" bestFit="1" customWidth="1"/>
    <col min="4686" max="4686" width="21.28515625" style="18" bestFit="1" customWidth="1"/>
    <col min="4687" max="4687" width="20.28515625" style="18" bestFit="1" customWidth="1"/>
    <col min="4688" max="4688" width="21" style="18" bestFit="1" customWidth="1"/>
    <col min="4689" max="4689" width="18.85546875" style="18" bestFit="1" customWidth="1"/>
    <col min="4690" max="4690" width="80.7109375" style="18" customWidth="1"/>
    <col min="4691" max="4878" width="9.140625" style="18"/>
    <col min="4879" max="4879" width="2.5703125" style="18" customWidth="1"/>
    <col min="4880" max="4880" width="17.85546875" style="18" customWidth="1"/>
    <col min="4881" max="4881" width="41.5703125" style="18" customWidth="1"/>
    <col min="4882" max="4883" width="12" style="18" customWidth="1"/>
    <col min="4884" max="4884" width="17" style="18" customWidth="1"/>
    <col min="4885" max="4885" width="9.7109375" style="18" customWidth="1"/>
    <col min="4886" max="4886" width="12.28515625" style="18" customWidth="1"/>
    <col min="4887" max="4887" width="13.7109375" style="18" customWidth="1"/>
    <col min="4888" max="4888" width="13.5703125" style="18" bestFit="1" customWidth="1"/>
    <col min="4889" max="4889" width="13.5703125" style="18" customWidth="1"/>
    <col min="4890" max="4890" width="21" style="18" customWidth="1"/>
    <col min="4891" max="4894" width="13.42578125" style="18" customWidth="1"/>
    <col min="4895" max="4896" width="19" style="18" customWidth="1"/>
    <col min="4897" max="4897" width="34" style="18" customWidth="1"/>
    <col min="4898" max="4898" width="19" style="18" customWidth="1"/>
    <col min="4899" max="4899" width="20" style="18" bestFit="1" customWidth="1"/>
    <col min="4900" max="4900" width="20.28515625" style="18" bestFit="1" customWidth="1"/>
    <col min="4901" max="4901" width="26.7109375" style="18" customWidth="1"/>
    <col min="4902" max="4902" width="20.85546875" style="18" bestFit="1" customWidth="1"/>
    <col min="4903" max="4903" width="20.85546875" style="18" customWidth="1"/>
    <col min="4904" max="4904" width="18.85546875" style="18" customWidth="1"/>
    <col min="4905" max="4905" width="17.5703125" style="18" customWidth="1"/>
    <col min="4906" max="4907" width="19.42578125" style="18" customWidth="1"/>
    <col min="4908" max="4908" width="20.7109375" style="18" bestFit="1" customWidth="1"/>
    <col min="4909" max="4909" width="80.7109375" style="18" customWidth="1"/>
    <col min="4910" max="4910" width="14.7109375" style="18" bestFit="1" customWidth="1"/>
    <col min="4911" max="4911" width="18.140625" style="18" bestFit="1" customWidth="1"/>
    <col min="4912" max="4912" width="16.7109375" style="18" bestFit="1" customWidth="1"/>
    <col min="4913" max="4913" width="18.5703125" style="18" bestFit="1" customWidth="1"/>
    <col min="4914" max="4914" width="21.28515625" style="18" bestFit="1" customWidth="1"/>
    <col min="4915" max="4915" width="16.28515625" style="18" bestFit="1" customWidth="1"/>
    <col min="4916" max="4916" width="21.140625" style="18" bestFit="1" customWidth="1"/>
    <col min="4917" max="4917" width="19" style="18" bestFit="1" customWidth="1"/>
    <col min="4918" max="4918" width="19.140625" style="18" customWidth="1"/>
    <col min="4919" max="4919" width="16.7109375" style="18" customWidth="1"/>
    <col min="4920" max="4920" width="21.140625" style="18" bestFit="1" customWidth="1"/>
    <col min="4921" max="4921" width="20.42578125" style="18" bestFit="1" customWidth="1"/>
    <col min="4922" max="4922" width="21.140625" style="18" customWidth="1"/>
    <col min="4923" max="4923" width="20.5703125" style="18" bestFit="1" customWidth="1"/>
    <col min="4924" max="4924" width="19.7109375" style="18" bestFit="1" customWidth="1"/>
    <col min="4925" max="4925" width="20.28515625" style="18" customWidth="1"/>
    <col min="4926" max="4926" width="20.85546875" style="18" bestFit="1" customWidth="1"/>
    <col min="4927" max="4927" width="19.5703125" style="18" bestFit="1" customWidth="1"/>
    <col min="4928" max="4928" width="18" style="18" customWidth="1"/>
    <col min="4929" max="4929" width="20" style="18" bestFit="1" customWidth="1"/>
    <col min="4930" max="4930" width="35.7109375" style="18" customWidth="1"/>
    <col min="4931" max="4931" width="21.140625" style="18" bestFit="1" customWidth="1"/>
    <col min="4932" max="4932" width="20.5703125" style="18" bestFit="1" customWidth="1"/>
    <col min="4933" max="4933" width="19.42578125" style="18" bestFit="1" customWidth="1"/>
    <col min="4934" max="4934" width="18.5703125" style="18" bestFit="1" customWidth="1"/>
    <col min="4935" max="4935" width="20.5703125" style="18" bestFit="1" customWidth="1"/>
    <col min="4936" max="4936" width="21.28515625" style="18" bestFit="1" customWidth="1"/>
    <col min="4937" max="4937" width="15.42578125" style="18" customWidth="1"/>
    <col min="4938" max="4938" width="20.7109375" style="18" customWidth="1"/>
    <col min="4939" max="4939" width="21.28515625" style="18" customWidth="1"/>
    <col min="4940" max="4940" width="14.85546875" style="18" bestFit="1" customWidth="1"/>
    <col min="4941" max="4941" width="23" style="18" bestFit="1" customWidth="1"/>
    <col min="4942" max="4942" width="21.28515625" style="18" bestFit="1" customWidth="1"/>
    <col min="4943" max="4943" width="20.28515625" style="18" bestFit="1" customWidth="1"/>
    <col min="4944" max="4944" width="21" style="18" bestFit="1" customWidth="1"/>
    <col min="4945" max="4945" width="18.85546875" style="18" bestFit="1" customWidth="1"/>
    <col min="4946" max="4946" width="80.7109375" style="18" customWidth="1"/>
    <col min="4947" max="5134" width="9.140625" style="18"/>
    <col min="5135" max="5135" width="2.5703125" style="18" customWidth="1"/>
    <col min="5136" max="5136" width="17.85546875" style="18" customWidth="1"/>
    <col min="5137" max="5137" width="41.5703125" style="18" customWidth="1"/>
    <col min="5138" max="5139" width="12" style="18" customWidth="1"/>
    <col min="5140" max="5140" width="17" style="18" customWidth="1"/>
    <col min="5141" max="5141" width="9.7109375" style="18" customWidth="1"/>
    <col min="5142" max="5142" width="12.28515625" style="18" customWidth="1"/>
    <col min="5143" max="5143" width="13.7109375" style="18" customWidth="1"/>
    <col min="5144" max="5144" width="13.5703125" style="18" bestFit="1" customWidth="1"/>
    <col min="5145" max="5145" width="13.5703125" style="18" customWidth="1"/>
    <col min="5146" max="5146" width="21" style="18" customWidth="1"/>
    <col min="5147" max="5150" width="13.42578125" style="18" customWidth="1"/>
    <col min="5151" max="5152" width="19" style="18" customWidth="1"/>
    <col min="5153" max="5153" width="34" style="18" customWidth="1"/>
    <col min="5154" max="5154" width="19" style="18" customWidth="1"/>
    <col min="5155" max="5155" width="20" style="18" bestFit="1" customWidth="1"/>
    <col min="5156" max="5156" width="20.28515625" style="18" bestFit="1" customWidth="1"/>
    <col min="5157" max="5157" width="26.7109375" style="18" customWidth="1"/>
    <col min="5158" max="5158" width="20.85546875" style="18" bestFit="1" customWidth="1"/>
    <col min="5159" max="5159" width="20.85546875" style="18" customWidth="1"/>
    <col min="5160" max="5160" width="18.85546875" style="18" customWidth="1"/>
    <col min="5161" max="5161" width="17.5703125" style="18" customWidth="1"/>
    <col min="5162" max="5163" width="19.42578125" style="18" customWidth="1"/>
    <col min="5164" max="5164" width="20.7109375" style="18" bestFit="1" customWidth="1"/>
    <col min="5165" max="5165" width="80.7109375" style="18" customWidth="1"/>
    <col min="5166" max="5166" width="14.7109375" style="18" bestFit="1" customWidth="1"/>
    <col min="5167" max="5167" width="18.140625" style="18" bestFit="1" customWidth="1"/>
    <col min="5168" max="5168" width="16.7109375" style="18" bestFit="1" customWidth="1"/>
    <col min="5169" max="5169" width="18.5703125" style="18" bestFit="1" customWidth="1"/>
    <col min="5170" max="5170" width="21.28515625" style="18" bestFit="1" customWidth="1"/>
    <col min="5171" max="5171" width="16.28515625" style="18" bestFit="1" customWidth="1"/>
    <col min="5172" max="5172" width="21.140625" style="18" bestFit="1" customWidth="1"/>
    <col min="5173" max="5173" width="19" style="18" bestFit="1" customWidth="1"/>
    <col min="5174" max="5174" width="19.140625" style="18" customWidth="1"/>
    <col min="5175" max="5175" width="16.7109375" style="18" customWidth="1"/>
    <col min="5176" max="5176" width="21.140625" style="18" bestFit="1" customWidth="1"/>
    <col min="5177" max="5177" width="20.42578125" style="18" bestFit="1" customWidth="1"/>
    <col min="5178" max="5178" width="21.140625" style="18" customWidth="1"/>
    <col min="5179" max="5179" width="20.5703125" style="18" bestFit="1" customWidth="1"/>
    <col min="5180" max="5180" width="19.7109375" style="18" bestFit="1" customWidth="1"/>
    <col min="5181" max="5181" width="20.28515625" style="18" customWidth="1"/>
    <col min="5182" max="5182" width="20.85546875" style="18" bestFit="1" customWidth="1"/>
    <col min="5183" max="5183" width="19.5703125" style="18" bestFit="1" customWidth="1"/>
    <col min="5184" max="5184" width="18" style="18" customWidth="1"/>
    <col min="5185" max="5185" width="20" style="18" bestFit="1" customWidth="1"/>
    <col min="5186" max="5186" width="35.7109375" style="18" customWidth="1"/>
    <col min="5187" max="5187" width="21.140625" style="18" bestFit="1" customWidth="1"/>
    <col min="5188" max="5188" width="20.5703125" style="18" bestFit="1" customWidth="1"/>
    <col min="5189" max="5189" width="19.42578125" style="18" bestFit="1" customWidth="1"/>
    <col min="5190" max="5190" width="18.5703125" style="18" bestFit="1" customWidth="1"/>
    <col min="5191" max="5191" width="20.5703125" style="18" bestFit="1" customWidth="1"/>
    <col min="5192" max="5192" width="21.28515625" style="18" bestFit="1" customWidth="1"/>
    <col min="5193" max="5193" width="15.42578125" style="18" customWidth="1"/>
    <col min="5194" max="5194" width="20.7109375" style="18" customWidth="1"/>
    <col min="5195" max="5195" width="21.28515625" style="18" customWidth="1"/>
    <col min="5196" max="5196" width="14.85546875" style="18" bestFit="1" customWidth="1"/>
    <col min="5197" max="5197" width="23" style="18" bestFit="1" customWidth="1"/>
    <col min="5198" max="5198" width="21.28515625" style="18" bestFit="1" customWidth="1"/>
    <col min="5199" max="5199" width="20.28515625" style="18" bestFit="1" customWidth="1"/>
    <col min="5200" max="5200" width="21" style="18" bestFit="1" customWidth="1"/>
    <col min="5201" max="5201" width="18.85546875" style="18" bestFit="1" customWidth="1"/>
    <col min="5202" max="5202" width="80.7109375" style="18" customWidth="1"/>
    <col min="5203" max="5390" width="9.140625" style="18"/>
    <col min="5391" max="5391" width="2.5703125" style="18" customWidth="1"/>
    <col min="5392" max="5392" width="17.85546875" style="18" customWidth="1"/>
    <col min="5393" max="5393" width="41.5703125" style="18" customWidth="1"/>
    <col min="5394" max="5395" width="12" style="18" customWidth="1"/>
    <col min="5396" max="5396" width="17" style="18" customWidth="1"/>
    <col min="5397" max="5397" width="9.7109375" style="18" customWidth="1"/>
    <col min="5398" max="5398" width="12.28515625" style="18" customWidth="1"/>
    <col min="5399" max="5399" width="13.7109375" style="18" customWidth="1"/>
    <col min="5400" max="5400" width="13.5703125" style="18" bestFit="1" customWidth="1"/>
    <col min="5401" max="5401" width="13.5703125" style="18" customWidth="1"/>
    <col min="5402" max="5402" width="21" style="18" customWidth="1"/>
    <col min="5403" max="5406" width="13.42578125" style="18" customWidth="1"/>
    <col min="5407" max="5408" width="19" style="18" customWidth="1"/>
    <col min="5409" max="5409" width="34" style="18" customWidth="1"/>
    <col min="5410" max="5410" width="19" style="18" customWidth="1"/>
    <col min="5411" max="5411" width="20" style="18" bestFit="1" customWidth="1"/>
    <col min="5412" max="5412" width="20.28515625" style="18" bestFit="1" customWidth="1"/>
    <col min="5413" max="5413" width="26.7109375" style="18" customWidth="1"/>
    <col min="5414" max="5414" width="20.85546875" style="18" bestFit="1" customWidth="1"/>
    <col min="5415" max="5415" width="20.85546875" style="18" customWidth="1"/>
    <col min="5416" max="5416" width="18.85546875" style="18" customWidth="1"/>
    <col min="5417" max="5417" width="17.5703125" style="18" customWidth="1"/>
    <col min="5418" max="5419" width="19.42578125" style="18" customWidth="1"/>
    <col min="5420" max="5420" width="20.7109375" style="18" bestFit="1" customWidth="1"/>
    <col min="5421" max="5421" width="80.7109375" style="18" customWidth="1"/>
    <col min="5422" max="5422" width="14.7109375" style="18" bestFit="1" customWidth="1"/>
    <col min="5423" max="5423" width="18.140625" style="18" bestFit="1" customWidth="1"/>
    <col min="5424" max="5424" width="16.7109375" style="18" bestFit="1" customWidth="1"/>
    <col min="5425" max="5425" width="18.5703125" style="18" bestFit="1" customWidth="1"/>
    <col min="5426" max="5426" width="21.28515625" style="18" bestFit="1" customWidth="1"/>
    <col min="5427" max="5427" width="16.28515625" style="18" bestFit="1" customWidth="1"/>
    <col min="5428" max="5428" width="21.140625" style="18" bestFit="1" customWidth="1"/>
    <col min="5429" max="5429" width="19" style="18" bestFit="1" customWidth="1"/>
    <col min="5430" max="5430" width="19.140625" style="18" customWidth="1"/>
    <col min="5431" max="5431" width="16.7109375" style="18" customWidth="1"/>
    <col min="5432" max="5432" width="21.140625" style="18" bestFit="1" customWidth="1"/>
    <col min="5433" max="5433" width="20.42578125" style="18" bestFit="1" customWidth="1"/>
    <col min="5434" max="5434" width="21.140625" style="18" customWidth="1"/>
    <col min="5435" max="5435" width="20.5703125" style="18" bestFit="1" customWidth="1"/>
    <col min="5436" max="5436" width="19.7109375" style="18" bestFit="1" customWidth="1"/>
    <col min="5437" max="5437" width="20.28515625" style="18" customWidth="1"/>
    <col min="5438" max="5438" width="20.85546875" style="18" bestFit="1" customWidth="1"/>
    <col min="5439" max="5439" width="19.5703125" style="18" bestFit="1" customWidth="1"/>
    <col min="5440" max="5440" width="18" style="18" customWidth="1"/>
    <col min="5441" max="5441" width="20" style="18" bestFit="1" customWidth="1"/>
    <col min="5442" max="5442" width="35.7109375" style="18" customWidth="1"/>
    <col min="5443" max="5443" width="21.140625" style="18" bestFit="1" customWidth="1"/>
    <col min="5444" max="5444" width="20.5703125" style="18" bestFit="1" customWidth="1"/>
    <col min="5445" max="5445" width="19.42578125" style="18" bestFit="1" customWidth="1"/>
    <col min="5446" max="5446" width="18.5703125" style="18" bestFit="1" customWidth="1"/>
    <col min="5447" max="5447" width="20.5703125" style="18" bestFit="1" customWidth="1"/>
    <col min="5448" max="5448" width="21.28515625" style="18" bestFit="1" customWidth="1"/>
    <col min="5449" max="5449" width="15.42578125" style="18" customWidth="1"/>
    <col min="5450" max="5450" width="20.7109375" style="18" customWidth="1"/>
    <col min="5451" max="5451" width="21.28515625" style="18" customWidth="1"/>
    <col min="5452" max="5452" width="14.85546875" style="18" bestFit="1" customWidth="1"/>
    <col min="5453" max="5453" width="23" style="18" bestFit="1" customWidth="1"/>
    <col min="5454" max="5454" width="21.28515625" style="18" bestFit="1" customWidth="1"/>
    <col min="5455" max="5455" width="20.28515625" style="18" bestFit="1" customWidth="1"/>
    <col min="5456" max="5456" width="21" style="18" bestFit="1" customWidth="1"/>
    <col min="5457" max="5457" width="18.85546875" style="18" bestFit="1" customWidth="1"/>
    <col min="5458" max="5458" width="80.7109375" style="18" customWidth="1"/>
    <col min="5459" max="5646" width="9.140625" style="18"/>
    <col min="5647" max="5647" width="2.5703125" style="18" customWidth="1"/>
    <col min="5648" max="5648" width="17.85546875" style="18" customWidth="1"/>
    <col min="5649" max="5649" width="41.5703125" style="18" customWidth="1"/>
    <col min="5650" max="5651" width="12" style="18" customWidth="1"/>
    <col min="5652" max="5652" width="17" style="18" customWidth="1"/>
    <col min="5653" max="5653" width="9.7109375" style="18" customWidth="1"/>
    <col min="5654" max="5654" width="12.28515625" style="18" customWidth="1"/>
    <col min="5655" max="5655" width="13.7109375" style="18" customWidth="1"/>
    <col min="5656" max="5656" width="13.5703125" style="18" bestFit="1" customWidth="1"/>
    <col min="5657" max="5657" width="13.5703125" style="18" customWidth="1"/>
    <col min="5658" max="5658" width="21" style="18" customWidth="1"/>
    <col min="5659" max="5662" width="13.42578125" style="18" customWidth="1"/>
    <col min="5663" max="5664" width="19" style="18" customWidth="1"/>
    <col min="5665" max="5665" width="34" style="18" customWidth="1"/>
    <col min="5666" max="5666" width="19" style="18" customWidth="1"/>
    <col min="5667" max="5667" width="20" style="18" bestFit="1" customWidth="1"/>
    <col min="5668" max="5668" width="20.28515625" style="18" bestFit="1" customWidth="1"/>
    <col min="5669" max="5669" width="26.7109375" style="18" customWidth="1"/>
    <col min="5670" max="5670" width="20.85546875" style="18" bestFit="1" customWidth="1"/>
    <col min="5671" max="5671" width="20.85546875" style="18" customWidth="1"/>
    <col min="5672" max="5672" width="18.85546875" style="18" customWidth="1"/>
    <col min="5673" max="5673" width="17.5703125" style="18" customWidth="1"/>
    <col min="5674" max="5675" width="19.42578125" style="18" customWidth="1"/>
    <col min="5676" max="5676" width="20.7109375" style="18" bestFit="1" customWidth="1"/>
    <col min="5677" max="5677" width="80.7109375" style="18" customWidth="1"/>
    <col min="5678" max="5678" width="14.7109375" style="18" bestFit="1" customWidth="1"/>
    <col min="5679" max="5679" width="18.140625" style="18" bestFit="1" customWidth="1"/>
    <col min="5680" max="5680" width="16.7109375" style="18" bestFit="1" customWidth="1"/>
    <col min="5681" max="5681" width="18.5703125" style="18" bestFit="1" customWidth="1"/>
    <col min="5682" max="5682" width="21.28515625" style="18" bestFit="1" customWidth="1"/>
    <col min="5683" max="5683" width="16.28515625" style="18" bestFit="1" customWidth="1"/>
    <col min="5684" max="5684" width="21.140625" style="18" bestFit="1" customWidth="1"/>
    <col min="5685" max="5685" width="19" style="18" bestFit="1" customWidth="1"/>
    <col min="5686" max="5686" width="19.140625" style="18" customWidth="1"/>
    <col min="5687" max="5687" width="16.7109375" style="18" customWidth="1"/>
    <col min="5688" max="5688" width="21.140625" style="18" bestFit="1" customWidth="1"/>
    <col min="5689" max="5689" width="20.42578125" style="18" bestFit="1" customWidth="1"/>
    <col min="5690" max="5690" width="21.140625" style="18" customWidth="1"/>
    <col min="5691" max="5691" width="20.5703125" style="18" bestFit="1" customWidth="1"/>
    <col min="5692" max="5692" width="19.7109375" style="18" bestFit="1" customWidth="1"/>
    <col min="5693" max="5693" width="20.28515625" style="18" customWidth="1"/>
    <col min="5694" max="5694" width="20.85546875" style="18" bestFit="1" customWidth="1"/>
    <col min="5695" max="5695" width="19.5703125" style="18" bestFit="1" customWidth="1"/>
    <col min="5696" max="5696" width="18" style="18" customWidth="1"/>
    <col min="5697" max="5697" width="20" style="18" bestFit="1" customWidth="1"/>
    <col min="5698" max="5698" width="35.7109375" style="18" customWidth="1"/>
    <col min="5699" max="5699" width="21.140625" style="18" bestFit="1" customWidth="1"/>
    <col min="5700" max="5700" width="20.5703125" style="18" bestFit="1" customWidth="1"/>
    <col min="5701" max="5701" width="19.42578125" style="18" bestFit="1" customWidth="1"/>
    <col min="5702" max="5702" width="18.5703125" style="18" bestFit="1" customWidth="1"/>
    <col min="5703" max="5703" width="20.5703125" style="18" bestFit="1" customWidth="1"/>
    <col min="5704" max="5704" width="21.28515625" style="18" bestFit="1" customWidth="1"/>
    <col min="5705" max="5705" width="15.42578125" style="18" customWidth="1"/>
    <col min="5706" max="5706" width="20.7109375" style="18" customWidth="1"/>
    <col min="5707" max="5707" width="21.28515625" style="18" customWidth="1"/>
    <col min="5708" max="5708" width="14.85546875" style="18" bestFit="1" customWidth="1"/>
    <col min="5709" max="5709" width="23" style="18" bestFit="1" customWidth="1"/>
    <col min="5710" max="5710" width="21.28515625" style="18" bestFit="1" customWidth="1"/>
    <col min="5711" max="5711" width="20.28515625" style="18" bestFit="1" customWidth="1"/>
    <col min="5712" max="5712" width="21" style="18" bestFit="1" customWidth="1"/>
    <col min="5713" max="5713" width="18.85546875" style="18" bestFit="1" customWidth="1"/>
    <col min="5714" max="5714" width="80.7109375" style="18" customWidth="1"/>
    <col min="5715" max="5902" width="9.140625" style="18"/>
    <col min="5903" max="5903" width="2.5703125" style="18" customWidth="1"/>
    <col min="5904" max="5904" width="17.85546875" style="18" customWidth="1"/>
    <col min="5905" max="5905" width="41.5703125" style="18" customWidth="1"/>
    <col min="5906" max="5907" width="12" style="18" customWidth="1"/>
    <col min="5908" max="5908" width="17" style="18" customWidth="1"/>
    <col min="5909" max="5909" width="9.7109375" style="18" customWidth="1"/>
    <col min="5910" max="5910" width="12.28515625" style="18" customWidth="1"/>
    <col min="5911" max="5911" width="13.7109375" style="18" customWidth="1"/>
    <col min="5912" max="5912" width="13.5703125" style="18" bestFit="1" customWidth="1"/>
    <col min="5913" max="5913" width="13.5703125" style="18" customWidth="1"/>
    <col min="5914" max="5914" width="21" style="18" customWidth="1"/>
    <col min="5915" max="5918" width="13.42578125" style="18" customWidth="1"/>
    <col min="5919" max="5920" width="19" style="18" customWidth="1"/>
    <col min="5921" max="5921" width="34" style="18" customWidth="1"/>
    <col min="5922" max="5922" width="19" style="18" customWidth="1"/>
    <col min="5923" max="5923" width="20" style="18" bestFit="1" customWidth="1"/>
    <col min="5924" max="5924" width="20.28515625" style="18" bestFit="1" customWidth="1"/>
    <col min="5925" max="5925" width="26.7109375" style="18" customWidth="1"/>
    <col min="5926" max="5926" width="20.85546875" style="18" bestFit="1" customWidth="1"/>
    <col min="5927" max="5927" width="20.85546875" style="18" customWidth="1"/>
    <col min="5928" max="5928" width="18.85546875" style="18" customWidth="1"/>
    <col min="5929" max="5929" width="17.5703125" style="18" customWidth="1"/>
    <col min="5930" max="5931" width="19.42578125" style="18" customWidth="1"/>
    <col min="5932" max="5932" width="20.7109375" style="18" bestFit="1" customWidth="1"/>
    <col min="5933" max="5933" width="80.7109375" style="18" customWidth="1"/>
    <col min="5934" max="5934" width="14.7109375" style="18" bestFit="1" customWidth="1"/>
    <col min="5935" max="5935" width="18.140625" style="18" bestFit="1" customWidth="1"/>
    <col min="5936" max="5936" width="16.7109375" style="18" bestFit="1" customWidth="1"/>
    <col min="5937" max="5937" width="18.5703125" style="18" bestFit="1" customWidth="1"/>
    <col min="5938" max="5938" width="21.28515625" style="18" bestFit="1" customWidth="1"/>
    <col min="5939" max="5939" width="16.28515625" style="18" bestFit="1" customWidth="1"/>
    <col min="5940" max="5940" width="21.140625" style="18" bestFit="1" customWidth="1"/>
    <col min="5941" max="5941" width="19" style="18" bestFit="1" customWidth="1"/>
    <col min="5942" max="5942" width="19.140625" style="18" customWidth="1"/>
    <col min="5943" max="5943" width="16.7109375" style="18" customWidth="1"/>
    <col min="5944" max="5944" width="21.140625" style="18" bestFit="1" customWidth="1"/>
    <col min="5945" max="5945" width="20.42578125" style="18" bestFit="1" customWidth="1"/>
    <col min="5946" max="5946" width="21.140625" style="18" customWidth="1"/>
    <col min="5947" max="5947" width="20.5703125" style="18" bestFit="1" customWidth="1"/>
    <col min="5948" max="5948" width="19.7109375" style="18" bestFit="1" customWidth="1"/>
    <col min="5949" max="5949" width="20.28515625" style="18" customWidth="1"/>
    <col min="5950" max="5950" width="20.85546875" style="18" bestFit="1" customWidth="1"/>
    <col min="5951" max="5951" width="19.5703125" style="18" bestFit="1" customWidth="1"/>
    <col min="5952" max="5952" width="18" style="18" customWidth="1"/>
    <col min="5953" max="5953" width="20" style="18" bestFit="1" customWidth="1"/>
    <col min="5954" max="5954" width="35.7109375" style="18" customWidth="1"/>
    <col min="5955" max="5955" width="21.140625" style="18" bestFit="1" customWidth="1"/>
    <col min="5956" max="5956" width="20.5703125" style="18" bestFit="1" customWidth="1"/>
    <col min="5957" max="5957" width="19.42578125" style="18" bestFit="1" customWidth="1"/>
    <col min="5958" max="5958" width="18.5703125" style="18" bestFit="1" customWidth="1"/>
    <col min="5959" max="5959" width="20.5703125" style="18" bestFit="1" customWidth="1"/>
    <col min="5960" max="5960" width="21.28515625" style="18" bestFit="1" customWidth="1"/>
    <col min="5961" max="5961" width="15.42578125" style="18" customWidth="1"/>
    <col min="5962" max="5962" width="20.7109375" style="18" customWidth="1"/>
    <col min="5963" max="5963" width="21.28515625" style="18" customWidth="1"/>
    <col min="5964" max="5964" width="14.85546875" style="18" bestFit="1" customWidth="1"/>
    <col min="5965" max="5965" width="23" style="18" bestFit="1" customWidth="1"/>
    <col min="5966" max="5966" width="21.28515625" style="18" bestFit="1" customWidth="1"/>
    <col min="5967" max="5967" width="20.28515625" style="18" bestFit="1" customWidth="1"/>
    <col min="5968" max="5968" width="21" style="18" bestFit="1" customWidth="1"/>
    <col min="5969" max="5969" width="18.85546875" style="18" bestFit="1" customWidth="1"/>
    <col min="5970" max="5970" width="80.7109375" style="18" customWidth="1"/>
    <col min="5971" max="6158" width="9.140625" style="18"/>
    <col min="6159" max="6159" width="2.5703125" style="18" customWidth="1"/>
    <col min="6160" max="6160" width="17.85546875" style="18" customWidth="1"/>
    <col min="6161" max="6161" width="41.5703125" style="18" customWidth="1"/>
    <col min="6162" max="6163" width="12" style="18" customWidth="1"/>
    <col min="6164" max="6164" width="17" style="18" customWidth="1"/>
    <col min="6165" max="6165" width="9.7109375" style="18" customWidth="1"/>
    <col min="6166" max="6166" width="12.28515625" style="18" customWidth="1"/>
    <col min="6167" max="6167" width="13.7109375" style="18" customWidth="1"/>
    <col min="6168" max="6168" width="13.5703125" style="18" bestFit="1" customWidth="1"/>
    <col min="6169" max="6169" width="13.5703125" style="18" customWidth="1"/>
    <col min="6170" max="6170" width="21" style="18" customWidth="1"/>
    <col min="6171" max="6174" width="13.42578125" style="18" customWidth="1"/>
    <col min="6175" max="6176" width="19" style="18" customWidth="1"/>
    <col min="6177" max="6177" width="34" style="18" customWidth="1"/>
    <col min="6178" max="6178" width="19" style="18" customWidth="1"/>
    <col min="6179" max="6179" width="20" style="18" bestFit="1" customWidth="1"/>
    <col min="6180" max="6180" width="20.28515625" style="18" bestFit="1" customWidth="1"/>
    <col min="6181" max="6181" width="26.7109375" style="18" customWidth="1"/>
    <col min="6182" max="6182" width="20.85546875" style="18" bestFit="1" customWidth="1"/>
    <col min="6183" max="6183" width="20.85546875" style="18" customWidth="1"/>
    <col min="6184" max="6184" width="18.85546875" style="18" customWidth="1"/>
    <col min="6185" max="6185" width="17.5703125" style="18" customWidth="1"/>
    <col min="6186" max="6187" width="19.42578125" style="18" customWidth="1"/>
    <col min="6188" max="6188" width="20.7109375" style="18" bestFit="1" customWidth="1"/>
    <col min="6189" max="6189" width="80.7109375" style="18" customWidth="1"/>
    <col min="6190" max="6190" width="14.7109375" style="18" bestFit="1" customWidth="1"/>
    <col min="6191" max="6191" width="18.140625" style="18" bestFit="1" customWidth="1"/>
    <col min="6192" max="6192" width="16.7109375" style="18" bestFit="1" customWidth="1"/>
    <col min="6193" max="6193" width="18.5703125" style="18" bestFit="1" customWidth="1"/>
    <col min="6194" max="6194" width="21.28515625" style="18" bestFit="1" customWidth="1"/>
    <col min="6195" max="6195" width="16.28515625" style="18" bestFit="1" customWidth="1"/>
    <col min="6196" max="6196" width="21.140625" style="18" bestFit="1" customWidth="1"/>
    <col min="6197" max="6197" width="19" style="18" bestFit="1" customWidth="1"/>
    <col min="6198" max="6198" width="19.140625" style="18" customWidth="1"/>
    <col min="6199" max="6199" width="16.7109375" style="18" customWidth="1"/>
    <col min="6200" max="6200" width="21.140625" style="18" bestFit="1" customWidth="1"/>
    <col min="6201" max="6201" width="20.42578125" style="18" bestFit="1" customWidth="1"/>
    <col min="6202" max="6202" width="21.140625" style="18" customWidth="1"/>
    <col min="6203" max="6203" width="20.5703125" style="18" bestFit="1" customWidth="1"/>
    <col min="6204" max="6204" width="19.7109375" style="18" bestFit="1" customWidth="1"/>
    <col min="6205" max="6205" width="20.28515625" style="18" customWidth="1"/>
    <col min="6206" max="6206" width="20.85546875" style="18" bestFit="1" customWidth="1"/>
    <col min="6207" max="6207" width="19.5703125" style="18" bestFit="1" customWidth="1"/>
    <col min="6208" max="6208" width="18" style="18" customWidth="1"/>
    <col min="6209" max="6209" width="20" style="18" bestFit="1" customWidth="1"/>
    <col min="6210" max="6210" width="35.7109375" style="18" customWidth="1"/>
    <col min="6211" max="6211" width="21.140625" style="18" bestFit="1" customWidth="1"/>
    <col min="6212" max="6212" width="20.5703125" style="18" bestFit="1" customWidth="1"/>
    <col min="6213" max="6213" width="19.42578125" style="18" bestFit="1" customWidth="1"/>
    <col min="6214" max="6214" width="18.5703125" style="18" bestFit="1" customWidth="1"/>
    <col min="6215" max="6215" width="20.5703125" style="18" bestFit="1" customWidth="1"/>
    <col min="6216" max="6216" width="21.28515625" style="18" bestFit="1" customWidth="1"/>
    <col min="6217" max="6217" width="15.42578125" style="18" customWidth="1"/>
    <col min="6218" max="6218" width="20.7109375" style="18" customWidth="1"/>
    <col min="6219" max="6219" width="21.28515625" style="18" customWidth="1"/>
    <col min="6220" max="6220" width="14.85546875" style="18" bestFit="1" customWidth="1"/>
    <col min="6221" max="6221" width="23" style="18" bestFit="1" customWidth="1"/>
    <col min="6222" max="6222" width="21.28515625" style="18" bestFit="1" customWidth="1"/>
    <col min="6223" max="6223" width="20.28515625" style="18" bestFit="1" customWidth="1"/>
    <col min="6224" max="6224" width="21" style="18" bestFit="1" customWidth="1"/>
    <col min="6225" max="6225" width="18.85546875" style="18" bestFit="1" customWidth="1"/>
    <col min="6226" max="6226" width="80.7109375" style="18" customWidth="1"/>
    <col min="6227" max="6414" width="9.140625" style="18"/>
    <col min="6415" max="6415" width="2.5703125" style="18" customWidth="1"/>
    <col min="6416" max="6416" width="17.85546875" style="18" customWidth="1"/>
    <col min="6417" max="6417" width="41.5703125" style="18" customWidth="1"/>
    <col min="6418" max="6419" width="12" style="18" customWidth="1"/>
    <col min="6420" max="6420" width="17" style="18" customWidth="1"/>
    <col min="6421" max="6421" width="9.7109375" style="18" customWidth="1"/>
    <col min="6422" max="6422" width="12.28515625" style="18" customWidth="1"/>
    <col min="6423" max="6423" width="13.7109375" style="18" customWidth="1"/>
    <col min="6424" max="6424" width="13.5703125" style="18" bestFit="1" customWidth="1"/>
    <col min="6425" max="6425" width="13.5703125" style="18" customWidth="1"/>
    <col min="6426" max="6426" width="21" style="18" customWidth="1"/>
    <col min="6427" max="6430" width="13.42578125" style="18" customWidth="1"/>
    <col min="6431" max="6432" width="19" style="18" customWidth="1"/>
    <col min="6433" max="6433" width="34" style="18" customWidth="1"/>
    <col min="6434" max="6434" width="19" style="18" customWidth="1"/>
    <col min="6435" max="6435" width="20" style="18" bestFit="1" customWidth="1"/>
    <col min="6436" max="6436" width="20.28515625" style="18" bestFit="1" customWidth="1"/>
    <col min="6437" max="6437" width="26.7109375" style="18" customWidth="1"/>
    <col min="6438" max="6438" width="20.85546875" style="18" bestFit="1" customWidth="1"/>
    <col min="6439" max="6439" width="20.85546875" style="18" customWidth="1"/>
    <col min="6440" max="6440" width="18.85546875" style="18" customWidth="1"/>
    <col min="6441" max="6441" width="17.5703125" style="18" customWidth="1"/>
    <col min="6442" max="6443" width="19.42578125" style="18" customWidth="1"/>
    <col min="6444" max="6444" width="20.7109375" style="18" bestFit="1" customWidth="1"/>
    <col min="6445" max="6445" width="80.7109375" style="18" customWidth="1"/>
    <col min="6446" max="6446" width="14.7109375" style="18" bestFit="1" customWidth="1"/>
    <col min="6447" max="6447" width="18.140625" style="18" bestFit="1" customWidth="1"/>
    <col min="6448" max="6448" width="16.7109375" style="18" bestFit="1" customWidth="1"/>
    <col min="6449" max="6449" width="18.5703125" style="18" bestFit="1" customWidth="1"/>
    <col min="6450" max="6450" width="21.28515625" style="18" bestFit="1" customWidth="1"/>
    <col min="6451" max="6451" width="16.28515625" style="18" bestFit="1" customWidth="1"/>
    <col min="6452" max="6452" width="21.140625" style="18" bestFit="1" customWidth="1"/>
    <col min="6453" max="6453" width="19" style="18" bestFit="1" customWidth="1"/>
    <col min="6454" max="6454" width="19.140625" style="18" customWidth="1"/>
    <col min="6455" max="6455" width="16.7109375" style="18" customWidth="1"/>
    <col min="6456" max="6456" width="21.140625" style="18" bestFit="1" customWidth="1"/>
    <col min="6457" max="6457" width="20.42578125" style="18" bestFit="1" customWidth="1"/>
    <col min="6458" max="6458" width="21.140625" style="18" customWidth="1"/>
    <col min="6459" max="6459" width="20.5703125" style="18" bestFit="1" customWidth="1"/>
    <col min="6460" max="6460" width="19.7109375" style="18" bestFit="1" customWidth="1"/>
    <col min="6461" max="6461" width="20.28515625" style="18" customWidth="1"/>
    <col min="6462" max="6462" width="20.85546875" style="18" bestFit="1" customWidth="1"/>
    <col min="6463" max="6463" width="19.5703125" style="18" bestFit="1" customWidth="1"/>
    <col min="6464" max="6464" width="18" style="18" customWidth="1"/>
    <col min="6465" max="6465" width="20" style="18" bestFit="1" customWidth="1"/>
    <col min="6466" max="6466" width="35.7109375" style="18" customWidth="1"/>
    <col min="6467" max="6467" width="21.140625" style="18" bestFit="1" customWidth="1"/>
    <col min="6468" max="6468" width="20.5703125" style="18" bestFit="1" customWidth="1"/>
    <col min="6469" max="6469" width="19.42578125" style="18" bestFit="1" customWidth="1"/>
    <col min="6470" max="6470" width="18.5703125" style="18" bestFit="1" customWidth="1"/>
    <col min="6471" max="6471" width="20.5703125" style="18" bestFit="1" customWidth="1"/>
    <col min="6472" max="6472" width="21.28515625" style="18" bestFit="1" customWidth="1"/>
    <col min="6473" max="6473" width="15.42578125" style="18" customWidth="1"/>
    <col min="6474" max="6474" width="20.7109375" style="18" customWidth="1"/>
    <col min="6475" max="6475" width="21.28515625" style="18" customWidth="1"/>
    <col min="6476" max="6476" width="14.85546875" style="18" bestFit="1" customWidth="1"/>
    <col min="6477" max="6477" width="23" style="18" bestFit="1" customWidth="1"/>
    <col min="6478" max="6478" width="21.28515625" style="18" bestFit="1" customWidth="1"/>
    <col min="6479" max="6479" width="20.28515625" style="18" bestFit="1" customWidth="1"/>
    <col min="6480" max="6480" width="21" style="18" bestFit="1" customWidth="1"/>
    <col min="6481" max="6481" width="18.85546875" style="18" bestFit="1" customWidth="1"/>
    <col min="6482" max="6482" width="80.7109375" style="18" customWidth="1"/>
    <col min="6483" max="6670" width="9.140625" style="18"/>
    <col min="6671" max="6671" width="2.5703125" style="18" customWidth="1"/>
    <col min="6672" max="6672" width="17.85546875" style="18" customWidth="1"/>
    <col min="6673" max="6673" width="41.5703125" style="18" customWidth="1"/>
    <col min="6674" max="6675" width="12" style="18" customWidth="1"/>
    <col min="6676" max="6676" width="17" style="18" customWidth="1"/>
    <col min="6677" max="6677" width="9.7109375" style="18" customWidth="1"/>
    <col min="6678" max="6678" width="12.28515625" style="18" customWidth="1"/>
    <col min="6679" max="6679" width="13.7109375" style="18" customWidth="1"/>
    <col min="6680" max="6680" width="13.5703125" style="18" bestFit="1" customWidth="1"/>
    <col min="6681" max="6681" width="13.5703125" style="18" customWidth="1"/>
    <col min="6682" max="6682" width="21" style="18" customWidth="1"/>
    <col min="6683" max="6686" width="13.42578125" style="18" customWidth="1"/>
    <col min="6687" max="6688" width="19" style="18" customWidth="1"/>
    <col min="6689" max="6689" width="34" style="18" customWidth="1"/>
    <col min="6690" max="6690" width="19" style="18" customWidth="1"/>
    <col min="6691" max="6691" width="20" style="18" bestFit="1" customWidth="1"/>
    <col min="6692" max="6692" width="20.28515625" style="18" bestFit="1" customWidth="1"/>
    <col min="6693" max="6693" width="26.7109375" style="18" customWidth="1"/>
    <col min="6694" max="6694" width="20.85546875" style="18" bestFit="1" customWidth="1"/>
    <col min="6695" max="6695" width="20.85546875" style="18" customWidth="1"/>
    <col min="6696" max="6696" width="18.85546875" style="18" customWidth="1"/>
    <col min="6697" max="6697" width="17.5703125" style="18" customWidth="1"/>
    <col min="6698" max="6699" width="19.42578125" style="18" customWidth="1"/>
    <col min="6700" max="6700" width="20.7109375" style="18" bestFit="1" customWidth="1"/>
    <col min="6701" max="6701" width="80.7109375" style="18" customWidth="1"/>
    <col min="6702" max="6702" width="14.7109375" style="18" bestFit="1" customWidth="1"/>
    <col min="6703" max="6703" width="18.140625" style="18" bestFit="1" customWidth="1"/>
    <col min="6704" max="6704" width="16.7109375" style="18" bestFit="1" customWidth="1"/>
    <col min="6705" max="6705" width="18.5703125" style="18" bestFit="1" customWidth="1"/>
    <col min="6706" max="6706" width="21.28515625" style="18" bestFit="1" customWidth="1"/>
    <col min="6707" max="6707" width="16.28515625" style="18" bestFit="1" customWidth="1"/>
    <col min="6708" max="6708" width="21.140625" style="18" bestFit="1" customWidth="1"/>
    <col min="6709" max="6709" width="19" style="18" bestFit="1" customWidth="1"/>
    <col min="6710" max="6710" width="19.140625" style="18" customWidth="1"/>
    <col min="6711" max="6711" width="16.7109375" style="18" customWidth="1"/>
    <col min="6712" max="6712" width="21.140625" style="18" bestFit="1" customWidth="1"/>
    <col min="6713" max="6713" width="20.42578125" style="18" bestFit="1" customWidth="1"/>
    <col min="6714" max="6714" width="21.140625" style="18" customWidth="1"/>
    <col min="6715" max="6715" width="20.5703125" style="18" bestFit="1" customWidth="1"/>
    <col min="6716" max="6716" width="19.7109375" style="18" bestFit="1" customWidth="1"/>
    <col min="6717" max="6717" width="20.28515625" style="18" customWidth="1"/>
    <col min="6718" max="6718" width="20.85546875" style="18" bestFit="1" customWidth="1"/>
    <col min="6719" max="6719" width="19.5703125" style="18" bestFit="1" customWidth="1"/>
    <col min="6720" max="6720" width="18" style="18" customWidth="1"/>
    <col min="6721" max="6721" width="20" style="18" bestFit="1" customWidth="1"/>
    <col min="6722" max="6722" width="35.7109375" style="18" customWidth="1"/>
    <col min="6723" max="6723" width="21.140625" style="18" bestFit="1" customWidth="1"/>
    <col min="6724" max="6724" width="20.5703125" style="18" bestFit="1" customWidth="1"/>
    <col min="6725" max="6725" width="19.42578125" style="18" bestFit="1" customWidth="1"/>
    <col min="6726" max="6726" width="18.5703125" style="18" bestFit="1" customWidth="1"/>
    <col min="6727" max="6727" width="20.5703125" style="18" bestFit="1" customWidth="1"/>
    <col min="6728" max="6728" width="21.28515625" style="18" bestFit="1" customWidth="1"/>
    <col min="6729" max="6729" width="15.42578125" style="18" customWidth="1"/>
    <col min="6730" max="6730" width="20.7109375" style="18" customWidth="1"/>
    <col min="6731" max="6731" width="21.28515625" style="18" customWidth="1"/>
    <col min="6732" max="6732" width="14.85546875" style="18" bestFit="1" customWidth="1"/>
    <col min="6733" max="6733" width="23" style="18" bestFit="1" customWidth="1"/>
    <col min="6734" max="6734" width="21.28515625" style="18" bestFit="1" customWidth="1"/>
    <col min="6735" max="6735" width="20.28515625" style="18" bestFit="1" customWidth="1"/>
    <col min="6736" max="6736" width="21" style="18" bestFit="1" customWidth="1"/>
    <col min="6737" max="6737" width="18.85546875" style="18" bestFit="1" customWidth="1"/>
    <col min="6738" max="6738" width="80.7109375" style="18" customWidth="1"/>
    <col min="6739" max="6926" width="9.140625" style="18"/>
    <col min="6927" max="6927" width="2.5703125" style="18" customWidth="1"/>
    <col min="6928" max="6928" width="17.85546875" style="18" customWidth="1"/>
    <col min="6929" max="6929" width="41.5703125" style="18" customWidth="1"/>
    <col min="6930" max="6931" width="12" style="18" customWidth="1"/>
    <col min="6932" max="6932" width="17" style="18" customWidth="1"/>
    <col min="6933" max="6933" width="9.7109375" style="18" customWidth="1"/>
    <col min="6934" max="6934" width="12.28515625" style="18" customWidth="1"/>
    <col min="6935" max="6935" width="13.7109375" style="18" customWidth="1"/>
    <col min="6936" max="6936" width="13.5703125" style="18" bestFit="1" customWidth="1"/>
    <col min="6937" max="6937" width="13.5703125" style="18" customWidth="1"/>
    <col min="6938" max="6938" width="21" style="18" customWidth="1"/>
    <col min="6939" max="6942" width="13.42578125" style="18" customWidth="1"/>
    <col min="6943" max="6944" width="19" style="18" customWidth="1"/>
    <col min="6945" max="6945" width="34" style="18" customWidth="1"/>
    <col min="6946" max="6946" width="19" style="18" customWidth="1"/>
    <col min="6947" max="6947" width="20" style="18" bestFit="1" customWidth="1"/>
    <col min="6948" max="6948" width="20.28515625" style="18" bestFit="1" customWidth="1"/>
    <col min="6949" max="6949" width="26.7109375" style="18" customWidth="1"/>
    <col min="6950" max="6950" width="20.85546875" style="18" bestFit="1" customWidth="1"/>
    <col min="6951" max="6951" width="20.85546875" style="18" customWidth="1"/>
    <col min="6952" max="6952" width="18.85546875" style="18" customWidth="1"/>
    <col min="6953" max="6953" width="17.5703125" style="18" customWidth="1"/>
    <col min="6954" max="6955" width="19.42578125" style="18" customWidth="1"/>
    <col min="6956" max="6956" width="20.7109375" style="18" bestFit="1" customWidth="1"/>
    <col min="6957" max="6957" width="80.7109375" style="18" customWidth="1"/>
    <col min="6958" max="6958" width="14.7109375" style="18" bestFit="1" customWidth="1"/>
    <col min="6959" max="6959" width="18.140625" style="18" bestFit="1" customWidth="1"/>
    <col min="6960" max="6960" width="16.7109375" style="18" bestFit="1" customWidth="1"/>
    <col min="6961" max="6961" width="18.5703125" style="18" bestFit="1" customWidth="1"/>
    <col min="6962" max="6962" width="21.28515625" style="18" bestFit="1" customWidth="1"/>
    <col min="6963" max="6963" width="16.28515625" style="18" bestFit="1" customWidth="1"/>
    <col min="6964" max="6964" width="21.140625" style="18" bestFit="1" customWidth="1"/>
    <col min="6965" max="6965" width="19" style="18" bestFit="1" customWidth="1"/>
    <col min="6966" max="6966" width="19.140625" style="18" customWidth="1"/>
    <col min="6967" max="6967" width="16.7109375" style="18" customWidth="1"/>
    <col min="6968" max="6968" width="21.140625" style="18" bestFit="1" customWidth="1"/>
    <col min="6969" max="6969" width="20.42578125" style="18" bestFit="1" customWidth="1"/>
    <col min="6970" max="6970" width="21.140625" style="18" customWidth="1"/>
    <col min="6971" max="6971" width="20.5703125" style="18" bestFit="1" customWidth="1"/>
    <col min="6972" max="6972" width="19.7109375" style="18" bestFit="1" customWidth="1"/>
    <col min="6973" max="6973" width="20.28515625" style="18" customWidth="1"/>
    <col min="6974" max="6974" width="20.85546875" style="18" bestFit="1" customWidth="1"/>
    <col min="6975" max="6975" width="19.5703125" style="18" bestFit="1" customWidth="1"/>
    <col min="6976" max="6976" width="18" style="18" customWidth="1"/>
    <col min="6977" max="6977" width="20" style="18" bestFit="1" customWidth="1"/>
    <col min="6978" max="6978" width="35.7109375" style="18" customWidth="1"/>
    <col min="6979" max="6979" width="21.140625" style="18" bestFit="1" customWidth="1"/>
    <col min="6980" max="6980" width="20.5703125" style="18" bestFit="1" customWidth="1"/>
    <col min="6981" max="6981" width="19.42578125" style="18" bestFit="1" customWidth="1"/>
    <col min="6982" max="6982" width="18.5703125" style="18" bestFit="1" customWidth="1"/>
    <col min="6983" max="6983" width="20.5703125" style="18" bestFit="1" customWidth="1"/>
    <col min="6984" max="6984" width="21.28515625" style="18" bestFit="1" customWidth="1"/>
    <col min="6985" max="6985" width="15.42578125" style="18" customWidth="1"/>
    <col min="6986" max="6986" width="20.7109375" style="18" customWidth="1"/>
    <col min="6987" max="6987" width="21.28515625" style="18" customWidth="1"/>
    <col min="6988" max="6988" width="14.85546875" style="18" bestFit="1" customWidth="1"/>
    <col min="6989" max="6989" width="23" style="18" bestFit="1" customWidth="1"/>
    <col min="6990" max="6990" width="21.28515625" style="18" bestFit="1" customWidth="1"/>
    <col min="6991" max="6991" width="20.28515625" style="18" bestFit="1" customWidth="1"/>
    <col min="6992" max="6992" width="21" style="18" bestFit="1" customWidth="1"/>
    <col min="6993" max="6993" width="18.85546875" style="18" bestFit="1" customWidth="1"/>
    <col min="6994" max="6994" width="80.7109375" style="18" customWidth="1"/>
    <col min="6995" max="7182" width="9.140625" style="18"/>
    <col min="7183" max="7183" width="2.5703125" style="18" customWidth="1"/>
    <col min="7184" max="7184" width="17.85546875" style="18" customWidth="1"/>
    <col min="7185" max="7185" width="41.5703125" style="18" customWidth="1"/>
    <col min="7186" max="7187" width="12" style="18" customWidth="1"/>
    <col min="7188" max="7188" width="17" style="18" customWidth="1"/>
    <col min="7189" max="7189" width="9.7109375" style="18" customWidth="1"/>
    <col min="7190" max="7190" width="12.28515625" style="18" customWidth="1"/>
    <col min="7191" max="7191" width="13.7109375" style="18" customWidth="1"/>
    <col min="7192" max="7192" width="13.5703125" style="18" bestFit="1" customWidth="1"/>
    <col min="7193" max="7193" width="13.5703125" style="18" customWidth="1"/>
    <col min="7194" max="7194" width="21" style="18" customWidth="1"/>
    <col min="7195" max="7198" width="13.42578125" style="18" customWidth="1"/>
    <col min="7199" max="7200" width="19" style="18" customWidth="1"/>
    <col min="7201" max="7201" width="34" style="18" customWidth="1"/>
    <col min="7202" max="7202" width="19" style="18" customWidth="1"/>
    <col min="7203" max="7203" width="20" style="18" bestFit="1" customWidth="1"/>
    <col min="7204" max="7204" width="20.28515625" style="18" bestFit="1" customWidth="1"/>
    <col min="7205" max="7205" width="26.7109375" style="18" customWidth="1"/>
    <col min="7206" max="7206" width="20.85546875" style="18" bestFit="1" customWidth="1"/>
    <col min="7207" max="7207" width="20.85546875" style="18" customWidth="1"/>
    <col min="7208" max="7208" width="18.85546875" style="18" customWidth="1"/>
    <col min="7209" max="7209" width="17.5703125" style="18" customWidth="1"/>
    <col min="7210" max="7211" width="19.42578125" style="18" customWidth="1"/>
    <col min="7212" max="7212" width="20.7109375" style="18" bestFit="1" customWidth="1"/>
    <col min="7213" max="7213" width="80.7109375" style="18" customWidth="1"/>
    <col min="7214" max="7214" width="14.7109375" style="18" bestFit="1" customWidth="1"/>
    <col min="7215" max="7215" width="18.140625" style="18" bestFit="1" customWidth="1"/>
    <col min="7216" max="7216" width="16.7109375" style="18" bestFit="1" customWidth="1"/>
    <col min="7217" max="7217" width="18.5703125" style="18" bestFit="1" customWidth="1"/>
    <col min="7218" max="7218" width="21.28515625" style="18" bestFit="1" customWidth="1"/>
    <col min="7219" max="7219" width="16.28515625" style="18" bestFit="1" customWidth="1"/>
    <col min="7220" max="7220" width="21.140625" style="18" bestFit="1" customWidth="1"/>
    <col min="7221" max="7221" width="19" style="18" bestFit="1" customWidth="1"/>
    <col min="7222" max="7222" width="19.140625" style="18" customWidth="1"/>
    <col min="7223" max="7223" width="16.7109375" style="18" customWidth="1"/>
    <col min="7224" max="7224" width="21.140625" style="18" bestFit="1" customWidth="1"/>
    <col min="7225" max="7225" width="20.42578125" style="18" bestFit="1" customWidth="1"/>
    <col min="7226" max="7226" width="21.140625" style="18" customWidth="1"/>
    <col min="7227" max="7227" width="20.5703125" style="18" bestFit="1" customWidth="1"/>
    <col min="7228" max="7228" width="19.7109375" style="18" bestFit="1" customWidth="1"/>
    <col min="7229" max="7229" width="20.28515625" style="18" customWidth="1"/>
    <col min="7230" max="7230" width="20.85546875" style="18" bestFit="1" customWidth="1"/>
    <col min="7231" max="7231" width="19.5703125" style="18" bestFit="1" customWidth="1"/>
    <col min="7232" max="7232" width="18" style="18" customWidth="1"/>
    <col min="7233" max="7233" width="20" style="18" bestFit="1" customWidth="1"/>
    <col min="7234" max="7234" width="35.7109375" style="18" customWidth="1"/>
    <col min="7235" max="7235" width="21.140625" style="18" bestFit="1" customWidth="1"/>
    <col min="7236" max="7236" width="20.5703125" style="18" bestFit="1" customWidth="1"/>
    <col min="7237" max="7237" width="19.42578125" style="18" bestFit="1" customWidth="1"/>
    <col min="7238" max="7238" width="18.5703125" style="18" bestFit="1" customWidth="1"/>
    <col min="7239" max="7239" width="20.5703125" style="18" bestFit="1" customWidth="1"/>
    <col min="7240" max="7240" width="21.28515625" style="18" bestFit="1" customWidth="1"/>
    <col min="7241" max="7241" width="15.42578125" style="18" customWidth="1"/>
    <col min="7242" max="7242" width="20.7109375" style="18" customWidth="1"/>
    <col min="7243" max="7243" width="21.28515625" style="18" customWidth="1"/>
    <col min="7244" max="7244" width="14.85546875" style="18" bestFit="1" customWidth="1"/>
    <col min="7245" max="7245" width="23" style="18" bestFit="1" customWidth="1"/>
    <col min="7246" max="7246" width="21.28515625" style="18" bestFit="1" customWidth="1"/>
    <col min="7247" max="7247" width="20.28515625" style="18" bestFit="1" customWidth="1"/>
    <col min="7248" max="7248" width="21" style="18" bestFit="1" customWidth="1"/>
    <col min="7249" max="7249" width="18.85546875" style="18" bestFit="1" customWidth="1"/>
    <col min="7250" max="7250" width="80.7109375" style="18" customWidth="1"/>
    <col min="7251" max="7438" width="9.140625" style="18"/>
    <col min="7439" max="7439" width="2.5703125" style="18" customWidth="1"/>
    <col min="7440" max="7440" width="17.85546875" style="18" customWidth="1"/>
    <col min="7441" max="7441" width="41.5703125" style="18" customWidth="1"/>
    <col min="7442" max="7443" width="12" style="18" customWidth="1"/>
    <col min="7444" max="7444" width="17" style="18" customWidth="1"/>
    <col min="7445" max="7445" width="9.7109375" style="18" customWidth="1"/>
    <col min="7446" max="7446" width="12.28515625" style="18" customWidth="1"/>
    <col min="7447" max="7447" width="13.7109375" style="18" customWidth="1"/>
    <col min="7448" max="7448" width="13.5703125" style="18" bestFit="1" customWidth="1"/>
    <col min="7449" max="7449" width="13.5703125" style="18" customWidth="1"/>
    <col min="7450" max="7450" width="21" style="18" customWidth="1"/>
    <col min="7451" max="7454" width="13.42578125" style="18" customWidth="1"/>
    <col min="7455" max="7456" width="19" style="18" customWidth="1"/>
    <col min="7457" max="7457" width="34" style="18" customWidth="1"/>
    <col min="7458" max="7458" width="19" style="18" customWidth="1"/>
    <col min="7459" max="7459" width="20" style="18" bestFit="1" customWidth="1"/>
    <col min="7460" max="7460" width="20.28515625" style="18" bestFit="1" customWidth="1"/>
    <col min="7461" max="7461" width="26.7109375" style="18" customWidth="1"/>
    <col min="7462" max="7462" width="20.85546875" style="18" bestFit="1" customWidth="1"/>
    <col min="7463" max="7463" width="20.85546875" style="18" customWidth="1"/>
    <col min="7464" max="7464" width="18.85546875" style="18" customWidth="1"/>
    <col min="7465" max="7465" width="17.5703125" style="18" customWidth="1"/>
    <col min="7466" max="7467" width="19.42578125" style="18" customWidth="1"/>
    <col min="7468" max="7468" width="20.7109375" style="18" bestFit="1" customWidth="1"/>
    <col min="7469" max="7469" width="80.7109375" style="18" customWidth="1"/>
    <col min="7470" max="7470" width="14.7109375" style="18" bestFit="1" customWidth="1"/>
    <col min="7471" max="7471" width="18.140625" style="18" bestFit="1" customWidth="1"/>
    <col min="7472" max="7472" width="16.7109375" style="18" bestFit="1" customWidth="1"/>
    <col min="7473" max="7473" width="18.5703125" style="18" bestFit="1" customWidth="1"/>
    <col min="7474" max="7474" width="21.28515625" style="18" bestFit="1" customWidth="1"/>
    <col min="7475" max="7475" width="16.28515625" style="18" bestFit="1" customWidth="1"/>
    <col min="7476" max="7476" width="21.140625" style="18" bestFit="1" customWidth="1"/>
    <col min="7477" max="7477" width="19" style="18" bestFit="1" customWidth="1"/>
    <col min="7478" max="7478" width="19.140625" style="18" customWidth="1"/>
    <col min="7479" max="7479" width="16.7109375" style="18" customWidth="1"/>
    <col min="7480" max="7480" width="21.140625" style="18" bestFit="1" customWidth="1"/>
    <col min="7481" max="7481" width="20.42578125" style="18" bestFit="1" customWidth="1"/>
    <col min="7482" max="7482" width="21.140625" style="18" customWidth="1"/>
    <col min="7483" max="7483" width="20.5703125" style="18" bestFit="1" customWidth="1"/>
    <col min="7484" max="7484" width="19.7109375" style="18" bestFit="1" customWidth="1"/>
    <col min="7485" max="7485" width="20.28515625" style="18" customWidth="1"/>
    <col min="7486" max="7486" width="20.85546875" style="18" bestFit="1" customWidth="1"/>
    <col min="7487" max="7487" width="19.5703125" style="18" bestFit="1" customWidth="1"/>
    <col min="7488" max="7488" width="18" style="18" customWidth="1"/>
    <col min="7489" max="7489" width="20" style="18" bestFit="1" customWidth="1"/>
    <col min="7490" max="7490" width="35.7109375" style="18" customWidth="1"/>
    <col min="7491" max="7491" width="21.140625" style="18" bestFit="1" customWidth="1"/>
    <col min="7492" max="7492" width="20.5703125" style="18" bestFit="1" customWidth="1"/>
    <col min="7493" max="7493" width="19.42578125" style="18" bestFit="1" customWidth="1"/>
    <col min="7494" max="7494" width="18.5703125" style="18" bestFit="1" customWidth="1"/>
    <col min="7495" max="7495" width="20.5703125" style="18" bestFit="1" customWidth="1"/>
    <col min="7496" max="7496" width="21.28515625" style="18" bestFit="1" customWidth="1"/>
    <col min="7497" max="7497" width="15.42578125" style="18" customWidth="1"/>
    <col min="7498" max="7498" width="20.7109375" style="18" customWidth="1"/>
    <col min="7499" max="7499" width="21.28515625" style="18" customWidth="1"/>
    <col min="7500" max="7500" width="14.85546875" style="18" bestFit="1" customWidth="1"/>
    <col min="7501" max="7501" width="23" style="18" bestFit="1" customWidth="1"/>
    <col min="7502" max="7502" width="21.28515625" style="18" bestFit="1" customWidth="1"/>
    <col min="7503" max="7503" width="20.28515625" style="18" bestFit="1" customWidth="1"/>
    <col min="7504" max="7504" width="21" style="18" bestFit="1" customWidth="1"/>
    <col min="7505" max="7505" width="18.85546875" style="18" bestFit="1" customWidth="1"/>
    <col min="7506" max="7506" width="80.7109375" style="18" customWidth="1"/>
    <col min="7507" max="7694" width="9.140625" style="18"/>
    <col min="7695" max="7695" width="2.5703125" style="18" customWidth="1"/>
    <col min="7696" max="7696" width="17.85546875" style="18" customWidth="1"/>
    <col min="7697" max="7697" width="41.5703125" style="18" customWidth="1"/>
    <col min="7698" max="7699" width="12" style="18" customWidth="1"/>
    <col min="7700" max="7700" width="17" style="18" customWidth="1"/>
    <col min="7701" max="7701" width="9.7109375" style="18" customWidth="1"/>
    <col min="7702" max="7702" width="12.28515625" style="18" customWidth="1"/>
    <col min="7703" max="7703" width="13.7109375" style="18" customWidth="1"/>
    <col min="7704" max="7704" width="13.5703125" style="18" bestFit="1" customWidth="1"/>
    <col min="7705" max="7705" width="13.5703125" style="18" customWidth="1"/>
    <col min="7706" max="7706" width="21" style="18" customWidth="1"/>
    <col min="7707" max="7710" width="13.42578125" style="18" customWidth="1"/>
    <col min="7711" max="7712" width="19" style="18" customWidth="1"/>
    <col min="7713" max="7713" width="34" style="18" customWidth="1"/>
    <col min="7714" max="7714" width="19" style="18" customWidth="1"/>
    <col min="7715" max="7715" width="20" style="18" bestFit="1" customWidth="1"/>
    <col min="7716" max="7716" width="20.28515625" style="18" bestFit="1" customWidth="1"/>
    <col min="7717" max="7717" width="26.7109375" style="18" customWidth="1"/>
    <col min="7718" max="7718" width="20.85546875" style="18" bestFit="1" customWidth="1"/>
    <col min="7719" max="7719" width="20.85546875" style="18" customWidth="1"/>
    <col min="7720" max="7720" width="18.85546875" style="18" customWidth="1"/>
    <col min="7721" max="7721" width="17.5703125" style="18" customWidth="1"/>
    <col min="7722" max="7723" width="19.42578125" style="18" customWidth="1"/>
    <col min="7724" max="7724" width="20.7109375" style="18" bestFit="1" customWidth="1"/>
    <col min="7725" max="7725" width="80.7109375" style="18" customWidth="1"/>
    <col min="7726" max="7726" width="14.7109375" style="18" bestFit="1" customWidth="1"/>
    <col min="7727" max="7727" width="18.140625" style="18" bestFit="1" customWidth="1"/>
    <col min="7728" max="7728" width="16.7109375" style="18" bestFit="1" customWidth="1"/>
    <col min="7729" max="7729" width="18.5703125" style="18" bestFit="1" customWidth="1"/>
    <col min="7730" max="7730" width="21.28515625" style="18" bestFit="1" customWidth="1"/>
    <col min="7731" max="7731" width="16.28515625" style="18" bestFit="1" customWidth="1"/>
    <col min="7732" max="7732" width="21.140625" style="18" bestFit="1" customWidth="1"/>
    <col min="7733" max="7733" width="19" style="18" bestFit="1" customWidth="1"/>
    <col min="7734" max="7734" width="19.140625" style="18" customWidth="1"/>
    <col min="7735" max="7735" width="16.7109375" style="18" customWidth="1"/>
    <col min="7736" max="7736" width="21.140625" style="18" bestFit="1" customWidth="1"/>
    <col min="7737" max="7737" width="20.42578125" style="18" bestFit="1" customWidth="1"/>
    <col min="7738" max="7738" width="21.140625" style="18" customWidth="1"/>
    <col min="7739" max="7739" width="20.5703125" style="18" bestFit="1" customWidth="1"/>
    <col min="7740" max="7740" width="19.7109375" style="18" bestFit="1" customWidth="1"/>
    <col min="7741" max="7741" width="20.28515625" style="18" customWidth="1"/>
    <col min="7742" max="7742" width="20.85546875" style="18" bestFit="1" customWidth="1"/>
    <col min="7743" max="7743" width="19.5703125" style="18" bestFit="1" customWidth="1"/>
    <col min="7744" max="7744" width="18" style="18" customWidth="1"/>
    <col min="7745" max="7745" width="20" style="18" bestFit="1" customWidth="1"/>
    <col min="7746" max="7746" width="35.7109375" style="18" customWidth="1"/>
    <col min="7747" max="7747" width="21.140625" style="18" bestFit="1" customWidth="1"/>
    <col min="7748" max="7748" width="20.5703125" style="18" bestFit="1" customWidth="1"/>
    <col min="7749" max="7749" width="19.42578125" style="18" bestFit="1" customWidth="1"/>
    <col min="7750" max="7750" width="18.5703125" style="18" bestFit="1" customWidth="1"/>
    <col min="7751" max="7751" width="20.5703125" style="18" bestFit="1" customWidth="1"/>
    <col min="7752" max="7752" width="21.28515625" style="18" bestFit="1" customWidth="1"/>
    <col min="7753" max="7753" width="15.42578125" style="18" customWidth="1"/>
    <col min="7754" max="7754" width="20.7109375" style="18" customWidth="1"/>
    <col min="7755" max="7755" width="21.28515625" style="18" customWidth="1"/>
    <col min="7756" max="7756" width="14.85546875" style="18" bestFit="1" customWidth="1"/>
    <col min="7757" max="7757" width="23" style="18" bestFit="1" customWidth="1"/>
    <col min="7758" max="7758" width="21.28515625" style="18" bestFit="1" customWidth="1"/>
    <col min="7759" max="7759" width="20.28515625" style="18" bestFit="1" customWidth="1"/>
    <col min="7760" max="7760" width="21" style="18" bestFit="1" customWidth="1"/>
    <col min="7761" max="7761" width="18.85546875" style="18" bestFit="1" customWidth="1"/>
    <col min="7762" max="7762" width="80.7109375" style="18" customWidth="1"/>
    <col min="7763" max="7950" width="9.140625" style="18"/>
    <col min="7951" max="7951" width="2.5703125" style="18" customWidth="1"/>
    <col min="7952" max="7952" width="17.85546875" style="18" customWidth="1"/>
    <col min="7953" max="7953" width="41.5703125" style="18" customWidth="1"/>
    <col min="7954" max="7955" width="12" style="18" customWidth="1"/>
    <col min="7956" max="7956" width="17" style="18" customWidth="1"/>
    <col min="7957" max="7957" width="9.7109375" style="18" customWidth="1"/>
    <col min="7958" max="7958" width="12.28515625" style="18" customWidth="1"/>
    <col min="7959" max="7959" width="13.7109375" style="18" customWidth="1"/>
    <col min="7960" max="7960" width="13.5703125" style="18" bestFit="1" customWidth="1"/>
    <col min="7961" max="7961" width="13.5703125" style="18" customWidth="1"/>
    <col min="7962" max="7962" width="21" style="18" customWidth="1"/>
    <col min="7963" max="7966" width="13.42578125" style="18" customWidth="1"/>
    <col min="7967" max="7968" width="19" style="18" customWidth="1"/>
    <col min="7969" max="7969" width="34" style="18" customWidth="1"/>
    <col min="7970" max="7970" width="19" style="18" customWidth="1"/>
    <col min="7971" max="7971" width="20" style="18" bestFit="1" customWidth="1"/>
    <col min="7972" max="7972" width="20.28515625" style="18" bestFit="1" customWidth="1"/>
    <col min="7973" max="7973" width="26.7109375" style="18" customWidth="1"/>
    <col min="7974" max="7974" width="20.85546875" style="18" bestFit="1" customWidth="1"/>
    <col min="7975" max="7975" width="20.85546875" style="18" customWidth="1"/>
    <col min="7976" max="7976" width="18.85546875" style="18" customWidth="1"/>
    <col min="7977" max="7977" width="17.5703125" style="18" customWidth="1"/>
    <col min="7978" max="7979" width="19.42578125" style="18" customWidth="1"/>
    <col min="7980" max="7980" width="20.7109375" style="18" bestFit="1" customWidth="1"/>
    <col min="7981" max="7981" width="80.7109375" style="18" customWidth="1"/>
    <col min="7982" max="7982" width="14.7109375" style="18" bestFit="1" customWidth="1"/>
    <col min="7983" max="7983" width="18.140625" style="18" bestFit="1" customWidth="1"/>
    <col min="7984" max="7984" width="16.7109375" style="18" bestFit="1" customWidth="1"/>
    <col min="7985" max="7985" width="18.5703125" style="18" bestFit="1" customWidth="1"/>
    <col min="7986" max="7986" width="21.28515625" style="18" bestFit="1" customWidth="1"/>
    <col min="7987" max="7987" width="16.28515625" style="18" bestFit="1" customWidth="1"/>
    <col min="7988" max="7988" width="21.140625" style="18" bestFit="1" customWidth="1"/>
    <col min="7989" max="7989" width="19" style="18" bestFit="1" customWidth="1"/>
    <col min="7990" max="7990" width="19.140625" style="18" customWidth="1"/>
    <col min="7991" max="7991" width="16.7109375" style="18" customWidth="1"/>
    <col min="7992" max="7992" width="21.140625" style="18" bestFit="1" customWidth="1"/>
    <col min="7993" max="7993" width="20.42578125" style="18" bestFit="1" customWidth="1"/>
    <col min="7994" max="7994" width="21.140625" style="18" customWidth="1"/>
    <col min="7995" max="7995" width="20.5703125" style="18" bestFit="1" customWidth="1"/>
    <col min="7996" max="7996" width="19.7109375" style="18" bestFit="1" customWidth="1"/>
    <col min="7997" max="7997" width="20.28515625" style="18" customWidth="1"/>
    <col min="7998" max="7998" width="20.85546875" style="18" bestFit="1" customWidth="1"/>
    <col min="7999" max="7999" width="19.5703125" style="18" bestFit="1" customWidth="1"/>
    <col min="8000" max="8000" width="18" style="18" customWidth="1"/>
    <col min="8001" max="8001" width="20" style="18" bestFit="1" customWidth="1"/>
    <col min="8002" max="8002" width="35.7109375" style="18" customWidth="1"/>
    <col min="8003" max="8003" width="21.140625" style="18" bestFit="1" customWidth="1"/>
    <col min="8004" max="8004" width="20.5703125" style="18" bestFit="1" customWidth="1"/>
    <col min="8005" max="8005" width="19.42578125" style="18" bestFit="1" customWidth="1"/>
    <col min="8006" max="8006" width="18.5703125" style="18" bestFit="1" customWidth="1"/>
    <col min="8007" max="8007" width="20.5703125" style="18" bestFit="1" customWidth="1"/>
    <col min="8008" max="8008" width="21.28515625" style="18" bestFit="1" customWidth="1"/>
    <col min="8009" max="8009" width="15.42578125" style="18" customWidth="1"/>
    <col min="8010" max="8010" width="20.7109375" style="18" customWidth="1"/>
    <col min="8011" max="8011" width="21.28515625" style="18" customWidth="1"/>
    <col min="8012" max="8012" width="14.85546875" style="18" bestFit="1" customWidth="1"/>
    <col min="8013" max="8013" width="23" style="18" bestFit="1" customWidth="1"/>
    <col min="8014" max="8014" width="21.28515625" style="18" bestFit="1" customWidth="1"/>
    <col min="8015" max="8015" width="20.28515625" style="18" bestFit="1" customWidth="1"/>
    <col min="8016" max="8016" width="21" style="18" bestFit="1" customWidth="1"/>
    <col min="8017" max="8017" width="18.85546875" style="18" bestFit="1" customWidth="1"/>
    <col min="8018" max="8018" width="80.7109375" style="18" customWidth="1"/>
    <col min="8019" max="8206" width="9.140625" style="18"/>
    <col min="8207" max="8207" width="2.5703125" style="18" customWidth="1"/>
    <col min="8208" max="8208" width="17.85546875" style="18" customWidth="1"/>
    <col min="8209" max="8209" width="41.5703125" style="18" customWidth="1"/>
    <col min="8210" max="8211" width="12" style="18" customWidth="1"/>
    <col min="8212" max="8212" width="17" style="18" customWidth="1"/>
    <col min="8213" max="8213" width="9.7109375" style="18" customWidth="1"/>
    <col min="8214" max="8214" width="12.28515625" style="18" customWidth="1"/>
    <col min="8215" max="8215" width="13.7109375" style="18" customWidth="1"/>
    <col min="8216" max="8216" width="13.5703125" style="18" bestFit="1" customWidth="1"/>
    <col min="8217" max="8217" width="13.5703125" style="18" customWidth="1"/>
    <col min="8218" max="8218" width="21" style="18" customWidth="1"/>
    <col min="8219" max="8222" width="13.42578125" style="18" customWidth="1"/>
    <col min="8223" max="8224" width="19" style="18" customWidth="1"/>
    <col min="8225" max="8225" width="34" style="18" customWidth="1"/>
    <col min="8226" max="8226" width="19" style="18" customWidth="1"/>
    <col min="8227" max="8227" width="20" style="18" bestFit="1" customWidth="1"/>
    <col min="8228" max="8228" width="20.28515625" style="18" bestFit="1" customWidth="1"/>
    <col min="8229" max="8229" width="26.7109375" style="18" customWidth="1"/>
    <col min="8230" max="8230" width="20.85546875" style="18" bestFit="1" customWidth="1"/>
    <col min="8231" max="8231" width="20.85546875" style="18" customWidth="1"/>
    <col min="8232" max="8232" width="18.85546875" style="18" customWidth="1"/>
    <col min="8233" max="8233" width="17.5703125" style="18" customWidth="1"/>
    <col min="8234" max="8235" width="19.42578125" style="18" customWidth="1"/>
    <col min="8236" max="8236" width="20.7109375" style="18" bestFit="1" customWidth="1"/>
    <col min="8237" max="8237" width="80.7109375" style="18" customWidth="1"/>
    <col min="8238" max="8238" width="14.7109375" style="18" bestFit="1" customWidth="1"/>
    <col min="8239" max="8239" width="18.140625" style="18" bestFit="1" customWidth="1"/>
    <col min="8240" max="8240" width="16.7109375" style="18" bestFit="1" customWidth="1"/>
    <col min="8241" max="8241" width="18.5703125" style="18" bestFit="1" customWidth="1"/>
    <col min="8242" max="8242" width="21.28515625" style="18" bestFit="1" customWidth="1"/>
    <col min="8243" max="8243" width="16.28515625" style="18" bestFit="1" customWidth="1"/>
    <col min="8244" max="8244" width="21.140625" style="18" bestFit="1" customWidth="1"/>
    <col min="8245" max="8245" width="19" style="18" bestFit="1" customWidth="1"/>
    <col min="8246" max="8246" width="19.140625" style="18" customWidth="1"/>
    <col min="8247" max="8247" width="16.7109375" style="18" customWidth="1"/>
    <col min="8248" max="8248" width="21.140625" style="18" bestFit="1" customWidth="1"/>
    <col min="8249" max="8249" width="20.42578125" style="18" bestFit="1" customWidth="1"/>
    <col min="8250" max="8250" width="21.140625" style="18" customWidth="1"/>
    <col min="8251" max="8251" width="20.5703125" style="18" bestFit="1" customWidth="1"/>
    <col min="8252" max="8252" width="19.7109375" style="18" bestFit="1" customWidth="1"/>
    <col min="8253" max="8253" width="20.28515625" style="18" customWidth="1"/>
    <col min="8254" max="8254" width="20.85546875" style="18" bestFit="1" customWidth="1"/>
    <col min="8255" max="8255" width="19.5703125" style="18" bestFit="1" customWidth="1"/>
    <col min="8256" max="8256" width="18" style="18" customWidth="1"/>
    <col min="8257" max="8257" width="20" style="18" bestFit="1" customWidth="1"/>
    <col min="8258" max="8258" width="35.7109375" style="18" customWidth="1"/>
    <col min="8259" max="8259" width="21.140625" style="18" bestFit="1" customWidth="1"/>
    <col min="8260" max="8260" width="20.5703125" style="18" bestFit="1" customWidth="1"/>
    <col min="8261" max="8261" width="19.42578125" style="18" bestFit="1" customWidth="1"/>
    <col min="8262" max="8262" width="18.5703125" style="18" bestFit="1" customWidth="1"/>
    <col min="8263" max="8263" width="20.5703125" style="18" bestFit="1" customWidth="1"/>
    <col min="8264" max="8264" width="21.28515625" style="18" bestFit="1" customWidth="1"/>
    <col min="8265" max="8265" width="15.42578125" style="18" customWidth="1"/>
    <col min="8266" max="8266" width="20.7109375" style="18" customWidth="1"/>
    <col min="8267" max="8267" width="21.28515625" style="18" customWidth="1"/>
    <col min="8268" max="8268" width="14.85546875" style="18" bestFit="1" customWidth="1"/>
    <col min="8269" max="8269" width="23" style="18" bestFit="1" customWidth="1"/>
    <col min="8270" max="8270" width="21.28515625" style="18" bestFit="1" customWidth="1"/>
    <col min="8271" max="8271" width="20.28515625" style="18" bestFit="1" customWidth="1"/>
    <col min="8272" max="8272" width="21" style="18" bestFit="1" customWidth="1"/>
    <col min="8273" max="8273" width="18.85546875" style="18" bestFit="1" customWidth="1"/>
    <col min="8274" max="8274" width="80.7109375" style="18" customWidth="1"/>
    <col min="8275" max="8462" width="9.140625" style="18"/>
    <col min="8463" max="8463" width="2.5703125" style="18" customWidth="1"/>
    <col min="8464" max="8464" width="17.85546875" style="18" customWidth="1"/>
    <col min="8465" max="8465" width="41.5703125" style="18" customWidth="1"/>
    <col min="8466" max="8467" width="12" style="18" customWidth="1"/>
    <col min="8468" max="8468" width="17" style="18" customWidth="1"/>
    <col min="8469" max="8469" width="9.7109375" style="18" customWidth="1"/>
    <col min="8470" max="8470" width="12.28515625" style="18" customWidth="1"/>
    <col min="8471" max="8471" width="13.7109375" style="18" customWidth="1"/>
    <col min="8472" max="8472" width="13.5703125" style="18" bestFit="1" customWidth="1"/>
    <col min="8473" max="8473" width="13.5703125" style="18" customWidth="1"/>
    <col min="8474" max="8474" width="21" style="18" customWidth="1"/>
    <col min="8475" max="8478" width="13.42578125" style="18" customWidth="1"/>
    <col min="8479" max="8480" width="19" style="18" customWidth="1"/>
    <col min="8481" max="8481" width="34" style="18" customWidth="1"/>
    <col min="8482" max="8482" width="19" style="18" customWidth="1"/>
    <col min="8483" max="8483" width="20" style="18" bestFit="1" customWidth="1"/>
    <col min="8484" max="8484" width="20.28515625" style="18" bestFit="1" customWidth="1"/>
    <col min="8485" max="8485" width="26.7109375" style="18" customWidth="1"/>
    <col min="8486" max="8486" width="20.85546875" style="18" bestFit="1" customWidth="1"/>
    <col min="8487" max="8487" width="20.85546875" style="18" customWidth="1"/>
    <col min="8488" max="8488" width="18.85546875" style="18" customWidth="1"/>
    <col min="8489" max="8489" width="17.5703125" style="18" customWidth="1"/>
    <col min="8490" max="8491" width="19.42578125" style="18" customWidth="1"/>
    <col min="8492" max="8492" width="20.7109375" style="18" bestFit="1" customWidth="1"/>
    <col min="8493" max="8493" width="80.7109375" style="18" customWidth="1"/>
    <col min="8494" max="8494" width="14.7109375" style="18" bestFit="1" customWidth="1"/>
    <col min="8495" max="8495" width="18.140625" style="18" bestFit="1" customWidth="1"/>
    <col min="8496" max="8496" width="16.7109375" style="18" bestFit="1" customWidth="1"/>
    <col min="8497" max="8497" width="18.5703125" style="18" bestFit="1" customWidth="1"/>
    <col min="8498" max="8498" width="21.28515625" style="18" bestFit="1" customWidth="1"/>
    <col min="8499" max="8499" width="16.28515625" style="18" bestFit="1" customWidth="1"/>
    <col min="8500" max="8500" width="21.140625" style="18" bestFit="1" customWidth="1"/>
    <col min="8501" max="8501" width="19" style="18" bestFit="1" customWidth="1"/>
    <col min="8502" max="8502" width="19.140625" style="18" customWidth="1"/>
    <col min="8503" max="8503" width="16.7109375" style="18" customWidth="1"/>
    <col min="8504" max="8504" width="21.140625" style="18" bestFit="1" customWidth="1"/>
    <col min="8505" max="8505" width="20.42578125" style="18" bestFit="1" customWidth="1"/>
    <col min="8506" max="8506" width="21.140625" style="18" customWidth="1"/>
    <col min="8507" max="8507" width="20.5703125" style="18" bestFit="1" customWidth="1"/>
    <col min="8508" max="8508" width="19.7109375" style="18" bestFit="1" customWidth="1"/>
    <col min="8509" max="8509" width="20.28515625" style="18" customWidth="1"/>
    <col min="8510" max="8510" width="20.85546875" style="18" bestFit="1" customWidth="1"/>
    <col min="8511" max="8511" width="19.5703125" style="18" bestFit="1" customWidth="1"/>
    <col min="8512" max="8512" width="18" style="18" customWidth="1"/>
    <col min="8513" max="8513" width="20" style="18" bestFit="1" customWidth="1"/>
    <col min="8514" max="8514" width="35.7109375" style="18" customWidth="1"/>
    <col min="8515" max="8515" width="21.140625" style="18" bestFit="1" customWidth="1"/>
    <col min="8516" max="8516" width="20.5703125" style="18" bestFit="1" customWidth="1"/>
    <col min="8517" max="8517" width="19.42578125" style="18" bestFit="1" customWidth="1"/>
    <col min="8518" max="8518" width="18.5703125" style="18" bestFit="1" customWidth="1"/>
    <col min="8519" max="8519" width="20.5703125" style="18" bestFit="1" customWidth="1"/>
    <col min="8520" max="8520" width="21.28515625" style="18" bestFit="1" customWidth="1"/>
    <col min="8521" max="8521" width="15.42578125" style="18" customWidth="1"/>
    <col min="8522" max="8522" width="20.7109375" style="18" customWidth="1"/>
    <col min="8523" max="8523" width="21.28515625" style="18" customWidth="1"/>
    <col min="8524" max="8524" width="14.85546875" style="18" bestFit="1" customWidth="1"/>
    <col min="8525" max="8525" width="23" style="18" bestFit="1" customWidth="1"/>
    <col min="8526" max="8526" width="21.28515625" style="18" bestFit="1" customWidth="1"/>
    <col min="8527" max="8527" width="20.28515625" style="18" bestFit="1" customWidth="1"/>
    <col min="8528" max="8528" width="21" style="18" bestFit="1" customWidth="1"/>
    <col min="8529" max="8529" width="18.85546875" style="18" bestFit="1" customWidth="1"/>
    <col min="8530" max="8530" width="80.7109375" style="18" customWidth="1"/>
    <col min="8531" max="8718" width="9.140625" style="18"/>
    <col min="8719" max="8719" width="2.5703125" style="18" customWidth="1"/>
    <col min="8720" max="8720" width="17.85546875" style="18" customWidth="1"/>
    <col min="8721" max="8721" width="41.5703125" style="18" customWidth="1"/>
    <col min="8722" max="8723" width="12" style="18" customWidth="1"/>
    <col min="8724" max="8724" width="17" style="18" customWidth="1"/>
    <col min="8725" max="8725" width="9.7109375" style="18" customWidth="1"/>
    <col min="8726" max="8726" width="12.28515625" style="18" customWidth="1"/>
    <col min="8727" max="8727" width="13.7109375" style="18" customWidth="1"/>
    <col min="8728" max="8728" width="13.5703125" style="18" bestFit="1" customWidth="1"/>
    <col min="8729" max="8729" width="13.5703125" style="18" customWidth="1"/>
    <col min="8730" max="8730" width="21" style="18" customWidth="1"/>
    <col min="8731" max="8734" width="13.42578125" style="18" customWidth="1"/>
    <col min="8735" max="8736" width="19" style="18" customWidth="1"/>
    <col min="8737" max="8737" width="34" style="18" customWidth="1"/>
    <col min="8738" max="8738" width="19" style="18" customWidth="1"/>
    <col min="8739" max="8739" width="20" style="18" bestFit="1" customWidth="1"/>
    <col min="8740" max="8740" width="20.28515625" style="18" bestFit="1" customWidth="1"/>
    <col min="8741" max="8741" width="26.7109375" style="18" customWidth="1"/>
    <col min="8742" max="8742" width="20.85546875" style="18" bestFit="1" customWidth="1"/>
    <col min="8743" max="8743" width="20.85546875" style="18" customWidth="1"/>
    <col min="8744" max="8744" width="18.85546875" style="18" customWidth="1"/>
    <col min="8745" max="8745" width="17.5703125" style="18" customWidth="1"/>
    <col min="8746" max="8747" width="19.42578125" style="18" customWidth="1"/>
    <col min="8748" max="8748" width="20.7109375" style="18" bestFit="1" customWidth="1"/>
    <col min="8749" max="8749" width="80.7109375" style="18" customWidth="1"/>
    <col min="8750" max="8750" width="14.7109375" style="18" bestFit="1" customWidth="1"/>
    <col min="8751" max="8751" width="18.140625" style="18" bestFit="1" customWidth="1"/>
    <col min="8752" max="8752" width="16.7109375" style="18" bestFit="1" customWidth="1"/>
    <col min="8753" max="8753" width="18.5703125" style="18" bestFit="1" customWidth="1"/>
    <col min="8754" max="8754" width="21.28515625" style="18" bestFit="1" customWidth="1"/>
    <col min="8755" max="8755" width="16.28515625" style="18" bestFit="1" customWidth="1"/>
    <col min="8756" max="8756" width="21.140625" style="18" bestFit="1" customWidth="1"/>
    <col min="8757" max="8757" width="19" style="18" bestFit="1" customWidth="1"/>
    <col min="8758" max="8758" width="19.140625" style="18" customWidth="1"/>
    <col min="8759" max="8759" width="16.7109375" style="18" customWidth="1"/>
    <col min="8760" max="8760" width="21.140625" style="18" bestFit="1" customWidth="1"/>
    <col min="8761" max="8761" width="20.42578125" style="18" bestFit="1" customWidth="1"/>
    <col min="8762" max="8762" width="21.140625" style="18" customWidth="1"/>
    <col min="8763" max="8763" width="20.5703125" style="18" bestFit="1" customWidth="1"/>
    <col min="8764" max="8764" width="19.7109375" style="18" bestFit="1" customWidth="1"/>
    <col min="8765" max="8765" width="20.28515625" style="18" customWidth="1"/>
    <col min="8766" max="8766" width="20.85546875" style="18" bestFit="1" customWidth="1"/>
    <col min="8767" max="8767" width="19.5703125" style="18" bestFit="1" customWidth="1"/>
    <col min="8768" max="8768" width="18" style="18" customWidth="1"/>
    <col min="8769" max="8769" width="20" style="18" bestFit="1" customWidth="1"/>
    <col min="8770" max="8770" width="35.7109375" style="18" customWidth="1"/>
    <col min="8771" max="8771" width="21.140625" style="18" bestFit="1" customWidth="1"/>
    <col min="8772" max="8772" width="20.5703125" style="18" bestFit="1" customWidth="1"/>
    <col min="8773" max="8773" width="19.42578125" style="18" bestFit="1" customWidth="1"/>
    <col min="8774" max="8774" width="18.5703125" style="18" bestFit="1" customWidth="1"/>
    <col min="8775" max="8775" width="20.5703125" style="18" bestFit="1" customWidth="1"/>
    <col min="8776" max="8776" width="21.28515625" style="18" bestFit="1" customWidth="1"/>
    <col min="8777" max="8777" width="15.42578125" style="18" customWidth="1"/>
    <col min="8778" max="8778" width="20.7109375" style="18" customWidth="1"/>
    <col min="8779" max="8779" width="21.28515625" style="18" customWidth="1"/>
    <col min="8780" max="8780" width="14.85546875" style="18" bestFit="1" customWidth="1"/>
    <col min="8781" max="8781" width="23" style="18" bestFit="1" customWidth="1"/>
    <col min="8782" max="8782" width="21.28515625" style="18" bestFit="1" customWidth="1"/>
    <col min="8783" max="8783" width="20.28515625" style="18" bestFit="1" customWidth="1"/>
    <col min="8784" max="8784" width="21" style="18" bestFit="1" customWidth="1"/>
    <col min="8785" max="8785" width="18.85546875" style="18" bestFit="1" customWidth="1"/>
    <col min="8786" max="8786" width="80.7109375" style="18" customWidth="1"/>
    <col min="8787" max="8974" width="9.140625" style="18"/>
    <col min="8975" max="8975" width="2.5703125" style="18" customWidth="1"/>
    <col min="8976" max="8976" width="17.85546875" style="18" customWidth="1"/>
    <col min="8977" max="8977" width="41.5703125" style="18" customWidth="1"/>
    <col min="8978" max="8979" width="12" style="18" customWidth="1"/>
    <col min="8980" max="8980" width="17" style="18" customWidth="1"/>
    <col min="8981" max="8981" width="9.7109375" style="18" customWidth="1"/>
    <col min="8982" max="8982" width="12.28515625" style="18" customWidth="1"/>
    <col min="8983" max="8983" width="13.7109375" style="18" customWidth="1"/>
    <col min="8984" max="8984" width="13.5703125" style="18" bestFit="1" customWidth="1"/>
    <col min="8985" max="8985" width="13.5703125" style="18" customWidth="1"/>
    <col min="8986" max="8986" width="21" style="18" customWidth="1"/>
    <col min="8987" max="8990" width="13.42578125" style="18" customWidth="1"/>
    <col min="8991" max="8992" width="19" style="18" customWidth="1"/>
    <col min="8993" max="8993" width="34" style="18" customWidth="1"/>
    <col min="8994" max="8994" width="19" style="18" customWidth="1"/>
    <col min="8995" max="8995" width="20" style="18" bestFit="1" customWidth="1"/>
    <col min="8996" max="8996" width="20.28515625" style="18" bestFit="1" customWidth="1"/>
    <col min="8997" max="8997" width="26.7109375" style="18" customWidth="1"/>
    <col min="8998" max="8998" width="20.85546875" style="18" bestFit="1" customWidth="1"/>
    <col min="8999" max="8999" width="20.85546875" style="18" customWidth="1"/>
    <col min="9000" max="9000" width="18.85546875" style="18" customWidth="1"/>
    <col min="9001" max="9001" width="17.5703125" style="18" customWidth="1"/>
    <col min="9002" max="9003" width="19.42578125" style="18" customWidth="1"/>
    <col min="9004" max="9004" width="20.7109375" style="18" bestFit="1" customWidth="1"/>
    <col min="9005" max="9005" width="80.7109375" style="18" customWidth="1"/>
    <col min="9006" max="9006" width="14.7109375" style="18" bestFit="1" customWidth="1"/>
    <col min="9007" max="9007" width="18.140625" style="18" bestFit="1" customWidth="1"/>
    <col min="9008" max="9008" width="16.7109375" style="18" bestFit="1" customWidth="1"/>
    <col min="9009" max="9009" width="18.5703125" style="18" bestFit="1" customWidth="1"/>
    <col min="9010" max="9010" width="21.28515625" style="18" bestFit="1" customWidth="1"/>
    <col min="9011" max="9011" width="16.28515625" style="18" bestFit="1" customWidth="1"/>
    <col min="9012" max="9012" width="21.140625" style="18" bestFit="1" customWidth="1"/>
    <col min="9013" max="9013" width="19" style="18" bestFit="1" customWidth="1"/>
    <col min="9014" max="9014" width="19.140625" style="18" customWidth="1"/>
    <col min="9015" max="9015" width="16.7109375" style="18" customWidth="1"/>
    <col min="9016" max="9016" width="21.140625" style="18" bestFit="1" customWidth="1"/>
    <col min="9017" max="9017" width="20.42578125" style="18" bestFit="1" customWidth="1"/>
    <col min="9018" max="9018" width="21.140625" style="18" customWidth="1"/>
    <col min="9019" max="9019" width="20.5703125" style="18" bestFit="1" customWidth="1"/>
    <col min="9020" max="9020" width="19.7109375" style="18" bestFit="1" customWidth="1"/>
    <col min="9021" max="9021" width="20.28515625" style="18" customWidth="1"/>
    <col min="9022" max="9022" width="20.85546875" style="18" bestFit="1" customWidth="1"/>
    <col min="9023" max="9023" width="19.5703125" style="18" bestFit="1" customWidth="1"/>
    <col min="9024" max="9024" width="18" style="18" customWidth="1"/>
    <col min="9025" max="9025" width="20" style="18" bestFit="1" customWidth="1"/>
    <col min="9026" max="9026" width="35.7109375" style="18" customWidth="1"/>
    <col min="9027" max="9027" width="21.140625" style="18" bestFit="1" customWidth="1"/>
    <col min="9028" max="9028" width="20.5703125" style="18" bestFit="1" customWidth="1"/>
    <col min="9029" max="9029" width="19.42578125" style="18" bestFit="1" customWidth="1"/>
    <col min="9030" max="9030" width="18.5703125" style="18" bestFit="1" customWidth="1"/>
    <col min="9031" max="9031" width="20.5703125" style="18" bestFit="1" customWidth="1"/>
    <col min="9032" max="9032" width="21.28515625" style="18" bestFit="1" customWidth="1"/>
    <col min="9033" max="9033" width="15.42578125" style="18" customWidth="1"/>
    <col min="9034" max="9034" width="20.7109375" style="18" customWidth="1"/>
    <col min="9035" max="9035" width="21.28515625" style="18" customWidth="1"/>
    <col min="9036" max="9036" width="14.85546875" style="18" bestFit="1" customWidth="1"/>
    <col min="9037" max="9037" width="23" style="18" bestFit="1" customWidth="1"/>
    <col min="9038" max="9038" width="21.28515625" style="18" bestFit="1" customWidth="1"/>
    <col min="9039" max="9039" width="20.28515625" style="18" bestFit="1" customWidth="1"/>
    <col min="9040" max="9040" width="21" style="18" bestFit="1" customWidth="1"/>
    <col min="9041" max="9041" width="18.85546875" style="18" bestFit="1" customWidth="1"/>
    <col min="9042" max="9042" width="80.7109375" style="18" customWidth="1"/>
    <col min="9043" max="9230" width="9.140625" style="18"/>
    <col min="9231" max="9231" width="2.5703125" style="18" customWidth="1"/>
    <col min="9232" max="9232" width="17.85546875" style="18" customWidth="1"/>
    <col min="9233" max="9233" width="41.5703125" style="18" customWidth="1"/>
    <col min="9234" max="9235" width="12" style="18" customWidth="1"/>
    <col min="9236" max="9236" width="17" style="18" customWidth="1"/>
    <col min="9237" max="9237" width="9.7109375" style="18" customWidth="1"/>
    <col min="9238" max="9238" width="12.28515625" style="18" customWidth="1"/>
    <col min="9239" max="9239" width="13.7109375" style="18" customWidth="1"/>
    <col min="9240" max="9240" width="13.5703125" style="18" bestFit="1" customWidth="1"/>
    <col min="9241" max="9241" width="13.5703125" style="18" customWidth="1"/>
    <col min="9242" max="9242" width="21" style="18" customWidth="1"/>
    <col min="9243" max="9246" width="13.42578125" style="18" customWidth="1"/>
    <col min="9247" max="9248" width="19" style="18" customWidth="1"/>
    <col min="9249" max="9249" width="34" style="18" customWidth="1"/>
    <col min="9250" max="9250" width="19" style="18" customWidth="1"/>
    <col min="9251" max="9251" width="20" style="18" bestFit="1" customWidth="1"/>
    <col min="9252" max="9252" width="20.28515625" style="18" bestFit="1" customWidth="1"/>
    <col min="9253" max="9253" width="26.7109375" style="18" customWidth="1"/>
    <col min="9254" max="9254" width="20.85546875" style="18" bestFit="1" customWidth="1"/>
    <col min="9255" max="9255" width="20.85546875" style="18" customWidth="1"/>
    <col min="9256" max="9256" width="18.85546875" style="18" customWidth="1"/>
    <col min="9257" max="9257" width="17.5703125" style="18" customWidth="1"/>
    <col min="9258" max="9259" width="19.42578125" style="18" customWidth="1"/>
    <col min="9260" max="9260" width="20.7109375" style="18" bestFit="1" customWidth="1"/>
    <col min="9261" max="9261" width="80.7109375" style="18" customWidth="1"/>
    <col min="9262" max="9262" width="14.7109375" style="18" bestFit="1" customWidth="1"/>
    <col min="9263" max="9263" width="18.140625" style="18" bestFit="1" customWidth="1"/>
    <col min="9264" max="9264" width="16.7109375" style="18" bestFit="1" customWidth="1"/>
    <col min="9265" max="9265" width="18.5703125" style="18" bestFit="1" customWidth="1"/>
    <col min="9266" max="9266" width="21.28515625" style="18" bestFit="1" customWidth="1"/>
    <col min="9267" max="9267" width="16.28515625" style="18" bestFit="1" customWidth="1"/>
    <col min="9268" max="9268" width="21.140625" style="18" bestFit="1" customWidth="1"/>
    <col min="9269" max="9269" width="19" style="18" bestFit="1" customWidth="1"/>
    <col min="9270" max="9270" width="19.140625" style="18" customWidth="1"/>
    <col min="9271" max="9271" width="16.7109375" style="18" customWidth="1"/>
    <col min="9272" max="9272" width="21.140625" style="18" bestFit="1" customWidth="1"/>
    <col min="9273" max="9273" width="20.42578125" style="18" bestFit="1" customWidth="1"/>
    <col min="9274" max="9274" width="21.140625" style="18" customWidth="1"/>
    <col min="9275" max="9275" width="20.5703125" style="18" bestFit="1" customWidth="1"/>
    <col min="9276" max="9276" width="19.7109375" style="18" bestFit="1" customWidth="1"/>
    <col min="9277" max="9277" width="20.28515625" style="18" customWidth="1"/>
    <col min="9278" max="9278" width="20.85546875" style="18" bestFit="1" customWidth="1"/>
    <col min="9279" max="9279" width="19.5703125" style="18" bestFit="1" customWidth="1"/>
    <col min="9280" max="9280" width="18" style="18" customWidth="1"/>
    <col min="9281" max="9281" width="20" style="18" bestFit="1" customWidth="1"/>
    <col min="9282" max="9282" width="35.7109375" style="18" customWidth="1"/>
    <col min="9283" max="9283" width="21.140625" style="18" bestFit="1" customWidth="1"/>
    <col min="9284" max="9284" width="20.5703125" style="18" bestFit="1" customWidth="1"/>
    <col min="9285" max="9285" width="19.42578125" style="18" bestFit="1" customWidth="1"/>
    <col min="9286" max="9286" width="18.5703125" style="18" bestFit="1" customWidth="1"/>
    <col min="9287" max="9287" width="20.5703125" style="18" bestFit="1" customWidth="1"/>
    <col min="9288" max="9288" width="21.28515625" style="18" bestFit="1" customWidth="1"/>
    <col min="9289" max="9289" width="15.42578125" style="18" customWidth="1"/>
    <col min="9290" max="9290" width="20.7109375" style="18" customWidth="1"/>
    <col min="9291" max="9291" width="21.28515625" style="18" customWidth="1"/>
    <col min="9292" max="9292" width="14.85546875" style="18" bestFit="1" customWidth="1"/>
    <col min="9293" max="9293" width="23" style="18" bestFit="1" customWidth="1"/>
    <col min="9294" max="9294" width="21.28515625" style="18" bestFit="1" customWidth="1"/>
    <col min="9295" max="9295" width="20.28515625" style="18" bestFit="1" customWidth="1"/>
    <col min="9296" max="9296" width="21" style="18" bestFit="1" customWidth="1"/>
    <col min="9297" max="9297" width="18.85546875" style="18" bestFit="1" customWidth="1"/>
    <col min="9298" max="9298" width="80.7109375" style="18" customWidth="1"/>
    <col min="9299" max="9486" width="9.140625" style="18"/>
    <col min="9487" max="9487" width="2.5703125" style="18" customWidth="1"/>
    <col min="9488" max="9488" width="17.85546875" style="18" customWidth="1"/>
    <col min="9489" max="9489" width="41.5703125" style="18" customWidth="1"/>
    <col min="9490" max="9491" width="12" style="18" customWidth="1"/>
    <col min="9492" max="9492" width="17" style="18" customWidth="1"/>
    <col min="9493" max="9493" width="9.7109375" style="18" customWidth="1"/>
    <col min="9494" max="9494" width="12.28515625" style="18" customWidth="1"/>
    <col min="9495" max="9495" width="13.7109375" style="18" customWidth="1"/>
    <col min="9496" max="9496" width="13.5703125" style="18" bestFit="1" customWidth="1"/>
    <col min="9497" max="9497" width="13.5703125" style="18" customWidth="1"/>
    <col min="9498" max="9498" width="21" style="18" customWidth="1"/>
    <col min="9499" max="9502" width="13.42578125" style="18" customWidth="1"/>
    <col min="9503" max="9504" width="19" style="18" customWidth="1"/>
    <col min="9505" max="9505" width="34" style="18" customWidth="1"/>
    <col min="9506" max="9506" width="19" style="18" customWidth="1"/>
    <col min="9507" max="9507" width="20" style="18" bestFit="1" customWidth="1"/>
    <col min="9508" max="9508" width="20.28515625" style="18" bestFit="1" customWidth="1"/>
    <col min="9509" max="9509" width="26.7109375" style="18" customWidth="1"/>
    <col min="9510" max="9510" width="20.85546875" style="18" bestFit="1" customWidth="1"/>
    <col min="9511" max="9511" width="20.85546875" style="18" customWidth="1"/>
    <col min="9512" max="9512" width="18.85546875" style="18" customWidth="1"/>
    <col min="9513" max="9513" width="17.5703125" style="18" customWidth="1"/>
    <col min="9514" max="9515" width="19.42578125" style="18" customWidth="1"/>
    <col min="9516" max="9516" width="20.7109375" style="18" bestFit="1" customWidth="1"/>
    <col min="9517" max="9517" width="80.7109375" style="18" customWidth="1"/>
    <col min="9518" max="9518" width="14.7109375" style="18" bestFit="1" customWidth="1"/>
    <col min="9519" max="9519" width="18.140625" style="18" bestFit="1" customWidth="1"/>
    <col min="9520" max="9520" width="16.7109375" style="18" bestFit="1" customWidth="1"/>
    <col min="9521" max="9521" width="18.5703125" style="18" bestFit="1" customWidth="1"/>
    <col min="9522" max="9522" width="21.28515625" style="18" bestFit="1" customWidth="1"/>
    <col min="9523" max="9523" width="16.28515625" style="18" bestFit="1" customWidth="1"/>
    <col min="9524" max="9524" width="21.140625" style="18" bestFit="1" customWidth="1"/>
    <col min="9525" max="9525" width="19" style="18" bestFit="1" customWidth="1"/>
    <col min="9526" max="9526" width="19.140625" style="18" customWidth="1"/>
    <col min="9527" max="9527" width="16.7109375" style="18" customWidth="1"/>
    <col min="9528" max="9528" width="21.140625" style="18" bestFit="1" customWidth="1"/>
    <col min="9529" max="9529" width="20.42578125" style="18" bestFit="1" customWidth="1"/>
    <col min="9530" max="9530" width="21.140625" style="18" customWidth="1"/>
    <col min="9531" max="9531" width="20.5703125" style="18" bestFit="1" customWidth="1"/>
    <col min="9532" max="9532" width="19.7109375" style="18" bestFit="1" customWidth="1"/>
    <col min="9533" max="9533" width="20.28515625" style="18" customWidth="1"/>
    <col min="9534" max="9534" width="20.85546875" style="18" bestFit="1" customWidth="1"/>
    <col min="9535" max="9535" width="19.5703125" style="18" bestFit="1" customWidth="1"/>
    <col min="9536" max="9536" width="18" style="18" customWidth="1"/>
    <col min="9537" max="9537" width="20" style="18" bestFit="1" customWidth="1"/>
    <col min="9538" max="9538" width="35.7109375" style="18" customWidth="1"/>
    <col min="9539" max="9539" width="21.140625" style="18" bestFit="1" customWidth="1"/>
    <col min="9540" max="9540" width="20.5703125" style="18" bestFit="1" customWidth="1"/>
    <col min="9541" max="9541" width="19.42578125" style="18" bestFit="1" customWidth="1"/>
    <col min="9542" max="9542" width="18.5703125" style="18" bestFit="1" customWidth="1"/>
    <col min="9543" max="9543" width="20.5703125" style="18" bestFit="1" customWidth="1"/>
    <col min="9544" max="9544" width="21.28515625" style="18" bestFit="1" customWidth="1"/>
    <col min="9545" max="9545" width="15.42578125" style="18" customWidth="1"/>
    <col min="9546" max="9546" width="20.7109375" style="18" customWidth="1"/>
    <col min="9547" max="9547" width="21.28515625" style="18" customWidth="1"/>
    <col min="9548" max="9548" width="14.85546875" style="18" bestFit="1" customWidth="1"/>
    <col min="9549" max="9549" width="23" style="18" bestFit="1" customWidth="1"/>
    <col min="9550" max="9550" width="21.28515625" style="18" bestFit="1" customWidth="1"/>
    <col min="9551" max="9551" width="20.28515625" style="18" bestFit="1" customWidth="1"/>
    <col min="9552" max="9552" width="21" style="18" bestFit="1" customWidth="1"/>
    <col min="9553" max="9553" width="18.85546875" style="18" bestFit="1" customWidth="1"/>
    <col min="9554" max="9554" width="80.7109375" style="18" customWidth="1"/>
    <col min="9555" max="9742" width="9.140625" style="18"/>
    <col min="9743" max="9743" width="2.5703125" style="18" customWidth="1"/>
    <col min="9744" max="9744" width="17.85546875" style="18" customWidth="1"/>
    <col min="9745" max="9745" width="41.5703125" style="18" customWidth="1"/>
    <col min="9746" max="9747" width="12" style="18" customWidth="1"/>
    <col min="9748" max="9748" width="17" style="18" customWidth="1"/>
    <col min="9749" max="9749" width="9.7109375" style="18" customWidth="1"/>
    <col min="9750" max="9750" width="12.28515625" style="18" customWidth="1"/>
    <col min="9751" max="9751" width="13.7109375" style="18" customWidth="1"/>
    <col min="9752" max="9752" width="13.5703125" style="18" bestFit="1" customWidth="1"/>
    <col min="9753" max="9753" width="13.5703125" style="18" customWidth="1"/>
    <col min="9754" max="9754" width="21" style="18" customWidth="1"/>
    <col min="9755" max="9758" width="13.42578125" style="18" customWidth="1"/>
    <col min="9759" max="9760" width="19" style="18" customWidth="1"/>
    <col min="9761" max="9761" width="34" style="18" customWidth="1"/>
    <col min="9762" max="9762" width="19" style="18" customWidth="1"/>
    <col min="9763" max="9763" width="20" style="18" bestFit="1" customWidth="1"/>
    <col min="9764" max="9764" width="20.28515625" style="18" bestFit="1" customWidth="1"/>
    <col min="9765" max="9765" width="26.7109375" style="18" customWidth="1"/>
    <col min="9766" max="9766" width="20.85546875" style="18" bestFit="1" customWidth="1"/>
    <col min="9767" max="9767" width="20.85546875" style="18" customWidth="1"/>
    <col min="9768" max="9768" width="18.85546875" style="18" customWidth="1"/>
    <col min="9769" max="9769" width="17.5703125" style="18" customWidth="1"/>
    <col min="9770" max="9771" width="19.42578125" style="18" customWidth="1"/>
    <col min="9772" max="9772" width="20.7109375" style="18" bestFit="1" customWidth="1"/>
    <col min="9773" max="9773" width="80.7109375" style="18" customWidth="1"/>
    <col min="9774" max="9774" width="14.7109375" style="18" bestFit="1" customWidth="1"/>
    <col min="9775" max="9775" width="18.140625" style="18" bestFit="1" customWidth="1"/>
    <col min="9776" max="9776" width="16.7109375" style="18" bestFit="1" customWidth="1"/>
    <col min="9777" max="9777" width="18.5703125" style="18" bestFit="1" customWidth="1"/>
    <col min="9778" max="9778" width="21.28515625" style="18" bestFit="1" customWidth="1"/>
    <col min="9779" max="9779" width="16.28515625" style="18" bestFit="1" customWidth="1"/>
    <col min="9780" max="9780" width="21.140625" style="18" bestFit="1" customWidth="1"/>
    <col min="9781" max="9781" width="19" style="18" bestFit="1" customWidth="1"/>
    <col min="9782" max="9782" width="19.140625" style="18" customWidth="1"/>
    <col min="9783" max="9783" width="16.7109375" style="18" customWidth="1"/>
    <col min="9784" max="9784" width="21.140625" style="18" bestFit="1" customWidth="1"/>
    <col min="9785" max="9785" width="20.42578125" style="18" bestFit="1" customWidth="1"/>
    <col min="9786" max="9786" width="21.140625" style="18" customWidth="1"/>
    <col min="9787" max="9787" width="20.5703125" style="18" bestFit="1" customWidth="1"/>
    <col min="9788" max="9788" width="19.7109375" style="18" bestFit="1" customWidth="1"/>
    <col min="9789" max="9789" width="20.28515625" style="18" customWidth="1"/>
    <col min="9790" max="9790" width="20.85546875" style="18" bestFit="1" customWidth="1"/>
    <col min="9791" max="9791" width="19.5703125" style="18" bestFit="1" customWidth="1"/>
    <col min="9792" max="9792" width="18" style="18" customWidth="1"/>
    <col min="9793" max="9793" width="20" style="18" bestFit="1" customWidth="1"/>
    <col min="9794" max="9794" width="35.7109375" style="18" customWidth="1"/>
    <col min="9795" max="9795" width="21.140625" style="18" bestFit="1" customWidth="1"/>
    <col min="9796" max="9796" width="20.5703125" style="18" bestFit="1" customWidth="1"/>
    <col min="9797" max="9797" width="19.42578125" style="18" bestFit="1" customWidth="1"/>
    <col min="9798" max="9798" width="18.5703125" style="18" bestFit="1" customWidth="1"/>
    <col min="9799" max="9799" width="20.5703125" style="18" bestFit="1" customWidth="1"/>
    <col min="9800" max="9800" width="21.28515625" style="18" bestFit="1" customWidth="1"/>
    <col min="9801" max="9801" width="15.42578125" style="18" customWidth="1"/>
    <col min="9802" max="9802" width="20.7109375" style="18" customWidth="1"/>
    <col min="9803" max="9803" width="21.28515625" style="18" customWidth="1"/>
    <col min="9804" max="9804" width="14.85546875" style="18" bestFit="1" customWidth="1"/>
    <col min="9805" max="9805" width="23" style="18" bestFit="1" customWidth="1"/>
    <col min="9806" max="9806" width="21.28515625" style="18" bestFit="1" customWidth="1"/>
    <col min="9807" max="9807" width="20.28515625" style="18" bestFit="1" customWidth="1"/>
    <col min="9808" max="9808" width="21" style="18" bestFit="1" customWidth="1"/>
    <col min="9809" max="9809" width="18.85546875" style="18" bestFit="1" customWidth="1"/>
    <col min="9810" max="9810" width="80.7109375" style="18" customWidth="1"/>
    <col min="9811" max="9998" width="9.140625" style="18"/>
    <col min="9999" max="9999" width="2.5703125" style="18" customWidth="1"/>
    <col min="10000" max="10000" width="17.85546875" style="18" customWidth="1"/>
    <col min="10001" max="10001" width="41.5703125" style="18" customWidth="1"/>
    <col min="10002" max="10003" width="12" style="18" customWidth="1"/>
    <col min="10004" max="10004" width="17" style="18" customWidth="1"/>
    <col min="10005" max="10005" width="9.7109375" style="18" customWidth="1"/>
    <col min="10006" max="10006" width="12.28515625" style="18" customWidth="1"/>
    <col min="10007" max="10007" width="13.7109375" style="18" customWidth="1"/>
    <col min="10008" max="10008" width="13.5703125" style="18" bestFit="1" customWidth="1"/>
    <col min="10009" max="10009" width="13.5703125" style="18" customWidth="1"/>
    <col min="10010" max="10010" width="21" style="18" customWidth="1"/>
    <col min="10011" max="10014" width="13.42578125" style="18" customWidth="1"/>
    <col min="10015" max="10016" width="19" style="18" customWidth="1"/>
    <col min="10017" max="10017" width="34" style="18" customWidth="1"/>
    <col min="10018" max="10018" width="19" style="18" customWidth="1"/>
    <col min="10019" max="10019" width="20" style="18" bestFit="1" customWidth="1"/>
    <col min="10020" max="10020" width="20.28515625" style="18" bestFit="1" customWidth="1"/>
    <col min="10021" max="10021" width="26.7109375" style="18" customWidth="1"/>
    <col min="10022" max="10022" width="20.85546875" style="18" bestFit="1" customWidth="1"/>
    <col min="10023" max="10023" width="20.85546875" style="18" customWidth="1"/>
    <col min="10024" max="10024" width="18.85546875" style="18" customWidth="1"/>
    <col min="10025" max="10025" width="17.5703125" style="18" customWidth="1"/>
    <col min="10026" max="10027" width="19.42578125" style="18" customWidth="1"/>
    <col min="10028" max="10028" width="20.7109375" style="18" bestFit="1" customWidth="1"/>
    <col min="10029" max="10029" width="80.7109375" style="18" customWidth="1"/>
    <col min="10030" max="10030" width="14.7109375" style="18" bestFit="1" customWidth="1"/>
    <col min="10031" max="10031" width="18.140625" style="18" bestFit="1" customWidth="1"/>
    <col min="10032" max="10032" width="16.7109375" style="18" bestFit="1" customWidth="1"/>
    <col min="10033" max="10033" width="18.5703125" style="18" bestFit="1" customWidth="1"/>
    <col min="10034" max="10034" width="21.28515625" style="18" bestFit="1" customWidth="1"/>
    <col min="10035" max="10035" width="16.28515625" style="18" bestFit="1" customWidth="1"/>
    <col min="10036" max="10036" width="21.140625" style="18" bestFit="1" customWidth="1"/>
    <col min="10037" max="10037" width="19" style="18" bestFit="1" customWidth="1"/>
    <col min="10038" max="10038" width="19.140625" style="18" customWidth="1"/>
    <col min="10039" max="10039" width="16.7109375" style="18" customWidth="1"/>
    <col min="10040" max="10040" width="21.140625" style="18" bestFit="1" customWidth="1"/>
    <col min="10041" max="10041" width="20.42578125" style="18" bestFit="1" customWidth="1"/>
    <col min="10042" max="10042" width="21.140625" style="18" customWidth="1"/>
    <col min="10043" max="10043" width="20.5703125" style="18" bestFit="1" customWidth="1"/>
    <col min="10044" max="10044" width="19.7109375" style="18" bestFit="1" customWidth="1"/>
    <col min="10045" max="10045" width="20.28515625" style="18" customWidth="1"/>
    <col min="10046" max="10046" width="20.85546875" style="18" bestFit="1" customWidth="1"/>
    <col min="10047" max="10047" width="19.5703125" style="18" bestFit="1" customWidth="1"/>
    <col min="10048" max="10048" width="18" style="18" customWidth="1"/>
    <col min="10049" max="10049" width="20" style="18" bestFit="1" customWidth="1"/>
    <col min="10050" max="10050" width="35.7109375" style="18" customWidth="1"/>
    <col min="10051" max="10051" width="21.140625" style="18" bestFit="1" customWidth="1"/>
    <col min="10052" max="10052" width="20.5703125" style="18" bestFit="1" customWidth="1"/>
    <col min="10053" max="10053" width="19.42578125" style="18" bestFit="1" customWidth="1"/>
    <col min="10054" max="10054" width="18.5703125" style="18" bestFit="1" customWidth="1"/>
    <col min="10055" max="10055" width="20.5703125" style="18" bestFit="1" customWidth="1"/>
    <col min="10056" max="10056" width="21.28515625" style="18" bestFit="1" customWidth="1"/>
    <col min="10057" max="10057" width="15.42578125" style="18" customWidth="1"/>
    <col min="10058" max="10058" width="20.7109375" style="18" customWidth="1"/>
    <col min="10059" max="10059" width="21.28515625" style="18" customWidth="1"/>
    <col min="10060" max="10060" width="14.85546875" style="18" bestFit="1" customWidth="1"/>
    <col min="10061" max="10061" width="23" style="18" bestFit="1" customWidth="1"/>
    <col min="10062" max="10062" width="21.28515625" style="18" bestFit="1" customWidth="1"/>
    <col min="10063" max="10063" width="20.28515625" style="18" bestFit="1" customWidth="1"/>
    <col min="10064" max="10064" width="21" style="18" bestFit="1" customWidth="1"/>
    <col min="10065" max="10065" width="18.85546875" style="18" bestFit="1" customWidth="1"/>
    <col min="10066" max="10066" width="80.7109375" style="18" customWidth="1"/>
    <col min="10067" max="10254" width="9.140625" style="18"/>
    <col min="10255" max="10255" width="2.5703125" style="18" customWidth="1"/>
    <col min="10256" max="10256" width="17.85546875" style="18" customWidth="1"/>
    <col min="10257" max="10257" width="41.5703125" style="18" customWidth="1"/>
    <col min="10258" max="10259" width="12" style="18" customWidth="1"/>
    <col min="10260" max="10260" width="17" style="18" customWidth="1"/>
    <col min="10261" max="10261" width="9.7109375" style="18" customWidth="1"/>
    <col min="10262" max="10262" width="12.28515625" style="18" customWidth="1"/>
    <col min="10263" max="10263" width="13.7109375" style="18" customWidth="1"/>
    <col min="10264" max="10264" width="13.5703125" style="18" bestFit="1" customWidth="1"/>
    <col min="10265" max="10265" width="13.5703125" style="18" customWidth="1"/>
    <col min="10266" max="10266" width="21" style="18" customWidth="1"/>
    <col min="10267" max="10270" width="13.42578125" style="18" customWidth="1"/>
    <col min="10271" max="10272" width="19" style="18" customWidth="1"/>
    <col min="10273" max="10273" width="34" style="18" customWidth="1"/>
    <col min="10274" max="10274" width="19" style="18" customWidth="1"/>
    <col min="10275" max="10275" width="20" style="18" bestFit="1" customWidth="1"/>
    <col min="10276" max="10276" width="20.28515625" style="18" bestFit="1" customWidth="1"/>
    <col min="10277" max="10277" width="26.7109375" style="18" customWidth="1"/>
    <col min="10278" max="10278" width="20.85546875" style="18" bestFit="1" customWidth="1"/>
    <col min="10279" max="10279" width="20.85546875" style="18" customWidth="1"/>
    <col min="10280" max="10280" width="18.85546875" style="18" customWidth="1"/>
    <col min="10281" max="10281" width="17.5703125" style="18" customWidth="1"/>
    <col min="10282" max="10283" width="19.42578125" style="18" customWidth="1"/>
    <col min="10284" max="10284" width="20.7109375" style="18" bestFit="1" customWidth="1"/>
    <col min="10285" max="10285" width="80.7109375" style="18" customWidth="1"/>
    <col min="10286" max="10286" width="14.7109375" style="18" bestFit="1" customWidth="1"/>
    <col min="10287" max="10287" width="18.140625" style="18" bestFit="1" customWidth="1"/>
    <col min="10288" max="10288" width="16.7109375" style="18" bestFit="1" customWidth="1"/>
    <col min="10289" max="10289" width="18.5703125" style="18" bestFit="1" customWidth="1"/>
    <col min="10290" max="10290" width="21.28515625" style="18" bestFit="1" customWidth="1"/>
    <col min="10291" max="10291" width="16.28515625" style="18" bestFit="1" customWidth="1"/>
    <col min="10292" max="10292" width="21.140625" style="18" bestFit="1" customWidth="1"/>
    <col min="10293" max="10293" width="19" style="18" bestFit="1" customWidth="1"/>
    <col min="10294" max="10294" width="19.140625" style="18" customWidth="1"/>
    <col min="10295" max="10295" width="16.7109375" style="18" customWidth="1"/>
    <col min="10296" max="10296" width="21.140625" style="18" bestFit="1" customWidth="1"/>
    <col min="10297" max="10297" width="20.42578125" style="18" bestFit="1" customWidth="1"/>
    <col min="10298" max="10298" width="21.140625" style="18" customWidth="1"/>
    <col min="10299" max="10299" width="20.5703125" style="18" bestFit="1" customWidth="1"/>
    <col min="10300" max="10300" width="19.7109375" style="18" bestFit="1" customWidth="1"/>
    <col min="10301" max="10301" width="20.28515625" style="18" customWidth="1"/>
    <col min="10302" max="10302" width="20.85546875" style="18" bestFit="1" customWidth="1"/>
    <col min="10303" max="10303" width="19.5703125" style="18" bestFit="1" customWidth="1"/>
    <col min="10304" max="10304" width="18" style="18" customWidth="1"/>
    <col min="10305" max="10305" width="20" style="18" bestFit="1" customWidth="1"/>
    <col min="10306" max="10306" width="35.7109375" style="18" customWidth="1"/>
    <col min="10307" max="10307" width="21.140625" style="18" bestFit="1" customWidth="1"/>
    <col min="10308" max="10308" width="20.5703125" style="18" bestFit="1" customWidth="1"/>
    <col min="10309" max="10309" width="19.42578125" style="18" bestFit="1" customWidth="1"/>
    <col min="10310" max="10310" width="18.5703125" style="18" bestFit="1" customWidth="1"/>
    <col min="10311" max="10311" width="20.5703125" style="18" bestFit="1" customWidth="1"/>
    <col min="10312" max="10312" width="21.28515625" style="18" bestFit="1" customWidth="1"/>
    <col min="10313" max="10313" width="15.42578125" style="18" customWidth="1"/>
    <col min="10314" max="10314" width="20.7109375" style="18" customWidth="1"/>
    <col min="10315" max="10315" width="21.28515625" style="18" customWidth="1"/>
    <col min="10316" max="10316" width="14.85546875" style="18" bestFit="1" customWidth="1"/>
    <col min="10317" max="10317" width="23" style="18" bestFit="1" customWidth="1"/>
    <col min="10318" max="10318" width="21.28515625" style="18" bestFit="1" customWidth="1"/>
    <col min="10319" max="10319" width="20.28515625" style="18" bestFit="1" customWidth="1"/>
    <col min="10320" max="10320" width="21" style="18" bestFit="1" customWidth="1"/>
    <col min="10321" max="10321" width="18.85546875" style="18" bestFit="1" customWidth="1"/>
    <col min="10322" max="10322" width="80.7109375" style="18" customWidth="1"/>
    <col min="10323" max="10510" width="9.140625" style="18"/>
    <col min="10511" max="10511" width="2.5703125" style="18" customWidth="1"/>
    <col min="10512" max="10512" width="17.85546875" style="18" customWidth="1"/>
    <col min="10513" max="10513" width="41.5703125" style="18" customWidth="1"/>
    <col min="10514" max="10515" width="12" style="18" customWidth="1"/>
    <col min="10516" max="10516" width="17" style="18" customWidth="1"/>
    <col min="10517" max="10517" width="9.7109375" style="18" customWidth="1"/>
    <col min="10518" max="10518" width="12.28515625" style="18" customWidth="1"/>
    <col min="10519" max="10519" width="13.7109375" style="18" customWidth="1"/>
    <col min="10520" max="10520" width="13.5703125" style="18" bestFit="1" customWidth="1"/>
    <col min="10521" max="10521" width="13.5703125" style="18" customWidth="1"/>
    <col min="10522" max="10522" width="21" style="18" customWidth="1"/>
    <col min="10523" max="10526" width="13.42578125" style="18" customWidth="1"/>
    <col min="10527" max="10528" width="19" style="18" customWidth="1"/>
    <col min="10529" max="10529" width="34" style="18" customWidth="1"/>
    <col min="10530" max="10530" width="19" style="18" customWidth="1"/>
    <col min="10531" max="10531" width="20" style="18" bestFit="1" customWidth="1"/>
    <col min="10532" max="10532" width="20.28515625" style="18" bestFit="1" customWidth="1"/>
    <col min="10533" max="10533" width="26.7109375" style="18" customWidth="1"/>
    <col min="10534" max="10534" width="20.85546875" style="18" bestFit="1" customWidth="1"/>
    <col min="10535" max="10535" width="20.85546875" style="18" customWidth="1"/>
    <col min="10536" max="10536" width="18.85546875" style="18" customWidth="1"/>
    <col min="10537" max="10537" width="17.5703125" style="18" customWidth="1"/>
    <col min="10538" max="10539" width="19.42578125" style="18" customWidth="1"/>
    <col min="10540" max="10540" width="20.7109375" style="18" bestFit="1" customWidth="1"/>
    <col min="10541" max="10541" width="80.7109375" style="18" customWidth="1"/>
    <col min="10542" max="10542" width="14.7109375" style="18" bestFit="1" customWidth="1"/>
    <col min="10543" max="10543" width="18.140625" style="18" bestFit="1" customWidth="1"/>
    <col min="10544" max="10544" width="16.7109375" style="18" bestFit="1" customWidth="1"/>
    <col min="10545" max="10545" width="18.5703125" style="18" bestFit="1" customWidth="1"/>
    <col min="10546" max="10546" width="21.28515625" style="18" bestFit="1" customWidth="1"/>
    <col min="10547" max="10547" width="16.28515625" style="18" bestFit="1" customWidth="1"/>
    <col min="10548" max="10548" width="21.140625" style="18" bestFit="1" customWidth="1"/>
    <col min="10549" max="10549" width="19" style="18" bestFit="1" customWidth="1"/>
    <col min="10550" max="10550" width="19.140625" style="18" customWidth="1"/>
    <col min="10551" max="10551" width="16.7109375" style="18" customWidth="1"/>
    <col min="10552" max="10552" width="21.140625" style="18" bestFit="1" customWidth="1"/>
    <col min="10553" max="10553" width="20.42578125" style="18" bestFit="1" customWidth="1"/>
    <col min="10554" max="10554" width="21.140625" style="18" customWidth="1"/>
    <col min="10555" max="10555" width="20.5703125" style="18" bestFit="1" customWidth="1"/>
    <col min="10556" max="10556" width="19.7109375" style="18" bestFit="1" customWidth="1"/>
    <col min="10557" max="10557" width="20.28515625" style="18" customWidth="1"/>
    <col min="10558" max="10558" width="20.85546875" style="18" bestFit="1" customWidth="1"/>
    <col min="10559" max="10559" width="19.5703125" style="18" bestFit="1" customWidth="1"/>
    <col min="10560" max="10560" width="18" style="18" customWidth="1"/>
    <col min="10561" max="10561" width="20" style="18" bestFit="1" customWidth="1"/>
    <col min="10562" max="10562" width="35.7109375" style="18" customWidth="1"/>
    <col min="10563" max="10563" width="21.140625" style="18" bestFit="1" customWidth="1"/>
    <col min="10564" max="10564" width="20.5703125" style="18" bestFit="1" customWidth="1"/>
    <col min="10565" max="10565" width="19.42578125" style="18" bestFit="1" customWidth="1"/>
    <col min="10566" max="10566" width="18.5703125" style="18" bestFit="1" customWidth="1"/>
    <col min="10567" max="10567" width="20.5703125" style="18" bestFit="1" customWidth="1"/>
    <col min="10568" max="10568" width="21.28515625" style="18" bestFit="1" customWidth="1"/>
    <col min="10569" max="10569" width="15.42578125" style="18" customWidth="1"/>
    <col min="10570" max="10570" width="20.7109375" style="18" customWidth="1"/>
    <col min="10571" max="10571" width="21.28515625" style="18" customWidth="1"/>
    <col min="10572" max="10572" width="14.85546875" style="18" bestFit="1" customWidth="1"/>
    <col min="10573" max="10573" width="23" style="18" bestFit="1" customWidth="1"/>
    <col min="10574" max="10574" width="21.28515625" style="18" bestFit="1" customWidth="1"/>
    <col min="10575" max="10575" width="20.28515625" style="18" bestFit="1" customWidth="1"/>
    <col min="10576" max="10576" width="21" style="18" bestFit="1" customWidth="1"/>
    <col min="10577" max="10577" width="18.85546875" style="18" bestFit="1" customWidth="1"/>
    <col min="10578" max="10578" width="80.7109375" style="18" customWidth="1"/>
    <col min="10579" max="10766" width="9.140625" style="18"/>
    <col min="10767" max="10767" width="2.5703125" style="18" customWidth="1"/>
    <col min="10768" max="10768" width="17.85546875" style="18" customWidth="1"/>
    <col min="10769" max="10769" width="41.5703125" style="18" customWidth="1"/>
    <col min="10770" max="10771" width="12" style="18" customWidth="1"/>
    <col min="10772" max="10772" width="17" style="18" customWidth="1"/>
    <col min="10773" max="10773" width="9.7109375" style="18" customWidth="1"/>
    <col min="10774" max="10774" width="12.28515625" style="18" customWidth="1"/>
    <col min="10775" max="10775" width="13.7109375" style="18" customWidth="1"/>
    <col min="10776" max="10776" width="13.5703125" style="18" bestFit="1" customWidth="1"/>
    <col min="10777" max="10777" width="13.5703125" style="18" customWidth="1"/>
    <col min="10778" max="10778" width="21" style="18" customWidth="1"/>
    <col min="10779" max="10782" width="13.42578125" style="18" customWidth="1"/>
    <col min="10783" max="10784" width="19" style="18" customWidth="1"/>
    <col min="10785" max="10785" width="34" style="18" customWidth="1"/>
    <col min="10786" max="10786" width="19" style="18" customWidth="1"/>
    <col min="10787" max="10787" width="20" style="18" bestFit="1" customWidth="1"/>
    <col min="10788" max="10788" width="20.28515625" style="18" bestFit="1" customWidth="1"/>
    <col min="10789" max="10789" width="26.7109375" style="18" customWidth="1"/>
    <col min="10790" max="10790" width="20.85546875" style="18" bestFit="1" customWidth="1"/>
    <col min="10791" max="10791" width="20.85546875" style="18" customWidth="1"/>
    <col min="10792" max="10792" width="18.85546875" style="18" customWidth="1"/>
    <col min="10793" max="10793" width="17.5703125" style="18" customWidth="1"/>
    <col min="10794" max="10795" width="19.42578125" style="18" customWidth="1"/>
    <col min="10796" max="10796" width="20.7109375" style="18" bestFit="1" customWidth="1"/>
    <col min="10797" max="10797" width="80.7109375" style="18" customWidth="1"/>
    <col min="10798" max="10798" width="14.7109375" style="18" bestFit="1" customWidth="1"/>
    <col min="10799" max="10799" width="18.140625" style="18" bestFit="1" customWidth="1"/>
    <col min="10800" max="10800" width="16.7109375" style="18" bestFit="1" customWidth="1"/>
    <col min="10801" max="10801" width="18.5703125" style="18" bestFit="1" customWidth="1"/>
    <col min="10802" max="10802" width="21.28515625" style="18" bestFit="1" customWidth="1"/>
    <col min="10803" max="10803" width="16.28515625" style="18" bestFit="1" customWidth="1"/>
    <col min="10804" max="10804" width="21.140625" style="18" bestFit="1" customWidth="1"/>
    <col min="10805" max="10805" width="19" style="18" bestFit="1" customWidth="1"/>
    <col min="10806" max="10806" width="19.140625" style="18" customWidth="1"/>
    <col min="10807" max="10807" width="16.7109375" style="18" customWidth="1"/>
    <col min="10808" max="10808" width="21.140625" style="18" bestFit="1" customWidth="1"/>
    <col min="10809" max="10809" width="20.42578125" style="18" bestFit="1" customWidth="1"/>
    <col min="10810" max="10810" width="21.140625" style="18" customWidth="1"/>
    <col min="10811" max="10811" width="20.5703125" style="18" bestFit="1" customWidth="1"/>
    <col min="10812" max="10812" width="19.7109375" style="18" bestFit="1" customWidth="1"/>
    <col min="10813" max="10813" width="20.28515625" style="18" customWidth="1"/>
    <col min="10814" max="10814" width="20.85546875" style="18" bestFit="1" customWidth="1"/>
    <col min="10815" max="10815" width="19.5703125" style="18" bestFit="1" customWidth="1"/>
    <col min="10816" max="10816" width="18" style="18" customWidth="1"/>
    <col min="10817" max="10817" width="20" style="18" bestFit="1" customWidth="1"/>
    <col min="10818" max="10818" width="35.7109375" style="18" customWidth="1"/>
    <col min="10819" max="10819" width="21.140625" style="18" bestFit="1" customWidth="1"/>
    <col min="10820" max="10820" width="20.5703125" style="18" bestFit="1" customWidth="1"/>
    <col min="10821" max="10821" width="19.42578125" style="18" bestFit="1" customWidth="1"/>
    <col min="10822" max="10822" width="18.5703125" style="18" bestFit="1" customWidth="1"/>
    <col min="10823" max="10823" width="20.5703125" style="18" bestFit="1" customWidth="1"/>
    <col min="10824" max="10824" width="21.28515625" style="18" bestFit="1" customWidth="1"/>
    <col min="10825" max="10825" width="15.42578125" style="18" customWidth="1"/>
    <col min="10826" max="10826" width="20.7109375" style="18" customWidth="1"/>
    <col min="10827" max="10827" width="21.28515625" style="18" customWidth="1"/>
    <col min="10828" max="10828" width="14.85546875" style="18" bestFit="1" customWidth="1"/>
    <col min="10829" max="10829" width="23" style="18" bestFit="1" customWidth="1"/>
    <col min="10830" max="10830" width="21.28515625" style="18" bestFit="1" customWidth="1"/>
    <col min="10831" max="10831" width="20.28515625" style="18" bestFit="1" customWidth="1"/>
    <col min="10832" max="10832" width="21" style="18" bestFit="1" customWidth="1"/>
    <col min="10833" max="10833" width="18.85546875" style="18" bestFit="1" customWidth="1"/>
    <col min="10834" max="10834" width="80.7109375" style="18" customWidth="1"/>
    <col min="10835" max="11022" width="9.140625" style="18"/>
    <col min="11023" max="11023" width="2.5703125" style="18" customWidth="1"/>
    <col min="11024" max="11024" width="17.85546875" style="18" customWidth="1"/>
    <col min="11025" max="11025" width="41.5703125" style="18" customWidth="1"/>
    <col min="11026" max="11027" width="12" style="18" customWidth="1"/>
    <col min="11028" max="11028" width="17" style="18" customWidth="1"/>
    <col min="11029" max="11029" width="9.7109375" style="18" customWidth="1"/>
    <col min="11030" max="11030" width="12.28515625" style="18" customWidth="1"/>
    <col min="11031" max="11031" width="13.7109375" style="18" customWidth="1"/>
    <col min="11032" max="11032" width="13.5703125" style="18" bestFit="1" customWidth="1"/>
    <col min="11033" max="11033" width="13.5703125" style="18" customWidth="1"/>
    <col min="11034" max="11034" width="21" style="18" customWidth="1"/>
    <col min="11035" max="11038" width="13.42578125" style="18" customWidth="1"/>
    <col min="11039" max="11040" width="19" style="18" customWidth="1"/>
    <col min="11041" max="11041" width="34" style="18" customWidth="1"/>
    <col min="11042" max="11042" width="19" style="18" customWidth="1"/>
    <col min="11043" max="11043" width="20" style="18" bestFit="1" customWidth="1"/>
    <col min="11044" max="11044" width="20.28515625" style="18" bestFit="1" customWidth="1"/>
    <col min="11045" max="11045" width="26.7109375" style="18" customWidth="1"/>
    <col min="11046" max="11046" width="20.85546875" style="18" bestFit="1" customWidth="1"/>
    <col min="11047" max="11047" width="20.85546875" style="18" customWidth="1"/>
    <col min="11048" max="11048" width="18.85546875" style="18" customWidth="1"/>
    <col min="11049" max="11049" width="17.5703125" style="18" customWidth="1"/>
    <col min="11050" max="11051" width="19.42578125" style="18" customWidth="1"/>
    <col min="11052" max="11052" width="20.7109375" style="18" bestFit="1" customWidth="1"/>
    <col min="11053" max="11053" width="80.7109375" style="18" customWidth="1"/>
    <col min="11054" max="11054" width="14.7109375" style="18" bestFit="1" customWidth="1"/>
    <col min="11055" max="11055" width="18.140625" style="18" bestFit="1" customWidth="1"/>
    <col min="11056" max="11056" width="16.7109375" style="18" bestFit="1" customWidth="1"/>
    <col min="11057" max="11057" width="18.5703125" style="18" bestFit="1" customWidth="1"/>
    <col min="11058" max="11058" width="21.28515625" style="18" bestFit="1" customWidth="1"/>
    <col min="11059" max="11059" width="16.28515625" style="18" bestFit="1" customWidth="1"/>
    <col min="11060" max="11060" width="21.140625" style="18" bestFit="1" customWidth="1"/>
    <col min="11061" max="11061" width="19" style="18" bestFit="1" customWidth="1"/>
    <col min="11062" max="11062" width="19.140625" style="18" customWidth="1"/>
    <col min="11063" max="11063" width="16.7109375" style="18" customWidth="1"/>
    <col min="11064" max="11064" width="21.140625" style="18" bestFit="1" customWidth="1"/>
    <col min="11065" max="11065" width="20.42578125" style="18" bestFit="1" customWidth="1"/>
    <col min="11066" max="11066" width="21.140625" style="18" customWidth="1"/>
    <col min="11067" max="11067" width="20.5703125" style="18" bestFit="1" customWidth="1"/>
    <col min="11068" max="11068" width="19.7109375" style="18" bestFit="1" customWidth="1"/>
    <col min="11069" max="11069" width="20.28515625" style="18" customWidth="1"/>
    <col min="11070" max="11070" width="20.85546875" style="18" bestFit="1" customWidth="1"/>
    <col min="11071" max="11071" width="19.5703125" style="18" bestFit="1" customWidth="1"/>
    <col min="11072" max="11072" width="18" style="18" customWidth="1"/>
    <col min="11073" max="11073" width="20" style="18" bestFit="1" customWidth="1"/>
    <col min="11074" max="11074" width="35.7109375" style="18" customWidth="1"/>
    <col min="11075" max="11075" width="21.140625" style="18" bestFit="1" customWidth="1"/>
    <col min="11076" max="11076" width="20.5703125" style="18" bestFit="1" customWidth="1"/>
    <col min="11077" max="11077" width="19.42578125" style="18" bestFit="1" customWidth="1"/>
    <col min="11078" max="11078" width="18.5703125" style="18" bestFit="1" customWidth="1"/>
    <col min="11079" max="11079" width="20.5703125" style="18" bestFit="1" customWidth="1"/>
    <col min="11080" max="11080" width="21.28515625" style="18" bestFit="1" customWidth="1"/>
    <col min="11081" max="11081" width="15.42578125" style="18" customWidth="1"/>
    <col min="11082" max="11082" width="20.7109375" style="18" customWidth="1"/>
    <col min="11083" max="11083" width="21.28515625" style="18" customWidth="1"/>
    <col min="11084" max="11084" width="14.85546875" style="18" bestFit="1" customWidth="1"/>
    <col min="11085" max="11085" width="23" style="18" bestFit="1" customWidth="1"/>
    <col min="11086" max="11086" width="21.28515625" style="18" bestFit="1" customWidth="1"/>
    <col min="11087" max="11087" width="20.28515625" style="18" bestFit="1" customWidth="1"/>
    <col min="11088" max="11088" width="21" style="18" bestFit="1" customWidth="1"/>
    <col min="11089" max="11089" width="18.85546875" style="18" bestFit="1" customWidth="1"/>
    <col min="11090" max="11090" width="80.7109375" style="18" customWidth="1"/>
    <col min="11091" max="11278" width="9.140625" style="18"/>
    <col min="11279" max="11279" width="2.5703125" style="18" customWidth="1"/>
    <col min="11280" max="11280" width="17.85546875" style="18" customWidth="1"/>
    <col min="11281" max="11281" width="41.5703125" style="18" customWidth="1"/>
    <col min="11282" max="11283" width="12" style="18" customWidth="1"/>
    <col min="11284" max="11284" width="17" style="18" customWidth="1"/>
    <col min="11285" max="11285" width="9.7109375" style="18" customWidth="1"/>
    <col min="11286" max="11286" width="12.28515625" style="18" customWidth="1"/>
    <col min="11287" max="11287" width="13.7109375" style="18" customWidth="1"/>
    <col min="11288" max="11288" width="13.5703125" style="18" bestFit="1" customWidth="1"/>
    <col min="11289" max="11289" width="13.5703125" style="18" customWidth="1"/>
    <col min="11290" max="11290" width="21" style="18" customWidth="1"/>
    <col min="11291" max="11294" width="13.42578125" style="18" customWidth="1"/>
    <col min="11295" max="11296" width="19" style="18" customWidth="1"/>
    <col min="11297" max="11297" width="34" style="18" customWidth="1"/>
    <col min="11298" max="11298" width="19" style="18" customWidth="1"/>
    <col min="11299" max="11299" width="20" style="18" bestFit="1" customWidth="1"/>
    <col min="11300" max="11300" width="20.28515625" style="18" bestFit="1" customWidth="1"/>
    <col min="11301" max="11301" width="26.7109375" style="18" customWidth="1"/>
    <col min="11302" max="11302" width="20.85546875" style="18" bestFit="1" customWidth="1"/>
    <col min="11303" max="11303" width="20.85546875" style="18" customWidth="1"/>
    <col min="11304" max="11304" width="18.85546875" style="18" customWidth="1"/>
    <col min="11305" max="11305" width="17.5703125" style="18" customWidth="1"/>
    <col min="11306" max="11307" width="19.42578125" style="18" customWidth="1"/>
    <col min="11308" max="11308" width="20.7109375" style="18" bestFit="1" customWidth="1"/>
    <col min="11309" max="11309" width="80.7109375" style="18" customWidth="1"/>
    <col min="11310" max="11310" width="14.7109375" style="18" bestFit="1" customWidth="1"/>
    <col min="11311" max="11311" width="18.140625" style="18" bestFit="1" customWidth="1"/>
    <col min="11312" max="11312" width="16.7109375" style="18" bestFit="1" customWidth="1"/>
    <col min="11313" max="11313" width="18.5703125" style="18" bestFit="1" customWidth="1"/>
    <col min="11314" max="11314" width="21.28515625" style="18" bestFit="1" customWidth="1"/>
    <col min="11315" max="11315" width="16.28515625" style="18" bestFit="1" customWidth="1"/>
    <col min="11316" max="11316" width="21.140625" style="18" bestFit="1" customWidth="1"/>
    <col min="11317" max="11317" width="19" style="18" bestFit="1" customWidth="1"/>
    <col min="11318" max="11318" width="19.140625" style="18" customWidth="1"/>
    <col min="11319" max="11319" width="16.7109375" style="18" customWidth="1"/>
    <col min="11320" max="11320" width="21.140625" style="18" bestFit="1" customWidth="1"/>
    <col min="11321" max="11321" width="20.42578125" style="18" bestFit="1" customWidth="1"/>
    <col min="11322" max="11322" width="21.140625" style="18" customWidth="1"/>
    <col min="11323" max="11323" width="20.5703125" style="18" bestFit="1" customWidth="1"/>
    <col min="11324" max="11324" width="19.7109375" style="18" bestFit="1" customWidth="1"/>
    <col min="11325" max="11325" width="20.28515625" style="18" customWidth="1"/>
    <col min="11326" max="11326" width="20.85546875" style="18" bestFit="1" customWidth="1"/>
    <col min="11327" max="11327" width="19.5703125" style="18" bestFit="1" customWidth="1"/>
    <col min="11328" max="11328" width="18" style="18" customWidth="1"/>
    <col min="11329" max="11329" width="20" style="18" bestFit="1" customWidth="1"/>
    <col min="11330" max="11330" width="35.7109375" style="18" customWidth="1"/>
    <col min="11331" max="11331" width="21.140625" style="18" bestFit="1" customWidth="1"/>
    <col min="11332" max="11332" width="20.5703125" style="18" bestFit="1" customWidth="1"/>
    <col min="11333" max="11333" width="19.42578125" style="18" bestFit="1" customWidth="1"/>
    <col min="11334" max="11334" width="18.5703125" style="18" bestFit="1" customWidth="1"/>
    <col min="11335" max="11335" width="20.5703125" style="18" bestFit="1" customWidth="1"/>
    <col min="11336" max="11336" width="21.28515625" style="18" bestFit="1" customWidth="1"/>
    <col min="11337" max="11337" width="15.42578125" style="18" customWidth="1"/>
    <col min="11338" max="11338" width="20.7109375" style="18" customWidth="1"/>
    <col min="11339" max="11339" width="21.28515625" style="18" customWidth="1"/>
    <col min="11340" max="11340" width="14.85546875" style="18" bestFit="1" customWidth="1"/>
    <col min="11341" max="11341" width="23" style="18" bestFit="1" customWidth="1"/>
    <col min="11342" max="11342" width="21.28515625" style="18" bestFit="1" customWidth="1"/>
    <col min="11343" max="11343" width="20.28515625" style="18" bestFit="1" customWidth="1"/>
    <col min="11344" max="11344" width="21" style="18" bestFit="1" customWidth="1"/>
    <col min="11345" max="11345" width="18.85546875" style="18" bestFit="1" customWidth="1"/>
    <col min="11346" max="11346" width="80.7109375" style="18" customWidth="1"/>
    <col min="11347" max="11534" width="9.140625" style="18"/>
    <col min="11535" max="11535" width="2.5703125" style="18" customWidth="1"/>
    <col min="11536" max="11536" width="17.85546875" style="18" customWidth="1"/>
    <col min="11537" max="11537" width="41.5703125" style="18" customWidth="1"/>
    <col min="11538" max="11539" width="12" style="18" customWidth="1"/>
    <col min="11540" max="11540" width="17" style="18" customWidth="1"/>
    <col min="11541" max="11541" width="9.7109375" style="18" customWidth="1"/>
    <col min="11542" max="11542" width="12.28515625" style="18" customWidth="1"/>
    <col min="11543" max="11543" width="13.7109375" style="18" customWidth="1"/>
    <col min="11544" max="11544" width="13.5703125" style="18" bestFit="1" customWidth="1"/>
    <col min="11545" max="11545" width="13.5703125" style="18" customWidth="1"/>
    <col min="11546" max="11546" width="21" style="18" customWidth="1"/>
    <col min="11547" max="11550" width="13.42578125" style="18" customWidth="1"/>
    <col min="11551" max="11552" width="19" style="18" customWidth="1"/>
    <col min="11553" max="11553" width="34" style="18" customWidth="1"/>
    <col min="11554" max="11554" width="19" style="18" customWidth="1"/>
    <col min="11555" max="11555" width="20" style="18" bestFit="1" customWidth="1"/>
    <col min="11556" max="11556" width="20.28515625" style="18" bestFit="1" customWidth="1"/>
    <col min="11557" max="11557" width="26.7109375" style="18" customWidth="1"/>
    <col min="11558" max="11558" width="20.85546875" style="18" bestFit="1" customWidth="1"/>
    <col min="11559" max="11559" width="20.85546875" style="18" customWidth="1"/>
    <col min="11560" max="11560" width="18.85546875" style="18" customWidth="1"/>
    <col min="11561" max="11561" width="17.5703125" style="18" customWidth="1"/>
    <col min="11562" max="11563" width="19.42578125" style="18" customWidth="1"/>
    <col min="11564" max="11564" width="20.7109375" style="18" bestFit="1" customWidth="1"/>
    <col min="11565" max="11565" width="80.7109375" style="18" customWidth="1"/>
    <col min="11566" max="11566" width="14.7109375" style="18" bestFit="1" customWidth="1"/>
    <col min="11567" max="11567" width="18.140625" style="18" bestFit="1" customWidth="1"/>
    <col min="11568" max="11568" width="16.7109375" style="18" bestFit="1" customWidth="1"/>
    <col min="11569" max="11569" width="18.5703125" style="18" bestFit="1" customWidth="1"/>
    <col min="11570" max="11570" width="21.28515625" style="18" bestFit="1" customWidth="1"/>
    <col min="11571" max="11571" width="16.28515625" style="18" bestFit="1" customWidth="1"/>
    <col min="11572" max="11572" width="21.140625" style="18" bestFit="1" customWidth="1"/>
    <col min="11573" max="11573" width="19" style="18" bestFit="1" customWidth="1"/>
    <col min="11574" max="11574" width="19.140625" style="18" customWidth="1"/>
    <col min="11575" max="11575" width="16.7109375" style="18" customWidth="1"/>
    <col min="11576" max="11576" width="21.140625" style="18" bestFit="1" customWidth="1"/>
    <col min="11577" max="11577" width="20.42578125" style="18" bestFit="1" customWidth="1"/>
    <col min="11578" max="11578" width="21.140625" style="18" customWidth="1"/>
    <col min="11579" max="11579" width="20.5703125" style="18" bestFit="1" customWidth="1"/>
    <col min="11580" max="11580" width="19.7109375" style="18" bestFit="1" customWidth="1"/>
    <col min="11581" max="11581" width="20.28515625" style="18" customWidth="1"/>
    <col min="11582" max="11582" width="20.85546875" style="18" bestFit="1" customWidth="1"/>
    <col min="11583" max="11583" width="19.5703125" style="18" bestFit="1" customWidth="1"/>
    <col min="11584" max="11584" width="18" style="18" customWidth="1"/>
    <col min="11585" max="11585" width="20" style="18" bestFit="1" customWidth="1"/>
    <col min="11586" max="11586" width="35.7109375" style="18" customWidth="1"/>
    <col min="11587" max="11587" width="21.140625" style="18" bestFit="1" customWidth="1"/>
    <col min="11588" max="11588" width="20.5703125" style="18" bestFit="1" customWidth="1"/>
    <col min="11589" max="11589" width="19.42578125" style="18" bestFit="1" customWidth="1"/>
    <col min="11590" max="11590" width="18.5703125" style="18" bestFit="1" customWidth="1"/>
    <col min="11591" max="11591" width="20.5703125" style="18" bestFit="1" customWidth="1"/>
    <col min="11592" max="11592" width="21.28515625" style="18" bestFit="1" customWidth="1"/>
    <col min="11593" max="11593" width="15.42578125" style="18" customWidth="1"/>
    <col min="11594" max="11594" width="20.7109375" style="18" customWidth="1"/>
    <col min="11595" max="11595" width="21.28515625" style="18" customWidth="1"/>
    <col min="11596" max="11596" width="14.85546875" style="18" bestFit="1" customWidth="1"/>
    <col min="11597" max="11597" width="23" style="18" bestFit="1" customWidth="1"/>
    <col min="11598" max="11598" width="21.28515625" style="18" bestFit="1" customWidth="1"/>
    <col min="11599" max="11599" width="20.28515625" style="18" bestFit="1" customWidth="1"/>
    <col min="11600" max="11600" width="21" style="18" bestFit="1" customWidth="1"/>
    <col min="11601" max="11601" width="18.85546875" style="18" bestFit="1" customWidth="1"/>
    <col min="11602" max="11602" width="80.7109375" style="18" customWidth="1"/>
    <col min="11603" max="11790" width="9.140625" style="18"/>
    <col min="11791" max="11791" width="2.5703125" style="18" customWidth="1"/>
    <col min="11792" max="11792" width="17.85546875" style="18" customWidth="1"/>
    <col min="11793" max="11793" width="41.5703125" style="18" customWidth="1"/>
    <col min="11794" max="11795" width="12" style="18" customWidth="1"/>
    <col min="11796" max="11796" width="17" style="18" customWidth="1"/>
    <col min="11797" max="11797" width="9.7109375" style="18" customWidth="1"/>
    <col min="11798" max="11798" width="12.28515625" style="18" customWidth="1"/>
    <col min="11799" max="11799" width="13.7109375" style="18" customWidth="1"/>
    <col min="11800" max="11800" width="13.5703125" style="18" bestFit="1" customWidth="1"/>
    <col min="11801" max="11801" width="13.5703125" style="18" customWidth="1"/>
    <col min="11802" max="11802" width="21" style="18" customWidth="1"/>
    <col min="11803" max="11806" width="13.42578125" style="18" customWidth="1"/>
    <col min="11807" max="11808" width="19" style="18" customWidth="1"/>
    <col min="11809" max="11809" width="34" style="18" customWidth="1"/>
    <col min="11810" max="11810" width="19" style="18" customWidth="1"/>
    <col min="11811" max="11811" width="20" style="18" bestFit="1" customWidth="1"/>
    <col min="11812" max="11812" width="20.28515625" style="18" bestFit="1" customWidth="1"/>
    <col min="11813" max="11813" width="26.7109375" style="18" customWidth="1"/>
    <col min="11814" max="11814" width="20.85546875" style="18" bestFit="1" customWidth="1"/>
    <col min="11815" max="11815" width="20.85546875" style="18" customWidth="1"/>
    <col min="11816" max="11816" width="18.85546875" style="18" customWidth="1"/>
    <col min="11817" max="11817" width="17.5703125" style="18" customWidth="1"/>
    <col min="11818" max="11819" width="19.42578125" style="18" customWidth="1"/>
    <col min="11820" max="11820" width="20.7109375" style="18" bestFit="1" customWidth="1"/>
    <col min="11821" max="11821" width="80.7109375" style="18" customWidth="1"/>
    <col min="11822" max="11822" width="14.7109375" style="18" bestFit="1" customWidth="1"/>
    <col min="11823" max="11823" width="18.140625" style="18" bestFit="1" customWidth="1"/>
    <col min="11824" max="11824" width="16.7109375" style="18" bestFit="1" customWidth="1"/>
    <col min="11825" max="11825" width="18.5703125" style="18" bestFit="1" customWidth="1"/>
    <col min="11826" max="11826" width="21.28515625" style="18" bestFit="1" customWidth="1"/>
    <col min="11827" max="11827" width="16.28515625" style="18" bestFit="1" customWidth="1"/>
    <col min="11828" max="11828" width="21.140625" style="18" bestFit="1" customWidth="1"/>
    <col min="11829" max="11829" width="19" style="18" bestFit="1" customWidth="1"/>
    <col min="11830" max="11830" width="19.140625" style="18" customWidth="1"/>
    <col min="11831" max="11831" width="16.7109375" style="18" customWidth="1"/>
    <col min="11832" max="11832" width="21.140625" style="18" bestFit="1" customWidth="1"/>
    <col min="11833" max="11833" width="20.42578125" style="18" bestFit="1" customWidth="1"/>
    <col min="11834" max="11834" width="21.140625" style="18" customWidth="1"/>
    <col min="11835" max="11835" width="20.5703125" style="18" bestFit="1" customWidth="1"/>
    <col min="11836" max="11836" width="19.7109375" style="18" bestFit="1" customWidth="1"/>
    <col min="11837" max="11837" width="20.28515625" style="18" customWidth="1"/>
    <col min="11838" max="11838" width="20.85546875" style="18" bestFit="1" customWidth="1"/>
    <col min="11839" max="11839" width="19.5703125" style="18" bestFit="1" customWidth="1"/>
    <col min="11840" max="11840" width="18" style="18" customWidth="1"/>
    <col min="11841" max="11841" width="20" style="18" bestFit="1" customWidth="1"/>
    <col min="11842" max="11842" width="35.7109375" style="18" customWidth="1"/>
    <col min="11843" max="11843" width="21.140625" style="18" bestFit="1" customWidth="1"/>
    <col min="11844" max="11844" width="20.5703125" style="18" bestFit="1" customWidth="1"/>
    <col min="11845" max="11845" width="19.42578125" style="18" bestFit="1" customWidth="1"/>
    <col min="11846" max="11846" width="18.5703125" style="18" bestFit="1" customWidth="1"/>
    <col min="11847" max="11847" width="20.5703125" style="18" bestFit="1" customWidth="1"/>
    <col min="11848" max="11848" width="21.28515625" style="18" bestFit="1" customWidth="1"/>
    <col min="11849" max="11849" width="15.42578125" style="18" customWidth="1"/>
    <col min="11850" max="11850" width="20.7109375" style="18" customWidth="1"/>
    <col min="11851" max="11851" width="21.28515625" style="18" customWidth="1"/>
    <col min="11852" max="11852" width="14.85546875" style="18" bestFit="1" customWidth="1"/>
    <col min="11853" max="11853" width="23" style="18" bestFit="1" customWidth="1"/>
    <col min="11854" max="11854" width="21.28515625" style="18" bestFit="1" customWidth="1"/>
    <col min="11855" max="11855" width="20.28515625" style="18" bestFit="1" customWidth="1"/>
    <col min="11856" max="11856" width="21" style="18" bestFit="1" customWidth="1"/>
    <col min="11857" max="11857" width="18.85546875" style="18" bestFit="1" customWidth="1"/>
    <col min="11858" max="11858" width="80.7109375" style="18" customWidth="1"/>
    <col min="11859" max="12046" width="9.140625" style="18"/>
    <col min="12047" max="12047" width="2.5703125" style="18" customWidth="1"/>
    <col min="12048" max="12048" width="17.85546875" style="18" customWidth="1"/>
    <col min="12049" max="12049" width="41.5703125" style="18" customWidth="1"/>
    <col min="12050" max="12051" width="12" style="18" customWidth="1"/>
    <col min="12052" max="12052" width="17" style="18" customWidth="1"/>
    <col min="12053" max="12053" width="9.7109375" style="18" customWidth="1"/>
    <col min="12054" max="12054" width="12.28515625" style="18" customWidth="1"/>
    <col min="12055" max="12055" width="13.7109375" style="18" customWidth="1"/>
    <col min="12056" max="12056" width="13.5703125" style="18" bestFit="1" customWidth="1"/>
    <col min="12057" max="12057" width="13.5703125" style="18" customWidth="1"/>
    <col min="12058" max="12058" width="21" style="18" customWidth="1"/>
    <col min="12059" max="12062" width="13.42578125" style="18" customWidth="1"/>
    <col min="12063" max="12064" width="19" style="18" customWidth="1"/>
    <col min="12065" max="12065" width="34" style="18" customWidth="1"/>
    <col min="12066" max="12066" width="19" style="18" customWidth="1"/>
    <col min="12067" max="12067" width="20" style="18" bestFit="1" customWidth="1"/>
    <col min="12068" max="12068" width="20.28515625" style="18" bestFit="1" customWidth="1"/>
    <col min="12069" max="12069" width="26.7109375" style="18" customWidth="1"/>
    <col min="12070" max="12070" width="20.85546875" style="18" bestFit="1" customWidth="1"/>
    <col min="12071" max="12071" width="20.85546875" style="18" customWidth="1"/>
    <col min="12072" max="12072" width="18.85546875" style="18" customWidth="1"/>
    <col min="12073" max="12073" width="17.5703125" style="18" customWidth="1"/>
    <col min="12074" max="12075" width="19.42578125" style="18" customWidth="1"/>
    <col min="12076" max="12076" width="20.7109375" style="18" bestFit="1" customWidth="1"/>
    <col min="12077" max="12077" width="80.7109375" style="18" customWidth="1"/>
    <col min="12078" max="12078" width="14.7109375" style="18" bestFit="1" customWidth="1"/>
    <col min="12079" max="12079" width="18.140625" style="18" bestFit="1" customWidth="1"/>
    <col min="12080" max="12080" width="16.7109375" style="18" bestFit="1" customWidth="1"/>
    <col min="12081" max="12081" width="18.5703125" style="18" bestFit="1" customWidth="1"/>
    <col min="12082" max="12082" width="21.28515625" style="18" bestFit="1" customWidth="1"/>
    <col min="12083" max="12083" width="16.28515625" style="18" bestFit="1" customWidth="1"/>
    <col min="12084" max="12084" width="21.140625" style="18" bestFit="1" customWidth="1"/>
    <col min="12085" max="12085" width="19" style="18" bestFit="1" customWidth="1"/>
    <col min="12086" max="12086" width="19.140625" style="18" customWidth="1"/>
    <col min="12087" max="12087" width="16.7109375" style="18" customWidth="1"/>
    <col min="12088" max="12088" width="21.140625" style="18" bestFit="1" customWidth="1"/>
    <col min="12089" max="12089" width="20.42578125" style="18" bestFit="1" customWidth="1"/>
    <col min="12090" max="12090" width="21.140625" style="18" customWidth="1"/>
    <col min="12091" max="12091" width="20.5703125" style="18" bestFit="1" customWidth="1"/>
    <col min="12092" max="12092" width="19.7109375" style="18" bestFit="1" customWidth="1"/>
    <col min="12093" max="12093" width="20.28515625" style="18" customWidth="1"/>
    <col min="12094" max="12094" width="20.85546875" style="18" bestFit="1" customWidth="1"/>
    <col min="12095" max="12095" width="19.5703125" style="18" bestFit="1" customWidth="1"/>
    <col min="12096" max="12096" width="18" style="18" customWidth="1"/>
    <col min="12097" max="12097" width="20" style="18" bestFit="1" customWidth="1"/>
    <col min="12098" max="12098" width="35.7109375" style="18" customWidth="1"/>
    <col min="12099" max="12099" width="21.140625" style="18" bestFit="1" customWidth="1"/>
    <col min="12100" max="12100" width="20.5703125" style="18" bestFit="1" customWidth="1"/>
    <col min="12101" max="12101" width="19.42578125" style="18" bestFit="1" customWidth="1"/>
    <col min="12102" max="12102" width="18.5703125" style="18" bestFit="1" customWidth="1"/>
    <col min="12103" max="12103" width="20.5703125" style="18" bestFit="1" customWidth="1"/>
    <col min="12104" max="12104" width="21.28515625" style="18" bestFit="1" customWidth="1"/>
    <col min="12105" max="12105" width="15.42578125" style="18" customWidth="1"/>
    <col min="12106" max="12106" width="20.7109375" style="18" customWidth="1"/>
    <col min="12107" max="12107" width="21.28515625" style="18" customWidth="1"/>
    <col min="12108" max="12108" width="14.85546875" style="18" bestFit="1" customWidth="1"/>
    <col min="12109" max="12109" width="23" style="18" bestFit="1" customWidth="1"/>
    <col min="12110" max="12110" width="21.28515625" style="18" bestFit="1" customWidth="1"/>
    <col min="12111" max="12111" width="20.28515625" style="18" bestFit="1" customWidth="1"/>
    <col min="12112" max="12112" width="21" style="18" bestFit="1" customWidth="1"/>
    <col min="12113" max="12113" width="18.85546875" style="18" bestFit="1" customWidth="1"/>
    <col min="12114" max="12114" width="80.7109375" style="18" customWidth="1"/>
    <col min="12115" max="12302" width="9.140625" style="18"/>
    <col min="12303" max="12303" width="2.5703125" style="18" customWidth="1"/>
    <col min="12304" max="12304" width="17.85546875" style="18" customWidth="1"/>
    <col min="12305" max="12305" width="41.5703125" style="18" customWidth="1"/>
    <col min="12306" max="12307" width="12" style="18" customWidth="1"/>
    <col min="12308" max="12308" width="17" style="18" customWidth="1"/>
    <col min="12309" max="12309" width="9.7109375" style="18" customWidth="1"/>
    <col min="12310" max="12310" width="12.28515625" style="18" customWidth="1"/>
    <col min="12311" max="12311" width="13.7109375" style="18" customWidth="1"/>
    <col min="12312" max="12312" width="13.5703125" style="18" bestFit="1" customWidth="1"/>
    <col min="12313" max="12313" width="13.5703125" style="18" customWidth="1"/>
    <col min="12314" max="12314" width="21" style="18" customWidth="1"/>
    <col min="12315" max="12318" width="13.42578125" style="18" customWidth="1"/>
    <col min="12319" max="12320" width="19" style="18" customWidth="1"/>
    <col min="12321" max="12321" width="34" style="18" customWidth="1"/>
    <col min="12322" max="12322" width="19" style="18" customWidth="1"/>
    <col min="12323" max="12323" width="20" style="18" bestFit="1" customWidth="1"/>
    <col min="12324" max="12324" width="20.28515625" style="18" bestFit="1" customWidth="1"/>
    <col min="12325" max="12325" width="26.7109375" style="18" customWidth="1"/>
    <col min="12326" max="12326" width="20.85546875" style="18" bestFit="1" customWidth="1"/>
    <col min="12327" max="12327" width="20.85546875" style="18" customWidth="1"/>
    <col min="12328" max="12328" width="18.85546875" style="18" customWidth="1"/>
    <col min="12329" max="12329" width="17.5703125" style="18" customWidth="1"/>
    <col min="12330" max="12331" width="19.42578125" style="18" customWidth="1"/>
    <col min="12332" max="12332" width="20.7109375" style="18" bestFit="1" customWidth="1"/>
    <col min="12333" max="12333" width="80.7109375" style="18" customWidth="1"/>
    <col min="12334" max="12334" width="14.7109375" style="18" bestFit="1" customWidth="1"/>
    <col min="12335" max="12335" width="18.140625" style="18" bestFit="1" customWidth="1"/>
    <col min="12336" max="12336" width="16.7109375" style="18" bestFit="1" customWidth="1"/>
    <col min="12337" max="12337" width="18.5703125" style="18" bestFit="1" customWidth="1"/>
    <col min="12338" max="12338" width="21.28515625" style="18" bestFit="1" customWidth="1"/>
    <col min="12339" max="12339" width="16.28515625" style="18" bestFit="1" customWidth="1"/>
    <col min="12340" max="12340" width="21.140625" style="18" bestFit="1" customWidth="1"/>
    <col min="12341" max="12341" width="19" style="18" bestFit="1" customWidth="1"/>
    <col min="12342" max="12342" width="19.140625" style="18" customWidth="1"/>
    <col min="12343" max="12343" width="16.7109375" style="18" customWidth="1"/>
    <col min="12344" max="12344" width="21.140625" style="18" bestFit="1" customWidth="1"/>
    <col min="12345" max="12345" width="20.42578125" style="18" bestFit="1" customWidth="1"/>
    <col min="12346" max="12346" width="21.140625" style="18" customWidth="1"/>
    <col min="12347" max="12347" width="20.5703125" style="18" bestFit="1" customWidth="1"/>
    <col min="12348" max="12348" width="19.7109375" style="18" bestFit="1" customWidth="1"/>
    <col min="12349" max="12349" width="20.28515625" style="18" customWidth="1"/>
    <col min="12350" max="12350" width="20.85546875" style="18" bestFit="1" customWidth="1"/>
    <col min="12351" max="12351" width="19.5703125" style="18" bestFit="1" customWidth="1"/>
    <col min="12352" max="12352" width="18" style="18" customWidth="1"/>
    <col min="12353" max="12353" width="20" style="18" bestFit="1" customWidth="1"/>
    <col min="12354" max="12354" width="35.7109375" style="18" customWidth="1"/>
    <col min="12355" max="12355" width="21.140625" style="18" bestFit="1" customWidth="1"/>
    <col min="12356" max="12356" width="20.5703125" style="18" bestFit="1" customWidth="1"/>
    <col min="12357" max="12357" width="19.42578125" style="18" bestFit="1" customWidth="1"/>
    <col min="12358" max="12358" width="18.5703125" style="18" bestFit="1" customWidth="1"/>
    <col min="12359" max="12359" width="20.5703125" style="18" bestFit="1" customWidth="1"/>
    <col min="12360" max="12360" width="21.28515625" style="18" bestFit="1" customWidth="1"/>
    <col min="12361" max="12361" width="15.42578125" style="18" customWidth="1"/>
    <col min="12362" max="12362" width="20.7109375" style="18" customWidth="1"/>
    <col min="12363" max="12363" width="21.28515625" style="18" customWidth="1"/>
    <col min="12364" max="12364" width="14.85546875" style="18" bestFit="1" customWidth="1"/>
    <col min="12365" max="12365" width="23" style="18" bestFit="1" customWidth="1"/>
    <col min="12366" max="12366" width="21.28515625" style="18" bestFit="1" customWidth="1"/>
    <col min="12367" max="12367" width="20.28515625" style="18" bestFit="1" customWidth="1"/>
    <col min="12368" max="12368" width="21" style="18" bestFit="1" customWidth="1"/>
    <col min="12369" max="12369" width="18.85546875" style="18" bestFit="1" customWidth="1"/>
    <col min="12370" max="12370" width="80.7109375" style="18" customWidth="1"/>
    <col min="12371" max="12558" width="9.140625" style="18"/>
    <col min="12559" max="12559" width="2.5703125" style="18" customWidth="1"/>
    <col min="12560" max="12560" width="17.85546875" style="18" customWidth="1"/>
    <col min="12561" max="12561" width="41.5703125" style="18" customWidth="1"/>
    <col min="12562" max="12563" width="12" style="18" customWidth="1"/>
    <col min="12564" max="12564" width="17" style="18" customWidth="1"/>
    <col min="12565" max="12565" width="9.7109375" style="18" customWidth="1"/>
    <col min="12566" max="12566" width="12.28515625" style="18" customWidth="1"/>
    <col min="12567" max="12567" width="13.7109375" style="18" customWidth="1"/>
    <col min="12568" max="12568" width="13.5703125" style="18" bestFit="1" customWidth="1"/>
    <col min="12569" max="12569" width="13.5703125" style="18" customWidth="1"/>
    <col min="12570" max="12570" width="21" style="18" customWidth="1"/>
    <col min="12571" max="12574" width="13.42578125" style="18" customWidth="1"/>
    <col min="12575" max="12576" width="19" style="18" customWidth="1"/>
    <col min="12577" max="12577" width="34" style="18" customWidth="1"/>
    <col min="12578" max="12578" width="19" style="18" customWidth="1"/>
    <col min="12579" max="12579" width="20" style="18" bestFit="1" customWidth="1"/>
    <col min="12580" max="12580" width="20.28515625" style="18" bestFit="1" customWidth="1"/>
    <col min="12581" max="12581" width="26.7109375" style="18" customWidth="1"/>
    <col min="12582" max="12582" width="20.85546875" style="18" bestFit="1" customWidth="1"/>
    <col min="12583" max="12583" width="20.85546875" style="18" customWidth="1"/>
    <col min="12584" max="12584" width="18.85546875" style="18" customWidth="1"/>
    <col min="12585" max="12585" width="17.5703125" style="18" customWidth="1"/>
    <col min="12586" max="12587" width="19.42578125" style="18" customWidth="1"/>
    <col min="12588" max="12588" width="20.7109375" style="18" bestFit="1" customWidth="1"/>
    <col min="12589" max="12589" width="80.7109375" style="18" customWidth="1"/>
    <col min="12590" max="12590" width="14.7109375" style="18" bestFit="1" customWidth="1"/>
    <col min="12591" max="12591" width="18.140625" style="18" bestFit="1" customWidth="1"/>
    <col min="12592" max="12592" width="16.7109375" style="18" bestFit="1" customWidth="1"/>
    <col min="12593" max="12593" width="18.5703125" style="18" bestFit="1" customWidth="1"/>
    <col min="12594" max="12594" width="21.28515625" style="18" bestFit="1" customWidth="1"/>
    <col min="12595" max="12595" width="16.28515625" style="18" bestFit="1" customWidth="1"/>
    <col min="12596" max="12596" width="21.140625" style="18" bestFit="1" customWidth="1"/>
    <col min="12597" max="12597" width="19" style="18" bestFit="1" customWidth="1"/>
    <col min="12598" max="12598" width="19.140625" style="18" customWidth="1"/>
    <col min="12599" max="12599" width="16.7109375" style="18" customWidth="1"/>
    <col min="12600" max="12600" width="21.140625" style="18" bestFit="1" customWidth="1"/>
    <col min="12601" max="12601" width="20.42578125" style="18" bestFit="1" customWidth="1"/>
    <col min="12602" max="12602" width="21.140625" style="18" customWidth="1"/>
    <col min="12603" max="12603" width="20.5703125" style="18" bestFit="1" customWidth="1"/>
    <col min="12604" max="12604" width="19.7109375" style="18" bestFit="1" customWidth="1"/>
    <col min="12605" max="12605" width="20.28515625" style="18" customWidth="1"/>
    <col min="12606" max="12606" width="20.85546875" style="18" bestFit="1" customWidth="1"/>
    <col min="12607" max="12607" width="19.5703125" style="18" bestFit="1" customWidth="1"/>
    <col min="12608" max="12608" width="18" style="18" customWidth="1"/>
    <col min="12609" max="12609" width="20" style="18" bestFit="1" customWidth="1"/>
    <col min="12610" max="12610" width="35.7109375" style="18" customWidth="1"/>
    <col min="12611" max="12611" width="21.140625" style="18" bestFit="1" customWidth="1"/>
    <col min="12612" max="12612" width="20.5703125" style="18" bestFit="1" customWidth="1"/>
    <col min="12613" max="12613" width="19.42578125" style="18" bestFit="1" customWidth="1"/>
    <col min="12614" max="12614" width="18.5703125" style="18" bestFit="1" customWidth="1"/>
    <col min="12615" max="12615" width="20.5703125" style="18" bestFit="1" customWidth="1"/>
    <col min="12616" max="12616" width="21.28515625" style="18" bestFit="1" customWidth="1"/>
    <col min="12617" max="12617" width="15.42578125" style="18" customWidth="1"/>
    <col min="12618" max="12618" width="20.7109375" style="18" customWidth="1"/>
    <col min="12619" max="12619" width="21.28515625" style="18" customWidth="1"/>
    <col min="12620" max="12620" width="14.85546875" style="18" bestFit="1" customWidth="1"/>
    <col min="12621" max="12621" width="23" style="18" bestFit="1" customWidth="1"/>
    <col min="12622" max="12622" width="21.28515625" style="18" bestFit="1" customWidth="1"/>
    <col min="12623" max="12623" width="20.28515625" style="18" bestFit="1" customWidth="1"/>
    <col min="12624" max="12624" width="21" style="18" bestFit="1" customWidth="1"/>
    <col min="12625" max="12625" width="18.85546875" style="18" bestFit="1" customWidth="1"/>
    <col min="12626" max="12626" width="80.7109375" style="18" customWidth="1"/>
    <col min="12627" max="12814" width="9.140625" style="18"/>
    <col min="12815" max="12815" width="2.5703125" style="18" customWidth="1"/>
    <col min="12816" max="12816" width="17.85546875" style="18" customWidth="1"/>
    <col min="12817" max="12817" width="41.5703125" style="18" customWidth="1"/>
    <col min="12818" max="12819" width="12" style="18" customWidth="1"/>
    <col min="12820" max="12820" width="17" style="18" customWidth="1"/>
    <col min="12821" max="12821" width="9.7109375" style="18" customWidth="1"/>
    <col min="12822" max="12822" width="12.28515625" style="18" customWidth="1"/>
    <col min="12823" max="12823" width="13.7109375" style="18" customWidth="1"/>
    <col min="12824" max="12824" width="13.5703125" style="18" bestFit="1" customWidth="1"/>
    <col min="12825" max="12825" width="13.5703125" style="18" customWidth="1"/>
    <col min="12826" max="12826" width="21" style="18" customWidth="1"/>
    <col min="12827" max="12830" width="13.42578125" style="18" customWidth="1"/>
    <col min="12831" max="12832" width="19" style="18" customWidth="1"/>
    <col min="12833" max="12833" width="34" style="18" customWidth="1"/>
    <col min="12834" max="12834" width="19" style="18" customWidth="1"/>
    <col min="12835" max="12835" width="20" style="18" bestFit="1" customWidth="1"/>
    <col min="12836" max="12836" width="20.28515625" style="18" bestFit="1" customWidth="1"/>
    <col min="12837" max="12837" width="26.7109375" style="18" customWidth="1"/>
    <col min="12838" max="12838" width="20.85546875" style="18" bestFit="1" customWidth="1"/>
    <col min="12839" max="12839" width="20.85546875" style="18" customWidth="1"/>
    <col min="12840" max="12840" width="18.85546875" style="18" customWidth="1"/>
    <col min="12841" max="12841" width="17.5703125" style="18" customWidth="1"/>
    <col min="12842" max="12843" width="19.42578125" style="18" customWidth="1"/>
    <col min="12844" max="12844" width="20.7109375" style="18" bestFit="1" customWidth="1"/>
    <col min="12845" max="12845" width="80.7109375" style="18" customWidth="1"/>
    <col min="12846" max="12846" width="14.7109375" style="18" bestFit="1" customWidth="1"/>
    <col min="12847" max="12847" width="18.140625" style="18" bestFit="1" customWidth="1"/>
    <col min="12848" max="12848" width="16.7109375" style="18" bestFit="1" customWidth="1"/>
    <col min="12849" max="12849" width="18.5703125" style="18" bestFit="1" customWidth="1"/>
    <col min="12850" max="12850" width="21.28515625" style="18" bestFit="1" customWidth="1"/>
    <col min="12851" max="12851" width="16.28515625" style="18" bestFit="1" customWidth="1"/>
    <col min="12852" max="12852" width="21.140625" style="18" bestFit="1" customWidth="1"/>
    <col min="12853" max="12853" width="19" style="18" bestFit="1" customWidth="1"/>
    <col min="12854" max="12854" width="19.140625" style="18" customWidth="1"/>
    <col min="12855" max="12855" width="16.7109375" style="18" customWidth="1"/>
    <col min="12856" max="12856" width="21.140625" style="18" bestFit="1" customWidth="1"/>
    <col min="12857" max="12857" width="20.42578125" style="18" bestFit="1" customWidth="1"/>
    <col min="12858" max="12858" width="21.140625" style="18" customWidth="1"/>
    <col min="12859" max="12859" width="20.5703125" style="18" bestFit="1" customWidth="1"/>
    <col min="12860" max="12860" width="19.7109375" style="18" bestFit="1" customWidth="1"/>
    <col min="12861" max="12861" width="20.28515625" style="18" customWidth="1"/>
    <col min="12862" max="12862" width="20.85546875" style="18" bestFit="1" customWidth="1"/>
    <col min="12863" max="12863" width="19.5703125" style="18" bestFit="1" customWidth="1"/>
    <col min="12864" max="12864" width="18" style="18" customWidth="1"/>
    <col min="12865" max="12865" width="20" style="18" bestFit="1" customWidth="1"/>
    <col min="12866" max="12866" width="35.7109375" style="18" customWidth="1"/>
    <col min="12867" max="12867" width="21.140625" style="18" bestFit="1" customWidth="1"/>
    <col min="12868" max="12868" width="20.5703125" style="18" bestFit="1" customWidth="1"/>
    <col min="12869" max="12869" width="19.42578125" style="18" bestFit="1" customWidth="1"/>
    <col min="12870" max="12870" width="18.5703125" style="18" bestFit="1" customWidth="1"/>
    <col min="12871" max="12871" width="20.5703125" style="18" bestFit="1" customWidth="1"/>
    <col min="12872" max="12872" width="21.28515625" style="18" bestFit="1" customWidth="1"/>
    <col min="12873" max="12873" width="15.42578125" style="18" customWidth="1"/>
    <col min="12874" max="12874" width="20.7109375" style="18" customWidth="1"/>
    <col min="12875" max="12875" width="21.28515625" style="18" customWidth="1"/>
    <col min="12876" max="12876" width="14.85546875" style="18" bestFit="1" customWidth="1"/>
    <col min="12877" max="12877" width="23" style="18" bestFit="1" customWidth="1"/>
    <col min="12878" max="12878" width="21.28515625" style="18" bestFit="1" customWidth="1"/>
    <col min="12879" max="12879" width="20.28515625" style="18" bestFit="1" customWidth="1"/>
    <col min="12880" max="12880" width="21" style="18" bestFit="1" customWidth="1"/>
    <col min="12881" max="12881" width="18.85546875" style="18" bestFit="1" customWidth="1"/>
    <col min="12882" max="12882" width="80.7109375" style="18" customWidth="1"/>
    <col min="12883" max="13070" width="9.140625" style="18"/>
    <col min="13071" max="13071" width="2.5703125" style="18" customWidth="1"/>
    <col min="13072" max="13072" width="17.85546875" style="18" customWidth="1"/>
    <col min="13073" max="13073" width="41.5703125" style="18" customWidth="1"/>
    <col min="13074" max="13075" width="12" style="18" customWidth="1"/>
    <col min="13076" max="13076" width="17" style="18" customWidth="1"/>
    <col min="13077" max="13077" width="9.7109375" style="18" customWidth="1"/>
    <col min="13078" max="13078" width="12.28515625" style="18" customWidth="1"/>
    <col min="13079" max="13079" width="13.7109375" style="18" customWidth="1"/>
    <col min="13080" max="13080" width="13.5703125" style="18" bestFit="1" customWidth="1"/>
    <col min="13081" max="13081" width="13.5703125" style="18" customWidth="1"/>
    <col min="13082" max="13082" width="21" style="18" customWidth="1"/>
    <col min="13083" max="13086" width="13.42578125" style="18" customWidth="1"/>
    <col min="13087" max="13088" width="19" style="18" customWidth="1"/>
    <col min="13089" max="13089" width="34" style="18" customWidth="1"/>
    <col min="13090" max="13090" width="19" style="18" customWidth="1"/>
    <col min="13091" max="13091" width="20" style="18" bestFit="1" customWidth="1"/>
    <col min="13092" max="13092" width="20.28515625" style="18" bestFit="1" customWidth="1"/>
    <col min="13093" max="13093" width="26.7109375" style="18" customWidth="1"/>
    <col min="13094" max="13094" width="20.85546875" style="18" bestFit="1" customWidth="1"/>
    <col min="13095" max="13095" width="20.85546875" style="18" customWidth="1"/>
    <col min="13096" max="13096" width="18.85546875" style="18" customWidth="1"/>
    <col min="13097" max="13097" width="17.5703125" style="18" customWidth="1"/>
    <col min="13098" max="13099" width="19.42578125" style="18" customWidth="1"/>
    <col min="13100" max="13100" width="20.7109375" style="18" bestFit="1" customWidth="1"/>
    <col min="13101" max="13101" width="80.7109375" style="18" customWidth="1"/>
    <col min="13102" max="13102" width="14.7109375" style="18" bestFit="1" customWidth="1"/>
    <col min="13103" max="13103" width="18.140625" style="18" bestFit="1" customWidth="1"/>
    <col min="13104" max="13104" width="16.7109375" style="18" bestFit="1" customWidth="1"/>
    <col min="13105" max="13105" width="18.5703125" style="18" bestFit="1" customWidth="1"/>
    <col min="13106" max="13106" width="21.28515625" style="18" bestFit="1" customWidth="1"/>
    <col min="13107" max="13107" width="16.28515625" style="18" bestFit="1" customWidth="1"/>
    <col min="13108" max="13108" width="21.140625" style="18" bestFit="1" customWidth="1"/>
    <col min="13109" max="13109" width="19" style="18" bestFit="1" customWidth="1"/>
    <col min="13110" max="13110" width="19.140625" style="18" customWidth="1"/>
    <col min="13111" max="13111" width="16.7109375" style="18" customWidth="1"/>
    <col min="13112" max="13112" width="21.140625" style="18" bestFit="1" customWidth="1"/>
    <col min="13113" max="13113" width="20.42578125" style="18" bestFit="1" customWidth="1"/>
    <col min="13114" max="13114" width="21.140625" style="18" customWidth="1"/>
    <col min="13115" max="13115" width="20.5703125" style="18" bestFit="1" customWidth="1"/>
    <col min="13116" max="13116" width="19.7109375" style="18" bestFit="1" customWidth="1"/>
    <col min="13117" max="13117" width="20.28515625" style="18" customWidth="1"/>
    <col min="13118" max="13118" width="20.85546875" style="18" bestFit="1" customWidth="1"/>
    <col min="13119" max="13119" width="19.5703125" style="18" bestFit="1" customWidth="1"/>
    <col min="13120" max="13120" width="18" style="18" customWidth="1"/>
    <col min="13121" max="13121" width="20" style="18" bestFit="1" customWidth="1"/>
    <col min="13122" max="13122" width="35.7109375" style="18" customWidth="1"/>
    <col min="13123" max="13123" width="21.140625" style="18" bestFit="1" customWidth="1"/>
    <col min="13124" max="13124" width="20.5703125" style="18" bestFit="1" customWidth="1"/>
    <col min="13125" max="13125" width="19.42578125" style="18" bestFit="1" customWidth="1"/>
    <col min="13126" max="13126" width="18.5703125" style="18" bestFit="1" customWidth="1"/>
    <col min="13127" max="13127" width="20.5703125" style="18" bestFit="1" customWidth="1"/>
    <col min="13128" max="13128" width="21.28515625" style="18" bestFit="1" customWidth="1"/>
    <col min="13129" max="13129" width="15.42578125" style="18" customWidth="1"/>
    <col min="13130" max="13130" width="20.7109375" style="18" customWidth="1"/>
    <col min="13131" max="13131" width="21.28515625" style="18" customWidth="1"/>
    <col min="13132" max="13132" width="14.85546875" style="18" bestFit="1" customWidth="1"/>
    <col min="13133" max="13133" width="23" style="18" bestFit="1" customWidth="1"/>
    <col min="13134" max="13134" width="21.28515625" style="18" bestFit="1" customWidth="1"/>
    <col min="13135" max="13135" width="20.28515625" style="18" bestFit="1" customWidth="1"/>
    <col min="13136" max="13136" width="21" style="18" bestFit="1" customWidth="1"/>
    <col min="13137" max="13137" width="18.85546875" style="18" bestFit="1" customWidth="1"/>
    <col min="13138" max="13138" width="80.7109375" style="18" customWidth="1"/>
    <col min="13139" max="13326" width="9.140625" style="18"/>
    <col min="13327" max="13327" width="2.5703125" style="18" customWidth="1"/>
    <col min="13328" max="13328" width="17.85546875" style="18" customWidth="1"/>
    <col min="13329" max="13329" width="41.5703125" style="18" customWidth="1"/>
    <col min="13330" max="13331" width="12" style="18" customWidth="1"/>
    <col min="13332" max="13332" width="17" style="18" customWidth="1"/>
    <col min="13333" max="13333" width="9.7109375" style="18" customWidth="1"/>
    <col min="13334" max="13334" width="12.28515625" style="18" customWidth="1"/>
    <col min="13335" max="13335" width="13.7109375" style="18" customWidth="1"/>
    <col min="13336" max="13336" width="13.5703125" style="18" bestFit="1" customWidth="1"/>
    <col min="13337" max="13337" width="13.5703125" style="18" customWidth="1"/>
    <col min="13338" max="13338" width="21" style="18" customWidth="1"/>
    <col min="13339" max="13342" width="13.42578125" style="18" customWidth="1"/>
    <col min="13343" max="13344" width="19" style="18" customWidth="1"/>
    <col min="13345" max="13345" width="34" style="18" customWidth="1"/>
    <col min="13346" max="13346" width="19" style="18" customWidth="1"/>
    <col min="13347" max="13347" width="20" style="18" bestFit="1" customWidth="1"/>
    <col min="13348" max="13348" width="20.28515625" style="18" bestFit="1" customWidth="1"/>
    <col min="13349" max="13349" width="26.7109375" style="18" customWidth="1"/>
    <col min="13350" max="13350" width="20.85546875" style="18" bestFit="1" customWidth="1"/>
    <col min="13351" max="13351" width="20.85546875" style="18" customWidth="1"/>
    <col min="13352" max="13352" width="18.85546875" style="18" customWidth="1"/>
    <col min="13353" max="13353" width="17.5703125" style="18" customWidth="1"/>
    <col min="13354" max="13355" width="19.42578125" style="18" customWidth="1"/>
    <col min="13356" max="13356" width="20.7109375" style="18" bestFit="1" customWidth="1"/>
    <col min="13357" max="13357" width="80.7109375" style="18" customWidth="1"/>
    <col min="13358" max="13358" width="14.7109375" style="18" bestFit="1" customWidth="1"/>
    <col min="13359" max="13359" width="18.140625" style="18" bestFit="1" customWidth="1"/>
    <col min="13360" max="13360" width="16.7109375" style="18" bestFit="1" customWidth="1"/>
    <col min="13361" max="13361" width="18.5703125" style="18" bestFit="1" customWidth="1"/>
    <col min="13362" max="13362" width="21.28515625" style="18" bestFit="1" customWidth="1"/>
    <col min="13363" max="13363" width="16.28515625" style="18" bestFit="1" customWidth="1"/>
    <col min="13364" max="13364" width="21.140625" style="18" bestFit="1" customWidth="1"/>
    <col min="13365" max="13365" width="19" style="18" bestFit="1" customWidth="1"/>
    <col min="13366" max="13366" width="19.140625" style="18" customWidth="1"/>
    <col min="13367" max="13367" width="16.7109375" style="18" customWidth="1"/>
    <col min="13368" max="13368" width="21.140625" style="18" bestFit="1" customWidth="1"/>
    <col min="13369" max="13369" width="20.42578125" style="18" bestFit="1" customWidth="1"/>
    <col min="13370" max="13370" width="21.140625" style="18" customWidth="1"/>
    <col min="13371" max="13371" width="20.5703125" style="18" bestFit="1" customWidth="1"/>
    <col min="13372" max="13372" width="19.7109375" style="18" bestFit="1" customWidth="1"/>
    <col min="13373" max="13373" width="20.28515625" style="18" customWidth="1"/>
    <col min="13374" max="13374" width="20.85546875" style="18" bestFit="1" customWidth="1"/>
    <col min="13375" max="13375" width="19.5703125" style="18" bestFit="1" customWidth="1"/>
    <col min="13376" max="13376" width="18" style="18" customWidth="1"/>
    <col min="13377" max="13377" width="20" style="18" bestFit="1" customWidth="1"/>
    <col min="13378" max="13378" width="35.7109375" style="18" customWidth="1"/>
    <col min="13379" max="13379" width="21.140625" style="18" bestFit="1" customWidth="1"/>
    <col min="13380" max="13380" width="20.5703125" style="18" bestFit="1" customWidth="1"/>
    <col min="13381" max="13381" width="19.42578125" style="18" bestFit="1" customWidth="1"/>
    <col min="13382" max="13382" width="18.5703125" style="18" bestFit="1" customWidth="1"/>
    <col min="13383" max="13383" width="20.5703125" style="18" bestFit="1" customWidth="1"/>
    <col min="13384" max="13384" width="21.28515625" style="18" bestFit="1" customWidth="1"/>
    <col min="13385" max="13385" width="15.42578125" style="18" customWidth="1"/>
    <col min="13386" max="13386" width="20.7109375" style="18" customWidth="1"/>
    <col min="13387" max="13387" width="21.28515625" style="18" customWidth="1"/>
    <col min="13388" max="13388" width="14.85546875" style="18" bestFit="1" customWidth="1"/>
    <col min="13389" max="13389" width="23" style="18" bestFit="1" customWidth="1"/>
    <col min="13390" max="13390" width="21.28515625" style="18" bestFit="1" customWidth="1"/>
    <col min="13391" max="13391" width="20.28515625" style="18" bestFit="1" customWidth="1"/>
    <col min="13392" max="13392" width="21" style="18" bestFit="1" customWidth="1"/>
    <col min="13393" max="13393" width="18.85546875" style="18" bestFit="1" customWidth="1"/>
    <col min="13394" max="13394" width="80.7109375" style="18" customWidth="1"/>
    <col min="13395" max="13582" width="9.140625" style="18"/>
    <col min="13583" max="13583" width="2.5703125" style="18" customWidth="1"/>
    <col min="13584" max="13584" width="17.85546875" style="18" customWidth="1"/>
    <col min="13585" max="13585" width="41.5703125" style="18" customWidth="1"/>
    <col min="13586" max="13587" width="12" style="18" customWidth="1"/>
    <col min="13588" max="13588" width="17" style="18" customWidth="1"/>
    <col min="13589" max="13589" width="9.7109375" style="18" customWidth="1"/>
    <col min="13590" max="13590" width="12.28515625" style="18" customWidth="1"/>
    <col min="13591" max="13591" width="13.7109375" style="18" customWidth="1"/>
    <col min="13592" max="13592" width="13.5703125" style="18" bestFit="1" customWidth="1"/>
    <col min="13593" max="13593" width="13.5703125" style="18" customWidth="1"/>
    <col min="13594" max="13594" width="21" style="18" customWidth="1"/>
    <col min="13595" max="13598" width="13.42578125" style="18" customWidth="1"/>
    <col min="13599" max="13600" width="19" style="18" customWidth="1"/>
    <col min="13601" max="13601" width="34" style="18" customWidth="1"/>
    <col min="13602" max="13602" width="19" style="18" customWidth="1"/>
    <col min="13603" max="13603" width="20" style="18" bestFit="1" customWidth="1"/>
    <col min="13604" max="13604" width="20.28515625" style="18" bestFit="1" customWidth="1"/>
    <col min="13605" max="13605" width="26.7109375" style="18" customWidth="1"/>
    <col min="13606" max="13606" width="20.85546875" style="18" bestFit="1" customWidth="1"/>
    <col min="13607" max="13607" width="20.85546875" style="18" customWidth="1"/>
    <col min="13608" max="13608" width="18.85546875" style="18" customWidth="1"/>
    <col min="13609" max="13609" width="17.5703125" style="18" customWidth="1"/>
    <col min="13610" max="13611" width="19.42578125" style="18" customWidth="1"/>
    <col min="13612" max="13612" width="20.7109375" style="18" bestFit="1" customWidth="1"/>
    <col min="13613" max="13613" width="80.7109375" style="18" customWidth="1"/>
    <col min="13614" max="13614" width="14.7109375" style="18" bestFit="1" customWidth="1"/>
    <col min="13615" max="13615" width="18.140625" style="18" bestFit="1" customWidth="1"/>
    <col min="13616" max="13616" width="16.7109375" style="18" bestFit="1" customWidth="1"/>
    <col min="13617" max="13617" width="18.5703125" style="18" bestFit="1" customWidth="1"/>
    <col min="13618" max="13618" width="21.28515625" style="18" bestFit="1" customWidth="1"/>
    <col min="13619" max="13619" width="16.28515625" style="18" bestFit="1" customWidth="1"/>
    <col min="13620" max="13620" width="21.140625" style="18" bestFit="1" customWidth="1"/>
    <col min="13621" max="13621" width="19" style="18" bestFit="1" customWidth="1"/>
    <col min="13622" max="13622" width="19.140625" style="18" customWidth="1"/>
    <col min="13623" max="13623" width="16.7109375" style="18" customWidth="1"/>
    <col min="13624" max="13624" width="21.140625" style="18" bestFit="1" customWidth="1"/>
    <col min="13625" max="13625" width="20.42578125" style="18" bestFit="1" customWidth="1"/>
    <col min="13626" max="13626" width="21.140625" style="18" customWidth="1"/>
    <col min="13627" max="13627" width="20.5703125" style="18" bestFit="1" customWidth="1"/>
    <col min="13628" max="13628" width="19.7109375" style="18" bestFit="1" customWidth="1"/>
    <col min="13629" max="13629" width="20.28515625" style="18" customWidth="1"/>
    <col min="13630" max="13630" width="20.85546875" style="18" bestFit="1" customWidth="1"/>
    <col min="13631" max="13631" width="19.5703125" style="18" bestFit="1" customWidth="1"/>
    <col min="13632" max="13632" width="18" style="18" customWidth="1"/>
    <col min="13633" max="13633" width="20" style="18" bestFit="1" customWidth="1"/>
    <col min="13634" max="13634" width="35.7109375" style="18" customWidth="1"/>
    <col min="13635" max="13635" width="21.140625" style="18" bestFit="1" customWidth="1"/>
    <col min="13636" max="13636" width="20.5703125" style="18" bestFit="1" customWidth="1"/>
    <col min="13637" max="13637" width="19.42578125" style="18" bestFit="1" customWidth="1"/>
    <col min="13638" max="13638" width="18.5703125" style="18" bestFit="1" customWidth="1"/>
    <col min="13639" max="13639" width="20.5703125" style="18" bestFit="1" customWidth="1"/>
    <col min="13640" max="13640" width="21.28515625" style="18" bestFit="1" customWidth="1"/>
    <col min="13641" max="13641" width="15.42578125" style="18" customWidth="1"/>
    <col min="13642" max="13642" width="20.7109375" style="18" customWidth="1"/>
    <col min="13643" max="13643" width="21.28515625" style="18" customWidth="1"/>
    <col min="13644" max="13644" width="14.85546875" style="18" bestFit="1" customWidth="1"/>
    <col min="13645" max="13645" width="23" style="18" bestFit="1" customWidth="1"/>
    <col min="13646" max="13646" width="21.28515625" style="18" bestFit="1" customWidth="1"/>
    <col min="13647" max="13647" width="20.28515625" style="18" bestFit="1" customWidth="1"/>
    <col min="13648" max="13648" width="21" style="18" bestFit="1" customWidth="1"/>
    <col min="13649" max="13649" width="18.85546875" style="18" bestFit="1" customWidth="1"/>
    <col min="13650" max="13650" width="80.7109375" style="18" customWidth="1"/>
    <col min="13651" max="13838" width="9.140625" style="18"/>
    <col min="13839" max="13839" width="2.5703125" style="18" customWidth="1"/>
    <col min="13840" max="13840" width="17.85546875" style="18" customWidth="1"/>
    <col min="13841" max="13841" width="41.5703125" style="18" customWidth="1"/>
    <col min="13842" max="13843" width="12" style="18" customWidth="1"/>
    <col min="13844" max="13844" width="17" style="18" customWidth="1"/>
    <col min="13845" max="13845" width="9.7109375" style="18" customWidth="1"/>
    <col min="13846" max="13846" width="12.28515625" style="18" customWidth="1"/>
    <col min="13847" max="13847" width="13.7109375" style="18" customWidth="1"/>
    <col min="13848" max="13848" width="13.5703125" style="18" bestFit="1" customWidth="1"/>
    <col min="13849" max="13849" width="13.5703125" style="18" customWidth="1"/>
    <col min="13850" max="13850" width="21" style="18" customWidth="1"/>
    <col min="13851" max="13854" width="13.42578125" style="18" customWidth="1"/>
    <col min="13855" max="13856" width="19" style="18" customWidth="1"/>
    <col min="13857" max="13857" width="34" style="18" customWidth="1"/>
    <col min="13858" max="13858" width="19" style="18" customWidth="1"/>
    <col min="13859" max="13859" width="20" style="18" bestFit="1" customWidth="1"/>
    <col min="13860" max="13860" width="20.28515625" style="18" bestFit="1" customWidth="1"/>
    <col min="13861" max="13861" width="26.7109375" style="18" customWidth="1"/>
    <col min="13862" max="13862" width="20.85546875" style="18" bestFit="1" customWidth="1"/>
    <col min="13863" max="13863" width="20.85546875" style="18" customWidth="1"/>
    <col min="13864" max="13864" width="18.85546875" style="18" customWidth="1"/>
    <col min="13865" max="13865" width="17.5703125" style="18" customWidth="1"/>
    <col min="13866" max="13867" width="19.42578125" style="18" customWidth="1"/>
    <col min="13868" max="13868" width="20.7109375" style="18" bestFit="1" customWidth="1"/>
    <col min="13869" max="13869" width="80.7109375" style="18" customWidth="1"/>
    <col min="13870" max="13870" width="14.7109375" style="18" bestFit="1" customWidth="1"/>
    <col min="13871" max="13871" width="18.140625" style="18" bestFit="1" customWidth="1"/>
    <col min="13872" max="13872" width="16.7109375" style="18" bestFit="1" customWidth="1"/>
    <col min="13873" max="13873" width="18.5703125" style="18" bestFit="1" customWidth="1"/>
    <col min="13874" max="13874" width="21.28515625" style="18" bestFit="1" customWidth="1"/>
    <col min="13875" max="13875" width="16.28515625" style="18" bestFit="1" customWidth="1"/>
    <col min="13876" max="13876" width="21.140625" style="18" bestFit="1" customWidth="1"/>
    <col min="13877" max="13877" width="19" style="18" bestFit="1" customWidth="1"/>
    <col min="13878" max="13878" width="19.140625" style="18" customWidth="1"/>
    <col min="13879" max="13879" width="16.7109375" style="18" customWidth="1"/>
    <col min="13880" max="13880" width="21.140625" style="18" bestFit="1" customWidth="1"/>
    <col min="13881" max="13881" width="20.42578125" style="18" bestFit="1" customWidth="1"/>
    <col min="13882" max="13882" width="21.140625" style="18" customWidth="1"/>
    <col min="13883" max="13883" width="20.5703125" style="18" bestFit="1" customWidth="1"/>
    <col min="13884" max="13884" width="19.7109375" style="18" bestFit="1" customWidth="1"/>
    <col min="13885" max="13885" width="20.28515625" style="18" customWidth="1"/>
    <col min="13886" max="13886" width="20.85546875" style="18" bestFit="1" customWidth="1"/>
    <col min="13887" max="13887" width="19.5703125" style="18" bestFit="1" customWidth="1"/>
    <col min="13888" max="13888" width="18" style="18" customWidth="1"/>
    <col min="13889" max="13889" width="20" style="18" bestFit="1" customWidth="1"/>
    <col min="13890" max="13890" width="35.7109375" style="18" customWidth="1"/>
    <col min="13891" max="13891" width="21.140625" style="18" bestFit="1" customWidth="1"/>
    <col min="13892" max="13892" width="20.5703125" style="18" bestFit="1" customWidth="1"/>
    <col min="13893" max="13893" width="19.42578125" style="18" bestFit="1" customWidth="1"/>
    <col min="13894" max="13894" width="18.5703125" style="18" bestFit="1" customWidth="1"/>
    <col min="13895" max="13895" width="20.5703125" style="18" bestFit="1" customWidth="1"/>
    <col min="13896" max="13896" width="21.28515625" style="18" bestFit="1" customWidth="1"/>
    <col min="13897" max="13897" width="15.42578125" style="18" customWidth="1"/>
    <col min="13898" max="13898" width="20.7109375" style="18" customWidth="1"/>
    <col min="13899" max="13899" width="21.28515625" style="18" customWidth="1"/>
    <col min="13900" max="13900" width="14.85546875" style="18" bestFit="1" customWidth="1"/>
    <col min="13901" max="13901" width="23" style="18" bestFit="1" customWidth="1"/>
    <col min="13902" max="13902" width="21.28515625" style="18" bestFit="1" customWidth="1"/>
    <col min="13903" max="13903" width="20.28515625" style="18" bestFit="1" customWidth="1"/>
    <col min="13904" max="13904" width="21" style="18" bestFit="1" customWidth="1"/>
    <col min="13905" max="13905" width="18.85546875" style="18" bestFit="1" customWidth="1"/>
    <col min="13906" max="13906" width="80.7109375" style="18" customWidth="1"/>
    <col min="13907" max="14094" width="9.140625" style="18"/>
    <col min="14095" max="14095" width="2.5703125" style="18" customWidth="1"/>
    <col min="14096" max="14096" width="17.85546875" style="18" customWidth="1"/>
    <col min="14097" max="14097" width="41.5703125" style="18" customWidth="1"/>
    <col min="14098" max="14099" width="12" style="18" customWidth="1"/>
    <col min="14100" max="14100" width="17" style="18" customWidth="1"/>
    <col min="14101" max="14101" width="9.7109375" style="18" customWidth="1"/>
    <col min="14102" max="14102" width="12.28515625" style="18" customWidth="1"/>
    <col min="14103" max="14103" width="13.7109375" style="18" customWidth="1"/>
    <col min="14104" max="14104" width="13.5703125" style="18" bestFit="1" customWidth="1"/>
    <col min="14105" max="14105" width="13.5703125" style="18" customWidth="1"/>
    <col min="14106" max="14106" width="21" style="18" customWidth="1"/>
    <col min="14107" max="14110" width="13.42578125" style="18" customWidth="1"/>
    <col min="14111" max="14112" width="19" style="18" customWidth="1"/>
    <col min="14113" max="14113" width="34" style="18" customWidth="1"/>
    <col min="14114" max="14114" width="19" style="18" customWidth="1"/>
    <col min="14115" max="14115" width="20" style="18" bestFit="1" customWidth="1"/>
    <col min="14116" max="14116" width="20.28515625" style="18" bestFit="1" customWidth="1"/>
    <col min="14117" max="14117" width="26.7109375" style="18" customWidth="1"/>
    <col min="14118" max="14118" width="20.85546875" style="18" bestFit="1" customWidth="1"/>
    <col min="14119" max="14119" width="20.85546875" style="18" customWidth="1"/>
    <col min="14120" max="14120" width="18.85546875" style="18" customWidth="1"/>
    <col min="14121" max="14121" width="17.5703125" style="18" customWidth="1"/>
    <col min="14122" max="14123" width="19.42578125" style="18" customWidth="1"/>
    <col min="14124" max="14124" width="20.7109375" style="18" bestFit="1" customWidth="1"/>
    <col min="14125" max="14125" width="80.7109375" style="18" customWidth="1"/>
    <col min="14126" max="14126" width="14.7109375" style="18" bestFit="1" customWidth="1"/>
    <col min="14127" max="14127" width="18.140625" style="18" bestFit="1" customWidth="1"/>
    <col min="14128" max="14128" width="16.7109375" style="18" bestFit="1" customWidth="1"/>
    <col min="14129" max="14129" width="18.5703125" style="18" bestFit="1" customWidth="1"/>
    <col min="14130" max="14130" width="21.28515625" style="18" bestFit="1" customWidth="1"/>
    <col min="14131" max="14131" width="16.28515625" style="18" bestFit="1" customWidth="1"/>
    <col min="14132" max="14132" width="21.140625" style="18" bestFit="1" customWidth="1"/>
    <col min="14133" max="14133" width="19" style="18" bestFit="1" customWidth="1"/>
    <col min="14134" max="14134" width="19.140625" style="18" customWidth="1"/>
    <col min="14135" max="14135" width="16.7109375" style="18" customWidth="1"/>
    <col min="14136" max="14136" width="21.140625" style="18" bestFit="1" customWidth="1"/>
    <col min="14137" max="14137" width="20.42578125" style="18" bestFit="1" customWidth="1"/>
    <col min="14138" max="14138" width="21.140625" style="18" customWidth="1"/>
    <col min="14139" max="14139" width="20.5703125" style="18" bestFit="1" customWidth="1"/>
    <col min="14140" max="14140" width="19.7109375" style="18" bestFit="1" customWidth="1"/>
    <col min="14141" max="14141" width="20.28515625" style="18" customWidth="1"/>
    <col min="14142" max="14142" width="20.85546875" style="18" bestFit="1" customWidth="1"/>
    <col min="14143" max="14143" width="19.5703125" style="18" bestFit="1" customWidth="1"/>
    <col min="14144" max="14144" width="18" style="18" customWidth="1"/>
    <col min="14145" max="14145" width="20" style="18" bestFit="1" customWidth="1"/>
    <col min="14146" max="14146" width="35.7109375" style="18" customWidth="1"/>
    <col min="14147" max="14147" width="21.140625" style="18" bestFit="1" customWidth="1"/>
    <col min="14148" max="14148" width="20.5703125" style="18" bestFit="1" customWidth="1"/>
    <col min="14149" max="14149" width="19.42578125" style="18" bestFit="1" customWidth="1"/>
    <col min="14150" max="14150" width="18.5703125" style="18" bestFit="1" customWidth="1"/>
    <col min="14151" max="14151" width="20.5703125" style="18" bestFit="1" customWidth="1"/>
    <col min="14152" max="14152" width="21.28515625" style="18" bestFit="1" customWidth="1"/>
    <col min="14153" max="14153" width="15.42578125" style="18" customWidth="1"/>
    <col min="14154" max="14154" width="20.7109375" style="18" customWidth="1"/>
    <col min="14155" max="14155" width="21.28515625" style="18" customWidth="1"/>
    <col min="14156" max="14156" width="14.85546875" style="18" bestFit="1" customWidth="1"/>
    <col min="14157" max="14157" width="23" style="18" bestFit="1" customWidth="1"/>
    <col min="14158" max="14158" width="21.28515625" style="18" bestFit="1" customWidth="1"/>
    <col min="14159" max="14159" width="20.28515625" style="18" bestFit="1" customWidth="1"/>
    <col min="14160" max="14160" width="21" style="18" bestFit="1" customWidth="1"/>
    <col min="14161" max="14161" width="18.85546875" style="18" bestFit="1" customWidth="1"/>
    <col min="14162" max="14162" width="80.7109375" style="18" customWidth="1"/>
    <col min="14163" max="14350" width="9.140625" style="18"/>
    <col min="14351" max="14351" width="2.5703125" style="18" customWidth="1"/>
    <col min="14352" max="14352" width="17.85546875" style="18" customWidth="1"/>
    <col min="14353" max="14353" width="41.5703125" style="18" customWidth="1"/>
    <col min="14354" max="14355" width="12" style="18" customWidth="1"/>
    <col min="14356" max="14356" width="17" style="18" customWidth="1"/>
    <col min="14357" max="14357" width="9.7109375" style="18" customWidth="1"/>
    <col min="14358" max="14358" width="12.28515625" style="18" customWidth="1"/>
    <col min="14359" max="14359" width="13.7109375" style="18" customWidth="1"/>
    <col min="14360" max="14360" width="13.5703125" style="18" bestFit="1" customWidth="1"/>
    <col min="14361" max="14361" width="13.5703125" style="18" customWidth="1"/>
    <col min="14362" max="14362" width="21" style="18" customWidth="1"/>
    <col min="14363" max="14366" width="13.42578125" style="18" customWidth="1"/>
    <col min="14367" max="14368" width="19" style="18" customWidth="1"/>
    <col min="14369" max="14369" width="34" style="18" customWidth="1"/>
    <col min="14370" max="14370" width="19" style="18" customWidth="1"/>
    <col min="14371" max="14371" width="20" style="18" bestFit="1" customWidth="1"/>
    <col min="14372" max="14372" width="20.28515625" style="18" bestFit="1" customWidth="1"/>
    <col min="14373" max="14373" width="26.7109375" style="18" customWidth="1"/>
    <col min="14374" max="14374" width="20.85546875" style="18" bestFit="1" customWidth="1"/>
    <col min="14375" max="14375" width="20.85546875" style="18" customWidth="1"/>
    <col min="14376" max="14376" width="18.85546875" style="18" customWidth="1"/>
    <col min="14377" max="14377" width="17.5703125" style="18" customWidth="1"/>
    <col min="14378" max="14379" width="19.42578125" style="18" customWidth="1"/>
    <col min="14380" max="14380" width="20.7109375" style="18" bestFit="1" customWidth="1"/>
    <col min="14381" max="14381" width="80.7109375" style="18" customWidth="1"/>
    <col min="14382" max="14382" width="14.7109375" style="18" bestFit="1" customWidth="1"/>
    <col min="14383" max="14383" width="18.140625" style="18" bestFit="1" customWidth="1"/>
    <col min="14384" max="14384" width="16.7109375" style="18" bestFit="1" customWidth="1"/>
    <col min="14385" max="14385" width="18.5703125" style="18" bestFit="1" customWidth="1"/>
    <col min="14386" max="14386" width="21.28515625" style="18" bestFit="1" customWidth="1"/>
    <col min="14387" max="14387" width="16.28515625" style="18" bestFit="1" customWidth="1"/>
    <col min="14388" max="14388" width="21.140625" style="18" bestFit="1" customWidth="1"/>
    <col min="14389" max="14389" width="19" style="18" bestFit="1" customWidth="1"/>
    <col min="14390" max="14390" width="19.140625" style="18" customWidth="1"/>
    <col min="14391" max="14391" width="16.7109375" style="18" customWidth="1"/>
    <col min="14392" max="14392" width="21.140625" style="18" bestFit="1" customWidth="1"/>
    <col min="14393" max="14393" width="20.42578125" style="18" bestFit="1" customWidth="1"/>
    <col min="14394" max="14394" width="21.140625" style="18" customWidth="1"/>
    <col min="14395" max="14395" width="20.5703125" style="18" bestFit="1" customWidth="1"/>
    <col min="14396" max="14396" width="19.7109375" style="18" bestFit="1" customWidth="1"/>
    <col min="14397" max="14397" width="20.28515625" style="18" customWidth="1"/>
    <col min="14398" max="14398" width="20.85546875" style="18" bestFit="1" customWidth="1"/>
    <col min="14399" max="14399" width="19.5703125" style="18" bestFit="1" customWidth="1"/>
    <col min="14400" max="14400" width="18" style="18" customWidth="1"/>
    <col min="14401" max="14401" width="20" style="18" bestFit="1" customWidth="1"/>
    <col min="14402" max="14402" width="35.7109375" style="18" customWidth="1"/>
    <col min="14403" max="14403" width="21.140625" style="18" bestFit="1" customWidth="1"/>
    <col min="14404" max="14404" width="20.5703125" style="18" bestFit="1" customWidth="1"/>
    <col min="14405" max="14405" width="19.42578125" style="18" bestFit="1" customWidth="1"/>
    <col min="14406" max="14406" width="18.5703125" style="18" bestFit="1" customWidth="1"/>
    <col min="14407" max="14407" width="20.5703125" style="18" bestFit="1" customWidth="1"/>
    <col min="14408" max="14408" width="21.28515625" style="18" bestFit="1" customWidth="1"/>
    <col min="14409" max="14409" width="15.42578125" style="18" customWidth="1"/>
    <col min="14410" max="14410" width="20.7109375" style="18" customWidth="1"/>
    <col min="14411" max="14411" width="21.28515625" style="18" customWidth="1"/>
    <col min="14412" max="14412" width="14.85546875" style="18" bestFit="1" customWidth="1"/>
    <col min="14413" max="14413" width="23" style="18" bestFit="1" customWidth="1"/>
    <col min="14414" max="14414" width="21.28515625" style="18" bestFit="1" customWidth="1"/>
    <col min="14415" max="14415" width="20.28515625" style="18" bestFit="1" customWidth="1"/>
    <col min="14416" max="14416" width="21" style="18" bestFit="1" customWidth="1"/>
    <col min="14417" max="14417" width="18.85546875" style="18" bestFit="1" customWidth="1"/>
    <col min="14418" max="14418" width="80.7109375" style="18" customWidth="1"/>
    <col min="14419" max="14606" width="9.140625" style="18"/>
    <col min="14607" max="14607" width="2.5703125" style="18" customWidth="1"/>
    <col min="14608" max="14608" width="17.85546875" style="18" customWidth="1"/>
    <col min="14609" max="14609" width="41.5703125" style="18" customWidth="1"/>
    <col min="14610" max="14611" width="12" style="18" customWidth="1"/>
    <col min="14612" max="14612" width="17" style="18" customWidth="1"/>
    <col min="14613" max="14613" width="9.7109375" style="18" customWidth="1"/>
    <col min="14614" max="14614" width="12.28515625" style="18" customWidth="1"/>
    <col min="14615" max="14615" width="13.7109375" style="18" customWidth="1"/>
    <col min="14616" max="14616" width="13.5703125" style="18" bestFit="1" customWidth="1"/>
    <col min="14617" max="14617" width="13.5703125" style="18" customWidth="1"/>
    <col min="14618" max="14618" width="21" style="18" customWidth="1"/>
    <col min="14619" max="14622" width="13.42578125" style="18" customWidth="1"/>
    <col min="14623" max="14624" width="19" style="18" customWidth="1"/>
    <col min="14625" max="14625" width="34" style="18" customWidth="1"/>
    <col min="14626" max="14626" width="19" style="18" customWidth="1"/>
    <col min="14627" max="14627" width="20" style="18" bestFit="1" customWidth="1"/>
    <col min="14628" max="14628" width="20.28515625" style="18" bestFit="1" customWidth="1"/>
    <col min="14629" max="14629" width="26.7109375" style="18" customWidth="1"/>
    <col min="14630" max="14630" width="20.85546875" style="18" bestFit="1" customWidth="1"/>
    <col min="14631" max="14631" width="20.85546875" style="18" customWidth="1"/>
    <col min="14632" max="14632" width="18.85546875" style="18" customWidth="1"/>
    <col min="14633" max="14633" width="17.5703125" style="18" customWidth="1"/>
    <col min="14634" max="14635" width="19.42578125" style="18" customWidth="1"/>
    <col min="14636" max="14636" width="20.7109375" style="18" bestFit="1" customWidth="1"/>
    <col min="14637" max="14637" width="80.7109375" style="18" customWidth="1"/>
    <col min="14638" max="14638" width="14.7109375" style="18" bestFit="1" customWidth="1"/>
    <col min="14639" max="14639" width="18.140625" style="18" bestFit="1" customWidth="1"/>
    <col min="14640" max="14640" width="16.7109375" style="18" bestFit="1" customWidth="1"/>
    <col min="14641" max="14641" width="18.5703125" style="18" bestFit="1" customWidth="1"/>
    <col min="14642" max="14642" width="21.28515625" style="18" bestFit="1" customWidth="1"/>
    <col min="14643" max="14643" width="16.28515625" style="18" bestFit="1" customWidth="1"/>
    <col min="14644" max="14644" width="21.140625" style="18" bestFit="1" customWidth="1"/>
    <col min="14645" max="14645" width="19" style="18" bestFit="1" customWidth="1"/>
    <col min="14646" max="14646" width="19.140625" style="18" customWidth="1"/>
    <col min="14647" max="14647" width="16.7109375" style="18" customWidth="1"/>
    <col min="14648" max="14648" width="21.140625" style="18" bestFit="1" customWidth="1"/>
    <col min="14649" max="14649" width="20.42578125" style="18" bestFit="1" customWidth="1"/>
    <col min="14650" max="14650" width="21.140625" style="18" customWidth="1"/>
    <col min="14651" max="14651" width="20.5703125" style="18" bestFit="1" customWidth="1"/>
    <col min="14652" max="14652" width="19.7109375" style="18" bestFit="1" customWidth="1"/>
    <col min="14653" max="14653" width="20.28515625" style="18" customWidth="1"/>
    <col min="14654" max="14654" width="20.85546875" style="18" bestFit="1" customWidth="1"/>
    <col min="14655" max="14655" width="19.5703125" style="18" bestFit="1" customWidth="1"/>
    <col min="14656" max="14656" width="18" style="18" customWidth="1"/>
    <col min="14657" max="14657" width="20" style="18" bestFit="1" customWidth="1"/>
    <col min="14658" max="14658" width="35.7109375" style="18" customWidth="1"/>
    <col min="14659" max="14659" width="21.140625" style="18" bestFit="1" customWidth="1"/>
    <col min="14660" max="14660" width="20.5703125" style="18" bestFit="1" customWidth="1"/>
    <col min="14661" max="14661" width="19.42578125" style="18" bestFit="1" customWidth="1"/>
    <col min="14662" max="14662" width="18.5703125" style="18" bestFit="1" customWidth="1"/>
    <col min="14663" max="14663" width="20.5703125" style="18" bestFit="1" customWidth="1"/>
    <col min="14664" max="14664" width="21.28515625" style="18" bestFit="1" customWidth="1"/>
    <col min="14665" max="14665" width="15.42578125" style="18" customWidth="1"/>
    <col min="14666" max="14666" width="20.7109375" style="18" customWidth="1"/>
    <col min="14667" max="14667" width="21.28515625" style="18" customWidth="1"/>
    <col min="14668" max="14668" width="14.85546875" style="18" bestFit="1" customWidth="1"/>
    <col min="14669" max="14669" width="23" style="18" bestFit="1" customWidth="1"/>
    <col min="14670" max="14670" width="21.28515625" style="18" bestFit="1" customWidth="1"/>
    <col min="14671" max="14671" width="20.28515625" style="18" bestFit="1" customWidth="1"/>
    <col min="14672" max="14672" width="21" style="18" bestFit="1" customWidth="1"/>
    <col min="14673" max="14673" width="18.85546875" style="18" bestFit="1" customWidth="1"/>
    <col min="14674" max="14674" width="80.7109375" style="18" customWidth="1"/>
    <col min="14675" max="14862" width="9.140625" style="18"/>
    <col min="14863" max="14863" width="2.5703125" style="18" customWidth="1"/>
    <col min="14864" max="14864" width="17.85546875" style="18" customWidth="1"/>
    <col min="14865" max="14865" width="41.5703125" style="18" customWidth="1"/>
    <col min="14866" max="14867" width="12" style="18" customWidth="1"/>
    <col min="14868" max="14868" width="17" style="18" customWidth="1"/>
    <col min="14869" max="14869" width="9.7109375" style="18" customWidth="1"/>
    <col min="14870" max="14870" width="12.28515625" style="18" customWidth="1"/>
    <col min="14871" max="14871" width="13.7109375" style="18" customWidth="1"/>
    <col min="14872" max="14872" width="13.5703125" style="18" bestFit="1" customWidth="1"/>
    <col min="14873" max="14873" width="13.5703125" style="18" customWidth="1"/>
    <col min="14874" max="14874" width="21" style="18" customWidth="1"/>
    <col min="14875" max="14878" width="13.42578125" style="18" customWidth="1"/>
    <col min="14879" max="14880" width="19" style="18" customWidth="1"/>
    <col min="14881" max="14881" width="34" style="18" customWidth="1"/>
    <col min="14882" max="14882" width="19" style="18" customWidth="1"/>
    <col min="14883" max="14883" width="20" style="18" bestFit="1" customWidth="1"/>
    <col min="14884" max="14884" width="20.28515625" style="18" bestFit="1" customWidth="1"/>
    <col min="14885" max="14885" width="26.7109375" style="18" customWidth="1"/>
    <col min="14886" max="14886" width="20.85546875" style="18" bestFit="1" customWidth="1"/>
    <col min="14887" max="14887" width="20.85546875" style="18" customWidth="1"/>
    <col min="14888" max="14888" width="18.85546875" style="18" customWidth="1"/>
    <col min="14889" max="14889" width="17.5703125" style="18" customWidth="1"/>
    <col min="14890" max="14891" width="19.42578125" style="18" customWidth="1"/>
    <col min="14892" max="14892" width="20.7109375" style="18" bestFit="1" customWidth="1"/>
    <col min="14893" max="14893" width="80.7109375" style="18" customWidth="1"/>
    <col min="14894" max="14894" width="14.7109375" style="18" bestFit="1" customWidth="1"/>
    <col min="14895" max="14895" width="18.140625" style="18" bestFit="1" customWidth="1"/>
    <col min="14896" max="14896" width="16.7109375" style="18" bestFit="1" customWidth="1"/>
    <col min="14897" max="14897" width="18.5703125" style="18" bestFit="1" customWidth="1"/>
    <col min="14898" max="14898" width="21.28515625" style="18" bestFit="1" customWidth="1"/>
    <col min="14899" max="14899" width="16.28515625" style="18" bestFit="1" customWidth="1"/>
    <col min="14900" max="14900" width="21.140625" style="18" bestFit="1" customWidth="1"/>
    <col min="14901" max="14901" width="19" style="18" bestFit="1" customWidth="1"/>
    <col min="14902" max="14902" width="19.140625" style="18" customWidth="1"/>
    <col min="14903" max="14903" width="16.7109375" style="18" customWidth="1"/>
    <col min="14904" max="14904" width="21.140625" style="18" bestFit="1" customWidth="1"/>
    <col min="14905" max="14905" width="20.42578125" style="18" bestFit="1" customWidth="1"/>
    <col min="14906" max="14906" width="21.140625" style="18" customWidth="1"/>
    <col min="14907" max="14907" width="20.5703125" style="18" bestFit="1" customWidth="1"/>
    <col min="14908" max="14908" width="19.7109375" style="18" bestFit="1" customWidth="1"/>
    <col min="14909" max="14909" width="20.28515625" style="18" customWidth="1"/>
    <col min="14910" max="14910" width="20.85546875" style="18" bestFit="1" customWidth="1"/>
    <col min="14911" max="14911" width="19.5703125" style="18" bestFit="1" customWidth="1"/>
    <col min="14912" max="14912" width="18" style="18" customWidth="1"/>
    <col min="14913" max="14913" width="20" style="18" bestFit="1" customWidth="1"/>
    <col min="14914" max="14914" width="35.7109375" style="18" customWidth="1"/>
    <col min="14915" max="14915" width="21.140625" style="18" bestFit="1" customWidth="1"/>
    <col min="14916" max="14916" width="20.5703125" style="18" bestFit="1" customWidth="1"/>
    <col min="14917" max="14917" width="19.42578125" style="18" bestFit="1" customWidth="1"/>
    <col min="14918" max="14918" width="18.5703125" style="18" bestFit="1" customWidth="1"/>
    <col min="14919" max="14919" width="20.5703125" style="18" bestFit="1" customWidth="1"/>
    <col min="14920" max="14920" width="21.28515625" style="18" bestFit="1" customWidth="1"/>
    <col min="14921" max="14921" width="15.42578125" style="18" customWidth="1"/>
    <col min="14922" max="14922" width="20.7109375" style="18" customWidth="1"/>
    <col min="14923" max="14923" width="21.28515625" style="18" customWidth="1"/>
    <col min="14924" max="14924" width="14.85546875" style="18" bestFit="1" customWidth="1"/>
    <col min="14925" max="14925" width="23" style="18" bestFit="1" customWidth="1"/>
    <col min="14926" max="14926" width="21.28515625" style="18" bestFit="1" customWidth="1"/>
    <col min="14927" max="14927" width="20.28515625" style="18" bestFit="1" customWidth="1"/>
    <col min="14928" max="14928" width="21" style="18" bestFit="1" customWidth="1"/>
    <col min="14929" max="14929" width="18.85546875" style="18" bestFit="1" customWidth="1"/>
    <col min="14930" max="14930" width="80.7109375" style="18" customWidth="1"/>
    <col min="14931" max="15118" width="9.140625" style="18"/>
    <col min="15119" max="15119" width="2.5703125" style="18" customWidth="1"/>
    <col min="15120" max="15120" width="17.85546875" style="18" customWidth="1"/>
    <col min="15121" max="15121" width="41.5703125" style="18" customWidth="1"/>
    <col min="15122" max="15123" width="12" style="18" customWidth="1"/>
    <col min="15124" max="15124" width="17" style="18" customWidth="1"/>
    <col min="15125" max="15125" width="9.7109375" style="18" customWidth="1"/>
    <col min="15126" max="15126" width="12.28515625" style="18" customWidth="1"/>
    <col min="15127" max="15127" width="13.7109375" style="18" customWidth="1"/>
    <col min="15128" max="15128" width="13.5703125" style="18" bestFit="1" customWidth="1"/>
    <col min="15129" max="15129" width="13.5703125" style="18" customWidth="1"/>
    <col min="15130" max="15130" width="21" style="18" customWidth="1"/>
    <col min="15131" max="15134" width="13.42578125" style="18" customWidth="1"/>
    <col min="15135" max="15136" width="19" style="18" customWidth="1"/>
    <col min="15137" max="15137" width="34" style="18" customWidth="1"/>
    <col min="15138" max="15138" width="19" style="18" customWidth="1"/>
    <col min="15139" max="15139" width="20" style="18" bestFit="1" customWidth="1"/>
    <col min="15140" max="15140" width="20.28515625" style="18" bestFit="1" customWidth="1"/>
    <col min="15141" max="15141" width="26.7109375" style="18" customWidth="1"/>
    <col min="15142" max="15142" width="20.85546875" style="18" bestFit="1" customWidth="1"/>
    <col min="15143" max="15143" width="20.85546875" style="18" customWidth="1"/>
    <col min="15144" max="15144" width="18.85546875" style="18" customWidth="1"/>
    <col min="15145" max="15145" width="17.5703125" style="18" customWidth="1"/>
    <col min="15146" max="15147" width="19.42578125" style="18" customWidth="1"/>
    <col min="15148" max="15148" width="20.7109375" style="18" bestFit="1" customWidth="1"/>
    <col min="15149" max="15149" width="80.7109375" style="18" customWidth="1"/>
    <col min="15150" max="15150" width="14.7109375" style="18" bestFit="1" customWidth="1"/>
    <col min="15151" max="15151" width="18.140625" style="18" bestFit="1" customWidth="1"/>
    <col min="15152" max="15152" width="16.7109375" style="18" bestFit="1" customWidth="1"/>
    <col min="15153" max="15153" width="18.5703125" style="18" bestFit="1" customWidth="1"/>
    <col min="15154" max="15154" width="21.28515625" style="18" bestFit="1" customWidth="1"/>
    <col min="15155" max="15155" width="16.28515625" style="18" bestFit="1" customWidth="1"/>
    <col min="15156" max="15156" width="21.140625" style="18" bestFit="1" customWidth="1"/>
    <col min="15157" max="15157" width="19" style="18" bestFit="1" customWidth="1"/>
    <col min="15158" max="15158" width="19.140625" style="18" customWidth="1"/>
    <col min="15159" max="15159" width="16.7109375" style="18" customWidth="1"/>
    <col min="15160" max="15160" width="21.140625" style="18" bestFit="1" customWidth="1"/>
    <col min="15161" max="15161" width="20.42578125" style="18" bestFit="1" customWidth="1"/>
    <col min="15162" max="15162" width="21.140625" style="18" customWidth="1"/>
    <col min="15163" max="15163" width="20.5703125" style="18" bestFit="1" customWidth="1"/>
    <col min="15164" max="15164" width="19.7109375" style="18" bestFit="1" customWidth="1"/>
    <col min="15165" max="15165" width="20.28515625" style="18" customWidth="1"/>
    <col min="15166" max="15166" width="20.85546875" style="18" bestFit="1" customWidth="1"/>
    <col min="15167" max="15167" width="19.5703125" style="18" bestFit="1" customWidth="1"/>
    <col min="15168" max="15168" width="18" style="18" customWidth="1"/>
    <col min="15169" max="15169" width="20" style="18" bestFit="1" customWidth="1"/>
    <col min="15170" max="15170" width="35.7109375" style="18" customWidth="1"/>
    <col min="15171" max="15171" width="21.140625" style="18" bestFit="1" customWidth="1"/>
    <col min="15172" max="15172" width="20.5703125" style="18" bestFit="1" customWidth="1"/>
    <col min="15173" max="15173" width="19.42578125" style="18" bestFit="1" customWidth="1"/>
    <col min="15174" max="15174" width="18.5703125" style="18" bestFit="1" customWidth="1"/>
    <col min="15175" max="15175" width="20.5703125" style="18" bestFit="1" customWidth="1"/>
    <col min="15176" max="15176" width="21.28515625" style="18" bestFit="1" customWidth="1"/>
    <col min="15177" max="15177" width="15.42578125" style="18" customWidth="1"/>
    <col min="15178" max="15178" width="20.7109375" style="18" customWidth="1"/>
    <col min="15179" max="15179" width="21.28515625" style="18" customWidth="1"/>
    <col min="15180" max="15180" width="14.85546875" style="18" bestFit="1" customWidth="1"/>
    <col min="15181" max="15181" width="23" style="18" bestFit="1" customWidth="1"/>
    <col min="15182" max="15182" width="21.28515625" style="18" bestFit="1" customWidth="1"/>
    <col min="15183" max="15183" width="20.28515625" style="18" bestFit="1" customWidth="1"/>
    <col min="15184" max="15184" width="21" style="18" bestFit="1" customWidth="1"/>
    <col min="15185" max="15185" width="18.85546875" style="18" bestFit="1" customWidth="1"/>
    <col min="15186" max="15186" width="80.7109375" style="18" customWidth="1"/>
    <col min="15187" max="15374" width="9.140625" style="18"/>
    <col min="15375" max="15375" width="2.5703125" style="18" customWidth="1"/>
    <col min="15376" max="15376" width="17.85546875" style="18" customWidth="1"/>
    <col min="15377" max="15377" width="41.5703125" style="18" customWidth="1"/>
    <col min="15378" max="15379" width="12" style="18" customWidth="1"/>
    <col min="15380" max="15380" width="17" style="18" customWidth="1"/>
    <col min="15381" max="15381" width="9.7109375" style="18" customWidth="1"/>
    <col min="15382" max="15382" width="12.28515625" style="18" customWidth="1"/>
    <col min="15383" max="15383" width="13.7109375" style="18" customWidth="1"/>
    <col min="15384" max="15384" width="13.5703125" style="18" bestFit="1" customWidth="1"/>
    <col min="15385" max="15385" width="13.5703125" style="18" customWidth="1"/>
    <col min="15386" max="15386" width="21" style="18" customWidth="1"/>
    <col min="15387" max="15390" width="13.42578125" style="18" customWidth="1"/>
    <col min="15391" max="15392" width="19" style="18" customWidth="1"/>
    <col min="15393" max="15393" width="34" style="18" customWidth="1"/>
    <col min="15394" max="15394" width="19" style="18" customWidth="1"/>
    <col min="15395" max="15395" width="20" style="18" bestFit="1" customWidth="1"/>
    <col min="15396" max="15396" width="20.28515625" style="18" bestFit="1" customWidth="1"/>
    <col min="15397" max="15397" width="26.7109375" style="18" customWidth="1"/>
    <col min="15398" max="15398" width="20.85546875" style="18" bestFit="1" customWidth="1"/>
    <col min="15399" max="15399" width="20.85546875" style="18" customWidth="1"/>
    <col min="15400" max="15400" width="18.85546875" style="18" customWidth="1"/>
    <col min="15401" max="15401" width="17.5703125" style="18" customWidth="1"/>
    <col min="15402" max="15403" width="19.42578125" style="18" customWidth="1"/>
    <col min="15404" max="15404" width="20.7109375" style="18" bestFit="1" customWidth="1"/>
    <col min="15405" max="15405" width="80.7109375" style="18" customWidth="1"/>
    <col min="15406" max="15406" width="14.7109375" style="18" bestFit="1" customWidth="1"/>
    <col min="15407" max="15407" width="18.140625" style="18" bestFit="1" customWidth="1"/>
    <col min="15408" max="15408" width="16.7109375" style="18" bestFit="1" customWidth="1"/>
    <col min="15409" max="15409" width="18.5703125" style="18" bestFit="1" customWidth="1"/>
    <col min="15410" max="15410" width="21.28515625" style="18" bestFit="1" customWidth="1"/>
    <col min="15411" max="15411" width="16.28515625" style="18" bestFit="1" customWidth="1"/>
    <col min="15412" max="15412" width="21.140625" style="18" bestFit="1" customWidth="1"/>
    <col min="15413" max="15413" width="19" style="18" bestFit="1" customWidth="1"/>
    <col min="15414" max="15414" width="19.140625" style="18" customWidth="1"/>
    <col min="15415" max="15415" width="16.7109375" style="18" customWidth="1"/>
    <col min="15416" max="15416" width="21.140625" style="18" bestFit="1" customWidth="1"/>
    <col min="15417" max="15417" width="20.42578125" style="18" bestFit="1" customWidth="1"/>
    <col min="15418" max="15418" width="21.140625" style="18" customWidth="1"/>
    <col min="15419" max="15419" width="20.5703125" style="18" bestFit="1" customWidth="1"/>
    <col min="15420" max="15420" width="19.7109375" style="18" bestFit="1" customWidth="1"/>
    <col min="15421" max="15421" width="20.28515625" style="18" customWidth="1"/>
    <col min="15422" max="15422" width="20.85546875" style="18" bestFit="1" customWidth="1"/>
    <col min="15423" max="15423" width="19.5703125" style="18" bestFit="1" customWidth="1"/>
    <col min="15424" max="15424" width="18" style="18" customWidth="1"/>
    <col min="15425" max="15425" width="20" style="18" bestFit="1" customWidth="1"/>
    <col min="15426" max="15426" width="35.7109375" style="18" customWidth="1"/>
    <col min="15427" max="15427" width="21.140625" style="18" bestFit="1" customWidth="1"/>
    <col min="15428" max="15428" width="20.5703125" style="18" bestFit="1" customWidth="1"/>
    <col min="15429" max="15429" width="19.42578125" style="18" bestFit="1" customWidth="1"/>
    <col min="15430" max="15430" width="18.5703125" style="18" bestFit="1" customWidth="1"/>
    <col min="15431" max="15431" width="20.5703125" style="18" bestFit="1" customWidth="1"/>
    <col min="15432" max="15432" width="21.28515625" style="18" bestFit="1" customWidth="1"/>
    <col min="15433" max="15433" width="15.42578125" style="18" customWidth="1"/>
    <col min="15434" max="15434" width="20.7109375" style="18" customWidth="1"/>
    <col min="15435" max="15435" width="21.28515625" style="18" customWidth="1"/>
    <col min="15436" max="15436" width="14.85546875" style="18" bestFit="1" customWidth="1"/>
    <col min="15437" max="15437" width="23" style="18" bestFit="1" customWidth="1"/>
    <col min="15438" max="15438" width="21.28515625" style="18" bestFit="1" customWidth="1"/>
    <col min="15439" max="15439" width="20.28515625" style="18" bestFit="1" customWidth="1"/>
    <col min="15440" max="15440" width="21" style="18" bestFit="1" customWidth="1"/>
    <col min="15441" max="15441" width="18.85546875" style="18" bestFit="1" customWidth="1"/>
    <col min="15442" max="15442" width="80.7109375" style="18" customWidth="1"/>
    <col min="15443" max="15630" width="9.140625" style="18"/>
    <col min="15631" max="15631" width="2.5703125" style="18" customWidth="1"/>
    <col min="15632" max="15632" width="17.85546875" style="18" customWidth="1"/>
    <col min="15633" max="15633" width="41.5703125" style="18" customWidth="1"/>
    <col min="15634" max="15635" width="12" style="18" customWidth="1"/>
    <col min="15636" max="15636" width="17" style="18" customWidth="1"/>
    <col min="15637" max="15637" width="9.7109375" style="18" customWidth="1"/>
    <col min="15638" max="15638" width="12.28515625" style="18" customWidth="1"/>
    <col min="15639" max="15639" width="13.7109375" style="18" customWidth="1"/>
    <col min="15640" max="15640" width="13.5703125" style="18" bestFit="1" customWidth="1"/>
    <col min="15641" max="15641" width="13.5703125" style="18" customWidth="1"/>
    <col min="15642" max="15642" width="21" style="18" customWidth="1"/>
    <col min="15643" max="15646" width="13.42578125" style="18" customWidth="1"/>
    <col min="15647" max="15648" width="19" style="18" customWidth="1"/>
    <col min="15649" max="15649" width="34" style="18" customWidth="1"/>
    <col min="15650" max="15650" width="19" style="18" customWidth="1"/>
    <col min="15651" max="15651" width="20" style="18" bestFit="1" customWidth="1"/>
    <col min="15652" max="15652" width="20.28515625" style="18" bestFit="1" customWidth="1"/>
    <col min="15653" max="15653" width="26.7109375" style="18" customWidth="1"/>
    <col min="15654" max="15654" width="20.85546875" style="18" bestFit="1" customWidth="1"/>
    <col min="15655" max="15655" width="20.85546875" style="18" customWidth="1"/>
    <col min="15656" max="15656" width="18.85546875" style="18" customWidth="1"/>
    <col min="15657" max="15657" width="17.5703125" style="18" customWidth="1"/>
    <col min="15658" max="15659" width="19.42578125" style="18" customWidth="1"/>
    <col min="15660" max="15660" width="20.7109375" style="18" bestFit="1" customWidth="1"/>
    <col min="15661" max="15661" width="80.7109375" style="18" customWidth="1"/>
    <col min="15662" max="15662" width="14.7109375" style="18" bestFit="1" customWidth="1"/>
    <col min="15663" max="15663" width="18.140625" style="18" bestFit="1" customWidth="1"/>
    <col min="15664" max="15664" width="16.7109375" style="18" bestFit="1" customWidth="1"/>
    <col min="15665" max="15665" width="18.5703125" style="18" bestFit="1" customWidth="1"/>
    <col min="15666" max="15666" width="21.28515625" style="18" bestFit="1" customWidth="1"/>
    <col min="15667" max="15667" width="16.28515625" style="18" bestFit="1" customWidth="1"/>
    <col min="15668" max="15668" width="21.140625" style="18" bestFit="1" customWidth="1"/>
    <col min="15669" max="15669" width="19" style="18" bestFit="1" customWidth="1"/>
    <col min="15670" max="15670" width="19.140625" style="18" customWidth="1"/>
    <col min="15671" max="15671" width="16.7109375" style="18" customWidth="1"/>
    <col min="15672" max="15672" width="21.140625" style="18" bestFit="1" customWidth="1"/>
    <col min="15673" max="15673" width="20.42578125" style="18" bestFit="1" customWidth="1"/>
    <col min="15674" max="15674" width="21.140625" style="18" customWidth="1"/>
    <col min="15675" max="15675" width="20.5703125" style="18" bestFit="1" customWidth="1"/>
    <col min="15676" max="15676" width="19.7109375" style="18" bestFit="1" customWidth="1"/>
    <col min="15677" max="15677" width="20.28515625" style="18" customWidth="1"/>
    <col min="15678" max="15678" width="20.85546875" style="18" bestFit="1" customWidth="1"/>
    <col min="15679" max="15679" width="19.5703125" style="18" bestFit="1" customWidth="1"/>
    <col min="15680" max="15680" width="18" style="18" customWidth="1"/>
    <col min="15681" max="15681" width="20" style="18" bestFit="1" customWidth="1"/>
    <col min="15682" max="15682" width="35.7109375" style="18" customWidth="1"/>
    <col min="15683" max="15683" width="21.140625" style="18" bestFit="1" customWidth="1"/>
    <col min="15684" max="15684" width="20.5703125" style="18" bestFit="1" customWidth="1"/>
    <col min="15685" max="15685" width="19.42578125" style="18" bestFit="1" customWidth="1"/>
    <col min="15686" max="15686" width="18.5703125" style="18" bestFit="1" customWidth="1"/>
    <col min="15687" max="15687" width="20.5703125" style="18" bestFit="1" customWidth="1"/>
    <col min="15688" max="15688" width="21.28515625" style="18" bestFit="1" customWidth="1"/>
    <col min="15689" max="15689" width="15.42578125" style="18" customWidth="1"/>
    <col min="15690" max="15690" width="20.7109375" style="18" customWidth="1"/>
    <col min="15691" max="15691" width="21.28515625" style="18" customWidth="1"/>
    <col min="15692" max="15692" width="14.85546875" style="18" bestFit="1" customWidth="1"/>
    <col min="15693" max="15693" width="23" style="18" bestFit="1" customWidth="1"/>
    <col min="15694" max="15694" width="21.28515625" style="18" bestFit="1" customWidth="1"/>
    <col min="15695" max="15695" width="20.28515625" style="18" bestFit="1" customWidth="1"/>
    <col min="15696" max="15696" width="21" style="18" bestFit="1" customWidth="1"/>
    <col min="15697" max="15697" width="18.85546875" style="18" bestFit="1" customWidth="1"/>
    <col min="15698" max="15698" width="80.7109375" style="18" customWidth="1"/>
    <col min="15699" max="15886" width="9.140625" style="18"/>
    <col min="15887" max="15887" width="2.5703125" style="18" customWidth="1"/>
    <col min="15888" max="15888" width="17.85546875" style="18" customWidth="1"/>
    <col min="15889" max="15889" width="41.5703125" style="18" customWidth="1"/>
    <col min="15890" max="15891" width="12" style="18" customWidth="1"/>
    <col min="15892" max="15892" width="17" style="18" customWidth="1"/>
    <col min="15893" max="15893" width="9.7109375" style="18" customWidth="1"/>
    <col min="15894" max="15894" width="12.28515625" style="18" customWidth="1"/>
    <col min="15895" max="15895" width="13.7109375" style="18" customWidth="1"/>
    <col min="15896" max="15896" width="13.5703125" style="18" bestFit="1" customWidth="1"/>
    <col min="15897" max="15897" width="13.5703125" style="18" customWidth="1"/>
    <col min="15898" max="15898" width="21" style="18" customWidth="1"/>
    <col min="15899" max="15902" width="13.42578125" style="18" customWidth="1"/>
    <col min="15903" max="15904" width="19" style="18" customWidth="1"/>
    <col min="15905" max="15905" width="34" style="18" customWidth="1"/>
    <col min="15906" max="15906" width="19" style="18" customWidth="1"/>
    <col min="15907" max="15907" width="20" style="18" bestFit="1" customWidth="1"/>
    <col min="15908" max="15908" width="20.28515625" style="18" bestFit="1" customWidth="1"/>
    <col min="15909" max="15909" width="26.7109375" style="18" customWidth="1"/>
    <col min="15910" max="15910" width="20.85546875" style="18" bestFit="1" customWidth="1"/>
    <col min="15911" max="15911" width="20.85546875" style="18" customWidth="1"/>
    <col min="15912" max="15912" width="18.85546875" style="18" customWidth="1"/>
    <col min="15913" max="15913" width="17.5703125" style="18" customWidth="1"/>
    <col min="15914" max="15915" width="19.42578125" style="18" customWidth="1"/>
    <col min="15916" max="15916" width="20.7109375" style="18" bestFit="1" customWidth="1"/>
    <col min="15917" max="15917" width="80.7109375" style="18" customWidth="1"/>
    <col min="15918" max="15918" width="14.7109375" style="18" bestFit="1" customWidth="1"/>
    <col min="15919" max="15919" width="18.140625" style="18" bestFit="1" customWidth="1"/>
    <col min="15920" max="15920" width="16.7109375" style="18" bestFit="1" customWidth="1"/>
    <col min="15921" max="15921" width="18.5703125" style="18" bestFit="1" customWidth="1"/>
    <col min="15922" max="15922" width="21.28515625" style="18" bestFit="1" customWidth="1"/>
    <col min="15923" max="15923" width="16.28515625" style="18" bestFit="1" customWidth="1"/>
    <col min="15924" max="15924" width="21.140625" style="18" bestFit="1" customWidth="1"/>
    <col min="15925" max="15925" width="19" style="18" bestFit="1" customWidth="1"/>
    <col min="15926" max="15926" width="19.140625" style="18" customWidth="1"/>
    <col min="15927" max="15927" width="16.7109375" style="18" customWidth="1"/>
    <col min="15928" max="15928" width="21.140625" style="18" bestFit="1" customWidth="1"/>
    <col min="15929" max="15929" width="20.42578125" style="18" bestFit="1" customWidth="1"/>
    <col min="15930" max="15930" width="21.140625" style="18" customWidth="1"/>
    <col min="15931" max="15931" width="20.5703125" style="18" bestFit="1" customWidth="1"/>
    <col min="15932" max="15932" width="19.7109375" style="18" bestFit="1" customWidth="1"/>
    <col min="15933" max="15933" width="20.28515625" style="18" customWidth="1"/>
    <col min="15934" max="15934" width="20.85546875" style="18" bestFit="1" customWidth="1"/>
    <col min="15935" max="15935" width="19.5703125" style="18" bestFit="1" customWidth="1"/>
    <col min="15936" max="15936" width="18" style="18" customWidth="1"/>
    <col min="15937" max="15937" width="20" style="18" bestFit="1" customWidth="1"/>
    <col min="15938" max="15938" width="35.7109375" style="18" customWidth="1"/>
    <col min="15939" max="15939" width="21.140625" style="18" bestFit="1" customWidth="1"/>
    <col min="15940" max="15940" width="20.5703125" style="18" bestFit="1" customWidth="1"/>
    <col min="15941" max="15941" width="19.42578125" style="18" bestFit="1" customWidth="1"/>
    <col min="15942" max="15942" width="18.5703125" style="18" bestFit="1" customWidth="1"/>
    <col min="15943" max="15943" width="20.5703125" style="18" bestFit="1" customWidth="1"/>
    <col min="15944" max="15944" width="21.28515625" style="18" bestFit="1" customWidth="1"/>
    <col min="15945" max="15945" width="15.42578125" style="18" customWidth="1"/>
    <col min="15946" max="15946" width="20.7109375" style="18" customWidth="1"/>
    <col min="15947" max="15947" width="21.28515625" style="18" customWidth="1"/>
    <col min="15948" max="15948" width="14.85546875" style="18" bestFit="1" customWidth="1"/>
    <col min="15949" max="15949" width="23" style="18" bestFit="1" customWidth="1"/>
    <col min="15950" max="15950" width="21.28515625" style="18" bestFit="1" customWidth="1"/>
    <col min="15951" max="15951" width="20.28515625" style="18" bestFit="1" customWidth="1"/>
    <col min="15952" max="15952" width="21" style="18" bestFit="1" customWidth="1"/>
    <col min="15953" max="15953" width="18.85546875" style="18" bestFit="1" customWidth="1"/>
    <col min="15954" max="15954" width="80.7109375" style="18" customWidth="1"/>
    <col min="15955" max="16142" width="9.140625" style="18"/>
    <col min="16143" max="16143" width="2.5703125" style="18" customWidth="1"/>
    <col min="16144" max="16144" width="17.85546875" style="18" customWidth="1"/>
    <col min="16145" max="16145" width="41.5703125" style="18" customWidth="1"/>
    <col min="16146" max="16147" width="12" style="18" customWidth="1"/>
    <col min="16148" max="16148" width="17" style="18" customWidth="1"/>
    <col min="16149" max="16149" width="9.7109375" style="18" customWidth="1"/>
    <col min="16150" max="16150" width="12.28515625" style="18" customWidth="1"/>
    <col min="16151" max="16151" width="13.7109375" style="18" customWidth="1"/>
    <col min="16152" max="16152" width="13.5703125" style="18" bestFit="1" customWidth="1"/>
    <col min="16153" max="16153" width="13.5703125" style="18" customWidth="1"/>
    <col min="16154" max="16154" width="21" style="18" customWidth="1"/>
    <col min="16155" max="16158" width="13.42578125" style="18" customWidth="1"/>
    <col min="16159" max="16160" width="19" style="18" customWidth="1"/>
    <col min="16161" max="16161" width="34" style="18" customWidth="1"/>
    <col min="16162" max="16162" width="19" style="18" customWidth="1"/>
    <col min="16163" max="16163" width="20" style="18" bestFit="1" customWidth="1"/>
    <col min="16164" max="16164" width="20.28515625" style="18" bestFit="1" customWidth="1"/>
    <col min="16165" max="16165" width="26.7109375" style="18" customWidth="1"/>
    <col min="16166" max="16166" width="20.85546875" style="18" bestFit="1" customWidth="1"/>
    <col min="16167" max="16167" width="20.85546875" style="18" customWidth="1"/>
    <col min="16168" max="16168" width="18.85546875" style="18" customWidth="1"/>
    <col min="16169" max="16169" width="17.5703125" style="18" customWidth="1"/>
    <col min="16170" max="16171" width="19.42578125" style="18" customWidth="1"/>
    <col min="16172" max="16172" width="20.7109375" style="18" bestFit="1" customWidth="1"/>
    <col min="16173" max="16173" width="80.7109375" style="18" customWidth="1"/>
    <col min="16174" max="16174" width="14.7109375" style="18" bestFit="1" customWidth="1"/>
    <col min="16175" max="16175" width="18.140625" style="18" bestFit="1" customWidth="1"/>
    <col min="16176" max="16176" width="16.7109375" style="18" bestFit="1" customWidth="1"/>
    <col min="16177" max="16177" width="18.5703125" style="18" bestFit="1" customWidth="1"/>
    <col min="16178" max="16178" width="21.28515625" style="18" bestFit="1" customWidth="1"/>
    <col min="16179" max="16179" width="16.28515625" style="18" bestFit="1" customWidth="1"/>
    <col min="16180" max="16180" width="21.140625" style="18" bestFit="1" customWidth="1"/>
    <col min="16181" max="16181" width="19" style="18" bestFit="1" customWidth="1"/>
    <col min="16182" max="16182" width="19.140625" style="18" customWidth="1"/>
    <col min="16183" max="16183" width="16.7109375" style="18" customWidth="1"/>
    <col min="16184" max="16184" width="21.140625" style="18" bestFit="1" customWidth="1"/>
    <col min="16185" max="16185" width="20.42578125" style="18" bestFit="1" customWidth="1"/>
    <col min="16186" max="16186" width="21.140625" style="18" customWidth="1"/>
    <col min="16187" max="16187" width="20.5703125" style="18" bestFit="1" customWidth="1"/>
    <col min="16188" max="16188" width="19.7109375" style="18" bestFit="1" customWidth="1"/>
    <col min="16189" max="16189" width="20.28515625" style="18" customWidth="1"/>
    <col min="16190" max="16190" width="20.85546875" style="18" bestFit="1" customWidth="1"/>
    <col min="16191" max="16191" width="19.5703125" style="18" bestFit="1" customWidth="1"/>
    <col min="16192" max="16192" width="18" style="18" customWidth="1"/>
    <col min="16193" max="16193" width="20" style="18" bestFit="1" customWidth="1"/>
    <col min="16194" max="16194" width="35.7109375" style="18" customWidth="1"/>
    <col min="16195" max="16195" width="21.140625" style="18" bestFit="1" customWidth="1"/>
    <col min="16196" max="16196" width="20.5703125" style="18" bestFit="1" customWidth="1"/>
    <col min="16197" max="16197" width="19.42578125" style="18" bestFit="1" customWidth="1"/>
    <col min="16198" max="16198" width="18.5703125" style="18" bestFit="1" customWidth="1"/>
    <col min="16199" max="16199" width="20.5703125" style="18" bestFit="1" customWidth="1"/>
    <col min="16200" max="16200" width="21.28515625" style="18" bestFit="1" customWidth="1"/>
    <col min="16201" max="16201" width="15.42578125" style="18" customWidth="1"/>
    <col min="16202" max="16202" width="20.7109375" style="18" customWidth="1"/>
    <col min="16203" max="16203" width="21.28515625" style="18" customWidth="1"/>
    <col min="16204" max="16204" width="14.85546875" style="18" bestFit="1" customWidth="1"/>
    <col min="16205" max="16205" width="23" style="18" bestFit="1" customWidth="1"/>
    <col min="16206" max="16206" width="21.28515625" style="18" bestFit="1" customWidth="1"/>
    <col min="16207" max="16207" width="20.28515625" style="18" bestFit="1" customWidth="1"/>
    <col min="16208" max="16208" width="21" style="18" bestFit="1" customWidth="1"/>
    <col min="16209" max="16209" width="18.85546875" style="18" bestFit="1" customWidth="1"/>
    <col min="16210" max="16210" width="80.7109375" style="18" customWidth="1"/>
    <col min="16211" max="16384" width="9.140625" style="18"/>
  </cols>
  <sheetData>
    <row r="1" spans="2:86" ht="38.450000000000003" customHeight="1" thickBot="1" x14ac:dyDescent="0.25"/>
    <row r="2" spans="2:86" s="25" customFormat="1" ht="33.6" customHeight="1" thickTop="1" thickBot="1" x14ac:dyDescent="0.3">
      <c r="B2" s="20" t="s">
        <v>25</v>
      </c>
      <c r="C2" s="34"/>
      <c r="D2" s="34"/>
      <c r="E2" s="21">
        <v>42124</v>
      </c>
      <c r="F2" s="683" t="s">
        <v>527</v>
      </c>
      <c r="G2" s="684"/>
      <c r="H2" s="684"/>
      <c r="I2" s="684"/>
      <c r="J2" s="685"/>
      <c r="K2" s="685"/>
      <c r="L2" s="686"/>
      <c r="M2" s="22"/>
      <c r="N2" s="433"/>
      <c r="V2" s="700" t="s">
        <v>249</v>
      </c>
      <c r="W2" s="701"/>
      <c r="X2" s="701"/>
      <c r="Y2" s="701"/>
      <c r="Z2" s="701"/>
      <c r="AA2" s="701"/>
      <c r="AB2" s="701"/>
      <c r="AC2" s="701"/>
      <c r="AD2" s="701"/>
      <c r="AE2" s="701"/>
      <c r="AF2" s="701"/>
      <c r="AG2" s="701"/>
      <c r="AH2" s="701"/>
      <c r="AI2" s="701"/>
      <c r="AJ2" s="701"/>
      <c r="AK2" s="701"/>
      <c r="AL2" s="701"/>
      <c r="AM2" s="701"/>
      <c r="AN2" s="701"/>
      <c r="AO2" s="701"/>
      <c r="AP2" s="701"/>
      <c r="AQ2" s="701"/>
      <c r="AR2" s="702"/>
      <c r="AS2" s="703" t="s">
        <v>814</v>
      </c>
      <c r="AT2" s="704"/>
      <c r="AU2" s="704"/>
      <c r="AV2" s="704"/>
      <c r="AW2" s="704"/>
      <c r="AX2" s="704"/>
      <c r="AY2" s="704"/>
      <c r="AZ2" s="704"/>
      <c r="BA2" s="704"/>
      <c r="BB2" s="704"/>
      <c r="BC2" s="704"/>
      <c r="BD2" s="704"/>
      <c r="BE2" s="704"/>
      <c r="BF2" s="704"/>
      <c r="BG2" s="704"/>
      <c r="BH2" s="704"/>
      <c r="BI2" s="704"/>
      <c r="BJ2" s="704"/>
      <c r="BK2" s="704"/>
      <c r="BL2" s="704"/>
      <c r="BM2" s="704"/>
      <c r="BN2" s="704"/>
      <c r="BO2" s="704"/>
      <c r="BP2" s="704"/>
      <c r="BQ2" s="704"/>
      <c r="BR2" s="705"/>
      <c r="BS2" s="374"/>
      <c r="BT2" s="33"/>
      <c r="BU2" s="33"/>
      <c r="BV2" s="33"/>
      <c r="BW2" s="33"/>
      <c r="BX2" s="33"/>
      <c r="BY2" s="33"/>
      <c r="BZ2" s="33"/>
      <c r="CA2" s="33"/>
      <c r="CB2" s="33"/>
      <c r="CC2" s="374"/>
      <c r="CD2" s="33"/>
      <c r="CE2" s="33"/>
      <c r="CF2" s="33"/>
      <c r="CG2" s="33"/>
      <c r="CH2" s="442"/>
    </row>
    <row r="3" spans="2:86" s="25" customFormat="1" ht="28.15" customHeight="1" thickBot="1" x14ac:dyDescent="0.3">
      <c r="B3" s="31" t="s">
        <v>6</v>
      </c>
      <c r="C3" s="35"/>
      <c r="D3" s="35"/>
      <c r="E3" s="32">
        <f>COUNTA(Database!E5:E180)</f>
        <v>175</v>
      </c>
      <c r="F3" s="687"/>
      <c r="G3" s="688"/>
      <c r="H3" s="688"/>
      <c r="I3" s="689"/>
      <c r="J3" s="437">
        <f>SUM(Database!J5:J181)</f>
        <v>18591</v>
      </c>
      <c r="K3" s="437">
        <f>SUM(Database!K5:K180)</f>
        <v>85274</v>
      </c>
      <c r="L3" s="438">
        <f>SUM(Database!L5:L181)</f>
        <v>87713</v>
      </c>
      <c r="M3" s="23"/>
      <c r="N3" s="434"/>
      <c r="O3" s="690" t="s">
        <v>83</v>
      </c>
      <c r="P3" s="691"/>
      <c r="Q3" s="691"/>
      <c r="R3" s="691"/>
      <c r="S3" s="691"/>
      <c r="T3" s="692"/>
      <c r="U3" s="530"/>
      <c r="V3" s="693" t="s">
        <v>86</v>
      </c>
      <c r="W3" s="694"/>
      <c r="X3" s="695"/>
      <c r="Y3" s="693" t="s">
        <v>87</v>
      </c>
      <c r="Z3" s="694"/>
      <c r="AA3" s="694"/>
      <c r="AB3" s="696" t="s">
        <v>247</v>
      </c>
      <c r="AC3" s="697"/>
      <c r="AD3" s="693" t="s">
        <v>10</v>
      </c>
      <c r="AE3" s="694"/>
      <c r="AF3" s="694"/>
      <c r="AG3" s="694"/>
      <c r="AH3" s="694"/>
      <c r="AI3" s="694"/>
      <c r="AJ3" s="694"/>
      <c r="AK3" s="694"/>
      <c r="AL3" s="694"/>
      <c r="AM3" s="694"/>
      <c r="AN3" s="694"/>
      <c r="AO3" s="694"/>
      <c r="AP3" s="694"/>
      <c r="AQ3" s="694"/>
      <c r="AR3" s="695"/>
      <c r="AS3" s="698" t="s">
        <v>13</v>
      </c>
      <c r="AT3" s="699"/>
      <c r="AU3" s="699"/>
      <c r="AV3" s="699"/>
      <c r="AW3" s="699"/>
      <c r="AX3" s="699"/>
      <c r="AY3" s="699"/>
      <c r="AZ3" s="699"/>
      <c r="BA3" s="699"/>
      <c r="BB3" s="699"/>
      <c r="BC3" s="699"/>
      <c r="BD3" s="699"/>
      <c r="BE3" s="699"/>
      <c r="BF3" s="699"/>
      <c r="BG3" s="699"/>
      <c r="BH3" s="699"/>
      <c r="BI3" s="699"/>
      <c r="BJ3" s="699"/>
      <c r="BK3" s="699"/>
      <c r="BL3" s="699"/>
      <c r="BM3" s="699"/>
      <c r="BN3" s="699"/>
      <c r="BO3" s="699"/>
      <c r="BP3" s="699"/>
      <c r="BQ3" s="699"/>
      <c r="BR3" s="445"/>
      <c r="BS3" s="679" t="s">
        <v>815</v>
      </c>
      <c r="BT3" s="680"/>
      <c r="BU3" s="680"/>
      <c r="BV3" s="680"/>
      <c r="BW3" s="680"/>
      <c r="BX3" s="680"/>
      <c r="BY3" s="680"/>
      <c r="BZ3" s="681"/>
      <c r="CA3" s="682" t="s">
        <v>102</v>
      </c>
      <c r="CB3" s="680"/>
      <c r="CC3" s="681"/>
      <c r="CD3" s="682" t="s">
        <v>105</v>
      </c>
      <c r="CE3" s="680"/>
      <c r="CF3" s="680"/>
      <c r="CG3" s="680"/>
      <c r="CH3" s="446"/>
    </row>
    <row r="4" spans="2:86" s="19" customFormat="1" ht="117.75" customHeight="1" thickBot="1" x14ac:dyDescent="0.25">
      <c r="B4" s="447" t="s">
        <v>0</v>
      </c>
      <c r="C4" s="447" t="s">
        <v>554</v>
      </c>
      <c r="D4" s="447" t="s">
        <v>263</v>
      </c>
      <c r="E4" s="447" t="s">
        <v>1</v>
      </c>
      <c r="F4" s="447" t="s">
        <v>103</v>
      </c>
      <c r="G4" s="447" t="s">
        <v>104</v>
      </c>
      <c r="H4" s="448" t="s">
        <v>3</v>
      </c>
      <c r="I4" s="447" t="s">
        <v>4</v>
      </c>
      <c r="J4" s="447" t="s">
        <v>855</v>
      </c>
      <c r="K4" s="447" t="s">
        <v>8</v>
      </c>
      <c r="L4" s="447" t="s">
        <v>9</v>
      </c>
      <c r="M4" s="447" t="s">
        <v>77</v>
      </c>
      <c r="N4" s="447" t="s">
        <v>17</v>
      </c>
      <c r="O4" s="447" t="s">
        <v>7</v>
      </c>
      <c r="P4" s="449" t="s">
        <v>740</v>
      </c>
      <c r="Q4" s="447" t="s">
        <v>250</v>
      </c>
      <c r="R4" s="447" t="s">
        <v>84</v>
      </c>
      <c r="S4" s="447" t="s">
        <v>250</v>
      </c>
      <c r="T4" s="447" t="s">
        <v>259</v>
      </c>
      <c r="U4" s="531" t="s">
        <v>295</v>
      </c>
      <c r="V4" s="450" t="s">
        <v>233</v>
      </c>
      <c r="W4" s="450" t="s">
        <v>234</v>
      </c>
      <c r="X4" s="451" t="s">
        <v>85</v>
      </c>
      <c r="Y4" s="450" t="s">
        <v>304</v>
      </c>
      <c r="Z4" s="450" t="s">
        <v>100</v>
      </c>
      <c r="AA4" s="452" t="s">
        <v>251</v>
      </c>
      <c r="AB4" s="453" t="s">
        <v>252</v>
      </c>
      <c r="AC4" s="453" t="s">
        <v>712</v>
      </c>
      <c r="AD4" s="451" t="s">
        <v>88</v>
      </c>
      <c r="AE4" s="454" t="s">
        <v>310</v>
      </c>
      <c r="AF4" s="451" t="s">
        <v>272</v>
      </c>
      <c r="AG4" s="454" t="s">
        <v>314</v>
      </c>
      <c r="AH4" s="451" t="s">
        <v>248</v>
      </c>
      <c r="AI4" s="449" t="s">
        <v>313</v>
      </c>
      <c r="AJ4" s="451" t="s">
        <v>76</v>
      </c>
      <c r="AK4" s="451" t="s">
        <v>99</v>
      </c>
      <c r="AL4" s="449" t="s">
        <v>312</v>
      </c>
      <c r="AM4" s="449" t="s">
        <v>517</v>
      </c>
      <c r="AN4" s="449" t="s">
        <v>518</v>
      </c>
      <c r="AO4" s="449" t="s">
        <v>519</v>
      </c>
      <c r="AP4" s="455" t="s">
        <v>280</v>
      </c>
      <c r="AQ4" s="456" t="s">
        <v>311</v>
      </c>
      <c r="AR4" s="451" t="s">
        <v>15</v>
      </c>
      <c r="AS4" s="457" t="s">
        <v>101</v>
      </c>
      <c r="AT4" s="457" t="s">
        <v>253</v>
      </c>
      <c r="AU4" s="457" t="s">
        <v>254</v>
      </c>
      <c r="AV4" s="116" t="s">
        <v>92</v>
      </c>
      <c r="AW4" s="116" t="s">
        <v>23</v>
      </c>
      <c r="AX4" s="449" t="s">
        <v>316</v>
      </c>
      <c r="AY4" s="116" t="s">
        <v>89</v>
      </c>
      <c r="AZ4" s="449" t="s">
        <v>315</v>
      </c>
      <c r="BA4" s="116" t="s">
        <v>271</v>
      </c>
      <c r="BB4" s="449" t="s">
        <v>317</v>
      </c>
      <c r="BC4" s="116" t="s">
        <v>26</v>
      </c>
      <c r="BD4" s="457" t="s">
        <v>278</v>
      </c>
      <c r="BE4" s="456" t="s">
        <v>318</v>
      </c>
      <c r="BF4" s="116" t="s">
        <v>24</v>
      </c>
      <c r="BG4" s="116" t="s">
        <v>760</v>
      </c>
      <c r="BH4" s="116" t="s">
        <v>90</v>
      </c>
      <c r="BI4" s="116" t="s">
        <v>22</v>
      </c>
      <c r="BJ4" s="449" t="s">
        <v>319</v>
      </c>
      <c r="BK4" s="116" t="s">
        <v>520</v>
      </c>
      <c r="BL4" s="116" t="s">
        <v>277</v>
      </c>
      <c r="BM4" s="449" t="s">
        <v>320</v>
      </c>
      <c r="BN4" s="116" t="s">
        <v>255</v>
      </c>
      <c r="BO4" s="116" t="s">
        <v>12</v>
      </c>
      <c r="BP4" s="116" t="s">
        <v>524</v>
      </c>
      <c r="BQ4" s="116" t="s">
        <v>279</v>
      </c>
      <c r="BR4" s="116" t="s">
        <v>15</v>
      </c>
      <c r="BS4" s="541" t="s">
        <v>305</v>
      </c>
      <c r="BT4" s="458" t="s">
        <v>308</v>
      </c>
      <c r="BU4" s="458" t="s">
        <v>306</v>
      </c>
      <c r="BV4" s="458" t="s">
        <v>307</v>
      </c>
      <c r="BW4" s="459" t="s">
        <v>5</v>
      </c>
      <c r="BX4" s="459" t="s">
        <v>94</v>
      </c>
      <c r="BY4" s="449" t="s">
        <v>241</v>
      </c>
      <c r="BZ4" s="459" t="s">
        <v>14</v>
      </c>
      <c r="CA4" s="459" t="s">
        <v>15</v>
      </c>
      <c r="CB4" s="459" t="s">
        <v>16</v>
      </c>
      <c r="CC4" s="449" t="s">
        <v>737</v>
      </c>
      <c r="CD4" s="459" t="s">
        <v>106</v>
      </c>
      <c r="CE4" s="460" t="s">
        <v>270</v>
      </c>
      <c r="CF4" s="460" t="s">
        <v>713</v>
      </c>
      <c r="CG4" s="459" t="s">
        <v>296</v>
      </c>
      <c r="CH4" s="459" t="s">
        <v>11</v>
      </c>
    </row>
    <row r="5" spans="2:86" ht="30" customHeight="1" x14ac:dyDescent="0.2">
      <c r="B5" s="525" t="s">
        <v>107</v>
      </c>
      <c r="C5" s="468" t="s">
        <v>589</v>
      </c>
      <c r="D5" s="469" t="s">
        <v>323</v>
      </c>
      <c r="E5" s="468" t="s">
        <v>108</v>
      </c>
      <c r="F5" s="469">
        <v>98.131264999999999</v>
      </c>
      <c r="G5" s="469">
        <v>25.885922999999998</v>
      </c>
      <c r="H5" s="469" t="s">
        <v>509</v>
      </c>
      <c r="I5" s="469" t="s">
        <v>218</v>
      </c>
      <c r="J5" s="558">
        <v>114</v>
      </c>
      <c r="K5" s="558">
        <v>524</v>
      </c>
      <c r="L5" s="558">
        <v>524</v>
      </c>
      <c r="M5" s="471" t="str">
        <f t="shared" ref="M5:M36" si="0">IF(J5&gt;50,IF(J5&gt;250,IF(J5&gt;500,IF(J5&gt;1000,"5. Massive","4. Big"),"3. Large"),"2. Medium"),"1. Small")</f>
        <v>2. Medium</v>
      </c>
      <c r="N5" s="526" t="s">
        <v>284</v>
      </c>
      <c r="O5" s="551" t="s">
        <v>284</v>
      </c>
      <c r="P5" s="552" t="str">
        <f>IF(O5="None","Not covered","Covered")</f>
        <v>Covered</v>
      </c>
      <c r="Q5" s="472">
        <v>42155</v>
      </c>
      <c r="R5" s="470"/>
      <c r="S5" s="472"/>
      <c r="T5" s="526" t="s">
        <v>260</v>
      </c>
      <c r="U5" s="532" t="str">
        <f>IF(T5="Not documented","Not documented","Documented")</f>
        <v>Documented</v>
      </c>
      <c r="V5" s="535">
        <v>0</v>
      </c>
      <c r="W5" s="473">
        <v>0</v>
      </c>
      <c r="X5" s="536" t="s">
        <v>19</v>
      </c>
      <c r="Y5" s="535">
        <v>0</v>
      </c>
      <c r="Z5" s="473">
        <v>0</v>
      </c>
      <c r="AA5" s="536">
        <v>12760</v>
      </c>
      <c r="AB5" s="565">
        <v>0</v>
      </c>
      <c r="AC5" s="566">
        <v>0</v>
      </c>
      <c r="AD5" s="573">
        <f t="shared" ref="AD5:AD67" si="1">IF((((V5/15)+((W5/30)/15)+Y5*400+Z5*500+(AA5/15))/L5)&gt;1,1,(((V5/15)+((W5/30)/15)+Y5*400+Z5*500+(AA5/15))/L5))</f>
        <v>1</v>
      </c>
      <c r="AE5" s="476">
        <f>AD5*L5</f>
        <v>524</v>
      </c>
      <c r="AF5" s="477">
        <f t="shared" ref="AF5:AF36" si="2">IF(((Y5*400+Z5*500+(AA5/15))/L5)&gt;1,1,(Y5*400+Z5*500+(AA5/15))/L5)</f>
        <v>1</v>
      </c>
      <c r="AG5" s="478">
        <f>AF5*L5</f>
        <v>524</v>
      </c>
      <c r="AH5" s="475">
        <f t="shared" ref="AH5:AH36" si="3">IF(AC5=0,AD5,IF(AC5&lt;AD5,AD5,AC5))</f>
        <v>1</v>
      </c>
      <c r="AI5" s="478">
        <f>AH5*L5</f>
        <v>524</v>
      </c>
      <c r="AJ5" s="479" t="str">
        <f t="shared" ref="AJ5:AJ36" si="4">IF(AD5&gt;0.15,IF(AD5&gt;0.3,IF(AD5&gt;0.45,IF(AD5&gt;0.6,IF(AD5&gt;0.8,"80-100%","60-80%"),"45-60%"),"30-45%"),"15-30%"),"0-10%")</f>
        <v>80-100%</v>
      </c>
      <c r="AK5" s="475">
        <f t="shared" ref="AK5:AK36" si="5">IF((AD5-AF5)&lt; 0, 0, AD5-AF5)</f>
        <v>0</v>
      </c>
      <c r="AL5" s="480">
        <f t="shared" ref="AL5:AL36" si="6">AK5*L5</f>
        <v>0</v>
      </c>
      <c r="AM5" s="478">
        <f t="shared" ref="AM5:AM36" si="7">IF(L5/400-(Y5+Z5)&lt;0,0,L5/400-(Y5+Z5))</f>
        <v>1.31</v>
      </c>
      <c r="AN5" s="478">
        <f t="shared" ref="AN5:AN36" si="8">AC5*J5</f>
        <v>0</v>
      </c>
      <c r="AO5" s="478">
        <f>AB5*L5</f>
        <v>0</v>
      </c>
      <c r="AP5" s="566">
        <v>1</v>
      </c>
      <c r="AQ5" s="576">
        <f>AP5*L5</f>
        <v>524</v>
      </c>
      <c r="AR5" s="579"/>
      <c r="AS5" s="585">
        <v>19</v>
      </c>
      <c r="AT5" s="558">
        <v>7</v>
      </c>
      <c r="AU5" s="558">
        <v>8</v>
      </c>
      <c r="AV5" s="473" t="s">
        <v>299</v>
      </c>
      <c r="AW5" s="481">
        <f t="shared" ref="AW5:AW36" si="9">IF((((AT5+AU5)*20)/L5)&gt;1,1,(((AT5+AU5)*20)/L5))</f>
        <v>0.5725190839694656</v>
      </c>
      <c r="AX5" s="478">
        <f>AW5*L5</f>
        <v>300</v>
      </c>
      <c r="AY5" s="481">
        <f t="shared" ref="AY5:AY36" si="10">AW5-BA5</f>
        <v>0.26717557251908391</v>
      </c>
      <c r="AZ5" s="478">
        <f>AY5*L5</f>
        <v>139.99999999999997</v>
      </c>
      <c r="BA5" s="481">
        <f t="shared" ref="BA5:BA36" si="11">IF(((AU5*20)/L5)&gt;1,1,((AU5*20)/L5))</f>
        <v>0.30534351145038169</v>
      </c>
      <c r="BB5" s="478">
        <f>BA5*L5</f>
        <v>160</v>
      </c>
      <c r="BC5" s="473">
        <v>0</v>
      </c>
      <c r="BD5" s="474">
        <v>0.56999999999999995</v>
      </c>
      <c r="BE5" s="482">
        <f t="shared" ref="BE5:BE36" si="12">BD5*L5</f>
        <v>298.67999999999995</v>
      </c>
      <c r="BF5" s="483">
        <f>IF((L5/20-AU5+BC5)&lt;0,0,(L5/20-AU5+BC5))</f>
        <v>18.2</v>
      </c>
      <c r="BG5" s="558">
        <v>4</v>
      </c>
      <c r="BH5" s="473" t="s">
        <v>300</v>
      </c>
      <c r="BI5" s="481">
        <f>IF((BG5*100/L5)&gt;1,1,(BG5*100/L5))</f>
        <v>0.76335877862595425</v>
      </c>
      <c r="BJ5" s="478">
        <f>BI5*L5</f>
        <v>400</v>
      </c>
      <c r="BK5" s="483">
        <f>IF(K5/100-BG5&lt;0,0,K5/100-BG5)</f>
        <v>1.2400000000000002</v>
      </c>
      <c r="BL5" s="474">
        <v>0.77</v>
      </c>
      <c r="BM5" s="478">
        <f>BL5*L5</f>
        <v>403.48</v>
      </c>
      <c r="BN5" s="473">
        <v>3</v>
      </c>
      <c r="BO5" s="481">
        <f t="shared" ref="BO5:BO36" si="13">IF((BN5*100/L5)&gt;1,1,(BN5*100/L5))</f>
        <v>0.5725190839694656</v>
      </c>
      <c r="BP5" s="483">
        <f t="shared" ref="BP5:BP36" si="14">IF(K5/100-BN5&lt;0,0,K5/100-BN5)</f>
        <v>2.2400000000000002</v>
      </c>
      <c r="BQ5" s="566">
        <v>0.57999999999999996</v>
      </c>
      <c r="BR5" s="590"/>
      <c r="BS5" s="592">
        <v>42048</v>
      </c>
      <c r="BT5" s="484">
        <f t="shared" ref="BT5:BT67" si="15">IF(BS5="","To be realised",IF(BS5="n/a","n/a",IF(BS5+365&lt;$E$2,"To be realised",BS5+365)))</f>
        <v>42413</v>
      </c>
      <c r="BU5" s="558">
        <v>119</v>
      </c>
      <c r="BV5" s="558">
        <v>2</v>
      </c>
      <c r="BW5" s="485">
        <f t="shared" ref="BW5:BW67" si="16">IF(BT5="n/a",0,IF(BT5="To be realised",J5,IF((J5-BU5)&lt;0,0,(J5-BU5))))</f>
        <v>0</v>
      </c>
      <c r="BX5" s="486">
        <f t="shared" ref="BX5:BX36" si="17">IF(BW5=0,1,(J5-BW5)/J5)</f>
        <v>1</v>
      </c>
      <c r="BY5" s="478">
        <f t="shared" ref="BY5:BY36" si="18">BX5*L5</f>
        <v>524</v>
      </c>
      <c r="BZ5" s="593">
        <f t="shared" ref="BZ5:BZ67" si="19">IF(BS5="","Column BN to be completed", IF(BS5="n/a",0,IF(($E$2-BS5-30)/30-BV5&lt;0,0,ROUND((($E$2-BS5-30)/30-BV5),0))))</f>
        <v>0</v>
      </c>
      <c r="CA5" s="535"/>
      <c r="CB5" s="566">
        <v>1</v>
      </c>
      <c r="CC5" s="604">
        <f>CB5*L5</f>
        <v>524</v>
      </c>
      <c r="CD5" s="535">
        <v>2</v>
      </c>
      <c r="CE5" s="487" t="str">
        <f>IF(CD5=0,"No coverage",IF(L5/CD5&gt;1000,"Low coverage",IF(L5/CD5&gt;750,"Average coverage",IF(L5/CD5&gt;500,"Good coverage","Excellent coverage"))))</f>
        <v>Excellent coverage</v>
      </c>
      <c r="CF5" s="473">
        <v>0</v>
      </c>
      <c r="CG5" s="536" t="s">
        <v>65</v>
      </c>
      <c r="CH5" s="590"/>
    </row>
    <row r="6" spans="2:86" s="40" customFormat="1" ht="30" customHeight="1" x14ac:dyDescent="0.2">
      <c r="B6" s="527" t="s">
        <v>107</v>
      </c>
      <c r="C6" s="488" t="s">
        <v>590</v>
      </c>
      <c r="D6" s="117" t="s">
        <v>323</v>
      </c>
      <c r="E6" s="488" t="s">
        <v>221</v>
      </c>
      <c r="F6" s="117">
        <v>98.475719999999995</v>
      </c>
      <c r="G6" s="117">
        <v>25.754110000000001</v>
      </c>
      <c r="H6" s="117" t="s">
        <v>509</v>
      </c>
      <c r="I6" s="117" t="s">
        <v>226</v>
      </c>
      <c r="J6" s="546">
        <v>155</v>
      </c>
      <c r="K6" s="546">
        <v>873</v>
      </c>
      <c r="L6" s="546">
        <v>873</v>
      </c>
      <c r="M6" s="490" t="str">
        <f t="shared" si="0"/>
        <v>2. Medium</v>
      </c>
      <c r="N6" s="528" t="s">
        <v>239</v>
      </c>
      <c r="O6" s="553" t="s">
        <v>239</v>
      </c>
      <c r="P6" s="545" t="str">
        <f t="shared" ref="P6:P67" si="20">IF(O6="None","Not covered","Covered")</f>
        <v>Covered</v>
      </c>
      <c r="Q6" s="491">
        <v>42185</v>
      </c>
      <c r="R6" s="489" t="s">
        <v>240</v>
      </c>
      <c r="S6" s="491">
        <v>42185</v>
      </c>
      <c r="T6" s="528" t="s">
        <v>260</v>
      </c>
      <c r="U6" s="533" t="str">
        <f t="shared" ref="U6:U67" si="21">IF(T6="Not documented","Not documented","Documented")</f>
        <v>Documented</v>
      </c>
      <c r="V6" s="537">
        <v>0</v>
      </c>
      <c r="W6" s="492">
        <v>157140</v>
      </c>
      <c r="X6" s="538" t="s">
        <v>19</v>
      </c>
      <c r="Y6" s="537">
        <v>0</v>
      </c>
      <c r="Z6" s="492">
        <v>0</v>
      </c>
      <c r="AA6" s="538">
        <v>17062</v>
      </c>
      <c r="AB6" s="567">
        <v>0</v>
      </c>
      <c r="AC6" s="568">
        <v>0</v>
      </c>
      <c r="AD6" s="574">
        <f t="shared" si="1"/>
        <v>1</v>
      </c>
      <c r="AE6" s="495">
        <f t="shared" ref="AE6:AE67" si="22">AD6*L6</f>
        <v>873</v>
      </c>
      <c r="AF6" s="496">
        <f t="shared" si="2"/>
        <v>1</v>
      </c>
      <c r="AG6" s="497">
        <f t="shared" ref="AG6:AG67" si="23">AF6*L6</f>
        <v>873</v>
      </c>
      <c r="AH6" s="494">
        <f t="shared" si="3"/>
        <v>1</v>
      </c>
      <c r="AI6" s="497">
        <f t="shared" ref="AI6:AI67" si="24">AH6*L6</f>
        <v>873</v>
      </c>
      <c r="AJ6" s="498" t="str">
        <f t="shared" si="4"/>
        <v>80-100%</v>
      </c>
      <c r="AK6" s="494">
        <f t="shared" si="5"/>
        <v>0</v>
      </c>
      <c r="AL6" s="499">
        <f t="shared" si="6"/>
        <v>0</v>
      </c>
      <c r="AM6" s="497">
        <f t="shared" si="7"/>
        <v>2.1825000000000001</v>
      </c>
      <c r="AN6" s="497">
        <f t="shared" si="8"/>
        <v>0</v>
      </c>
      <c r="AO6" s="497">
        <f t="shared" ref="AO6:AO67" si="25">AB6*L6</f>
        <v>0</v>
      </c>
      <c r="AP6" s="568">
        <v>1</v>
      </c>
      <c r="AQ6" s="577">
        <f t="shared" ref="AQ6:AQ67" si="26">AP6*L6</f>
        <v>873</v>
      </c>
      <c r="AR6" s="580" t="s">
        <v>833</v>
      </c>
      <c r="AS6" s="537">
        <v>42</v>
      </c>
      <c r="AT6" s="492">
        <v>44</v>
      </c>
      <c r="AU6" s="492">
        <v>0</v>
      </c>
      <c r="AV6" s="492" t="s">
        <v>299</v>
      </c>
      <c r="AW6" s="500">
        <f t="shared" si="9"/>
        <v>1</v>
      </c>
      <c r="AX6" s="497">
        <f t="shared" ref="AX6:AX67" si="27">AW6*L6</f>
        <v>873</v>
      </c>
      <c r="AY6" s="500">
        <f t="shared" si="10"/>
        <v>1</v>
      </c>
      <c r="AZ6" s="497">
        <f t="shared" ref="AZ6:AZ67" si="28">AY6*L6</f>
        <v>873</v>
      </c>
      <c r="BA6" s="500">
        <f t="shared" si="11"/>
        <v>0</v>
      </c>
      <c r="BB6" s="497">
        <f t="shared" ref="BB6:BB67" si="29">BA6*L6</f>
        <v>0</v>
      </c>
      <c r="BC6" s="492">
        <v>0</v>
      </c>
      <c r="BD6" s="493">
        <v>1</v>
      </c>
      <c r="BE6" s="501">
        <f t="shared" si="12"/>
        <v>873</v>
      </c>
      <c r="BF6" s="502">
        <f t="shared" ref="BF6:BF67" si="30">IF((L6/20-AU6+BC6)&lt;0,0,(L6/20-AU6+BC6))</f>
        <v>43.65</v>
      </c>
      <c r="BG6" s="492">
        <v>4</v>
      </c>
      <c r="BH6" s="492" t="s">
        <v>91</v>
      </c>
      <c r="BI6" s="500">
        <f t="shared" ref="BI6:BI67" si="31">IF((BG6*100/L6)&gt;1,1,(BG6*100/L6))</f>
        <v>0.45819014891179838</v>
      </c>
      <c r="BJ6" s="497">
        <f t="shared" ref="BJ6:BJ67" si="32">BI6*L6</f>
        <v>400</v>
      </c>
      <c r="BK6" s="502">
        <f t="shared" ref="BK6:BK67" si="33">IF(K6/100-BG6&lt;0,0,K6/100-BG6)</f>
        <v>4.7300000000000004</v>
      </c>
      <c r="BL6" s="493">
        <v>0.5</v>
      </c>
      <c r="BM6" s="497">
        <f t="shared" ref="BM6:BM67" si="34">BL6*L6</f>
        <v>436.5</v>
      </c>
      <c r="BN6" s="492">
        <v>10</v>
      </c>
      <c r="BO6" s="500">
        <f t="shared" si="13"/>
        <v>1</v>
      </c>
      <c r="BP6" s="502">
        <f t="shared" si="14"/>
        <v>0</v>
      </c>
      <c r="BQ6" s="568">
        <v>1</v>
      </c>
      <c r="BR6" s="580"/>
      <c r="BS6" s="594">
        <v>42053</v>
      </c>
      <c r="BT6" s="503">
        <f t="shared" si="15"/>
        <v>42418</v>
      </c>
      <c r="BU6" s="546">
        <v>155</v>
      </c>
      <c r="BV6" s="546">
        <v>3</v>
      </c>
      <c r="BW6" s="504">
        <f t="shared" si="16"/>
        <v>0</v>
      </c>
      <c r="BX6" s="505">
        <f t="shared" si="17"/>
        <v>1</v>
      </c>
      <c r="BY6" s="497">
        <f t="shared" si="18"/>
        <v>873</v>
      </c>
      <c r="BZ6" s="595">
        <f t="shared" si="19"/>
        <v>0</v>
      </c>
      <c r="CA6" s="537"/>
      <c r="CB6" s="568">
        <v>1</v>
      </c>
      <c r="CC6" s="605">
        <f t="shared" ref="CC6:CC67" si="35">CB6*L6</f>
        <v>873</v>
      </c>
      <c r="CD6" s="537">
        <v>3</v>
      </c>
      <c r="CE6" s="506" t="str">
        <f t="shared" ref="CE6:CE67" si="36">IF(CD6=0,"No coverage",IF(L6/CD6&gt;1000,"Low coverage",IF(L6/CD6&gt;750,"Average coverage",IF(L6/CD6&gt;500,"Good coverage","Excellent coverage"))))</f>
        <v>Excellent coverage</v>
      </c>
      <c r="CF6" s="492">
        <v>0</v>
      </c>
      <c r="CG6" s="538" t="s">
        <v>302</v>
      </c>
      <c r="CH6" s="580"/>
    </row>
    <row r="7" spans="2:86" s="40" customFormat="1" ht="30" customHeight="1" x14ac:dyDescent="0.2">
      <c r="B7" s="527" t="s">
        <v>107</v>
      </c>
      <c r="C7" s="488" t="s">
        <v>591</v>
      </c>
      <c r="D7" s="117" t="s">
        <v>323</v>
      </c>
      <c r="E7" s="488" t="s">
        <v>109</v>
      </c>
      <c r="F7" s="117" t="s">
        <v>543</v>
      </c>
      <c r="G7" s="117" t="s">
        <v>543</v>
      </c>
      <c r="H7" s="117" t="s">
        <v>509</v>
      </c>
      <c r="I7" s="117" t="s">
        <v>218</v>
      </c>
      <c r="J7" s="546">
        <v>143</v>
      </c>
      <c r="K7" s="546">
        <v>631</v>
      </c>
      <c r="L7" s="546">
        <v>631</v>
      </c>
      <c r="M7" s="490" t="str">
        <f t="shared" si="0"/>
        <v>2. Medium</v>
      </c>
      <c r="N7" s="528" t="s">
        <v>284</v>
      </c>
      <c r="O7" s="553" t="s">
        <v>284</v>
      </c>
      <c r="P7" s="545" t="str">
        <f t="shared" si="20"/>
        <v>Covered</v>
      </c>
      <c r="Q7" s="491">
        <v>42155</v>
      </c>
      <c r="R7" s="489"/>
      <c r="S7" s="491"/>
      <c r="T7" s="528" t="s">
        <v>260</v>
      </c>
      <c r="U7" s="533" t="str">
        <f t="shared" si="21"/>
        <v>Documented</v>
      </c>
      <c r="V7" s="537">
        <v>0</v>
      </c>
      <c r="W7" s="492">
        <v>0</v>
      </c>
      <c r="X7" s="538" t="s">
        <v>19</v>
      </c>
      <c r="Y7" s="537">
        <v>0</v>
      </c>
      <c r="Z7" s="492">
        <v>0</v>
      </c>
      <c r="AA7" s="538">
        <v>12760</v>
      </c>
      <c r="AB7" s="567">
        <v>0</v>
      </c>
      <c r="AC7" s="568">
        <v>0</v>
      </c>
      <c r="AD7" s="574">
        <f t="shared" si="1"/>
        <v>1</v>
      </c>
      <c r="AE7" s="495">
        <f t="shared" si="22"/>
        <v>631</v>
      </c>
      <c r="AF7" s="496">
        <f t="shared" si="2"/>
        <v>1</v>
      </c>
      <c r="AG7" s="497">
        <f t="shared" si="23"/>
        <v>631</v>
      </c>
      <c r="AH7" s="494">
        <f t="shared" si="3"/>
        <v>1</v>
      </c>
      <c r="AI7" s="497">
        <f t="shared" si="24"/>
        <v>631</v>
      </c>
      <c r="AJ7" s="498" t="str">
        <f t="shared" si="4"/>
        <v>80-100%</v>
      </c>
      <c r="AK7" s="494">
        <f t="shared" si="5"/>
        <v>0</v>
      </c>
      <c r="AL7" s="499">
        <f t="shared" si="6"/>
        <v>0</v>
      </c>
      <c r="AM7" s="497">
        <f t="shared" si="7"/>
        <v>1.5774999999999999</v>
      </c>
      <c r="AN7" s="497">
        <f t="shared" si="8"/>
        <v>0</v>
      </c>
      <c r="AO7" s="497">
        <f t="shared" si="25"/>
        <v>0</v>
      </c>
      <c r="AP7" s="568">
        <v>1</v>
      </c>
      <c r="AQ7" s="577">
        <f t="shared" si="26"/>
        <v>631</v>
      </c>
      <c r="AR7" s="581"/>
      <c r="AS7" s="537">
        <v>5</v>
      </c>
      <c r="AT7" s="492">
        <v>5</v>
      </c>
      <c r="AU7" s="492">
        <v>23</v>
      </c>
      <c r="AV7" s="492" t="s">
        <v>299</v>
      </c>
      <c r="AW7" s="500">
        <f t="shared" si="9"/>
        <v>0.88748019017432644</v>
      </c>
      <c r="AX7" s="497">
        <f t="shared" si="27"/>
        <v>560</v>
      </c>
      <c r="AY7" s="500">
        <f t="shared" si="10"/>
        <v>0.15847860538827252</v>
      </c>
      <c r="AZ7" s="497">
        <f t="shared" si="28"/>
        <v>99.999999999999957</v>
      </c>
      <c r="BA7" s="500">
        <f t="shared" si="11"/>
        <v>0.72900158478605392</v>
      </c>
      <c r="BB7" s="497">
        <f t="shared" si="29"/>
        <v>460</v>
      </c>
      <c r="BC7" s="492">
        <v>0</v>
      </c>
      <c r="BD7" s="493">
        <v>0.89</v>
      </c>
      <c r="BE7" s="501">
        <f t="shared" si="12"/>
        <v>561.59</v>
      </c>
      <c r="BF7" s="502">
        <f t="shared" si="30"/>
        <v>8.5500000000000007</v>
      </c>
      <c r="BG7" s="492">
        <v>7</v>
      </c>
      <c r="BH7" s="492" t="s">
        <v>300</v>
      </c>
      <c r="BI7" s="500">
        <f t="shared" si="31"/>
        <v>1</v>
      </c>
      <c r="BJ7" s="497">
        <f t="shared" si="32"/>
        <v>631</v>
      </c>
      <c r="BK7" s="502">
        <f t="shared" si="33"/>
        <v>0</v>
      </c>
      <c r="BL7" s="493">
        <v>1</v>
      </c>
      <c r="BM7" s="497">
        <f t="shared" si="34"/>
        <v>631</v>
      </c>
      <c r="BN7" s="492">
        <v>5</v>
      </c>
      <c r="BO7" s="500">
        <f t="shared" si="13"/>
        <v>0.79239302694136293</v>
      </c>
      <c r="BP7" s="502">
        <f t="shared" si="14"/>
        <v>1.3099999999999996</v>
      </c>
      <c r="BQ7" s="568">
        <v>0.79</v>
      </c>
      <c r="BR7" s="580"/>
      <c r="BS7" s="594">
        <v>42048</v>
      </c>
      <c r="BT7" s="503">
        <f t="shared" si="15"/>
        <v>42413</v>
      </c>
      <c r="BU7" s="546">
        <v>137</v>
      </c>
      <c r="BV7" s="546">
        <v>2</v>
      </c>
      <c r="BW7" s="504">
        <f t="shared" si="16"/>
        <v>6</v>
      </c>
      <c r="BX7" s="505">
        <f t="shared" si="17"/>
        <v>0.95804195804195802</v>
      </c>
      <c r="BY7" s="497">
        <f t="shared" si="18"/>
        <v>604.52447552447552</v>
      </c>
      <c r="BZ7" s="595">
        <f t="shared" si="19"/>
        <v>0</v>
      </c>
      <c r="CA7" s="537"/>
      <c r="CB7" s="568">
        <v>1</v>
      </c>
      <c r="CC7" s="605">
        <f t="shared" si="35"/>
        <v>631</v>
      </c>
      <c r="CD7" s="537">
        <v>2</v>
      </c>
      <c r="CE7" s="506" t="str">
        <f t="shared" si="36"/>
        <v>Excellent coverage</v>
      </c>
      <c r="CF7" s="492">
        <v>0</v>
      </c>
      <c r="CG7" s="538" t="s">
        <v>65</v>
      </c>
      <c r="CH7" s="580"/>
    </row>
    <row r="8" spans="2:86" s="40" customFormat="1" ht="30" customHeight="1" x14ac:dyDescent="0.2">
      <c r="B8" s="527" t="s">
        <v>107</v>
      </c>
      <c r="C8" s="488" t="s">
        <v>592</v>
      </c>
      <c r="D8" s="117" t="s">
        <v>323</v>
      </c>
      <c r="E8" s="488" t="s">
        <v>292</v>
      </c>
      <c r="F8" s="117">
        <v>98.376824999999997</v>
      </c>
      <c r="G8" s="117">
        <v>25.598251999999999</v>
      </c>
      <c r="H8" s="117" t="s">
        <v>509</v>
      </c>
      <c r="I8" s="117" t="s">
        <v>218</v>
      </c>
      <c r="J8" s="546">
        <v>68</v>
      </c>
      <c r="K8" s="546">
        <v>323</v>
      </c>
      <c r="L8" s="546">
        <v>323</v>
      </c>
      <c r="M8" s="490" t="str">
        <f t="shared" si="0"/>
        <v>2. Medium</v>
      </c>
      <c r="N8" s="528" t="s">
        <v>235</v>
      </c>
      <c r="O8" s="553" t="s">
        <v>235</v>
      </c>
      <c r="P8" s="545" t="str">
        <f t="shared" si="20"/>
        <v>Covered</v>
      </c>
      <c r="Q8" s="491" t="s">
        <v>708</v>
      </c>
      <c r="R8" s="489"/>
      <c r="S8" s="491"/>
      <c r="T8" s="528" t="s">
        <v>260</v>
      </c>
      <c r="U8" s="533" t="str">
        <f t="shared" si="21"/>
        <v>Documented</v>
      </c>
      <c r="V8" s="537">
        <v>0</v>
      </c>
      <c r="W8" s="492">
        <v>0</v>
      </c>
      <c r="X8" s="538" t="s">
        <v>19</v>
      </c>
      <c r="Y8" s="537">
        <v>0</v>
      </c>
      <c r="Z8" s="492">
        <v>0</v>
      </c>
      <c r="AA8" s="538">
        <v>20250</v>
      </c>
      <c r="AB8" s="567">
        <v>0</v>
      </c>
      <c r="AC8" s="568">
        <v>1</v>
      </c>
      <c r="AD8" s="574">
        <f t="shared" si="1"/>
        <v>1</v>
      </c>
      <c r="AE8" s="495">
        <f t="shared" si="22"/>
        <v>323</v>
      </c>
      <c r="AF8" s="496">
        <f t="shared" si="2"/>
        <v>1</v>
      </c>
      <c r="AG8" s="497">
        <f t="shared" si="23"/>
        <v>323</v>
      </c>
      <c r="AH8" s="494">
        <f t="shared" si="3"/>
        <v>1</v>
      </c>
      <c r="AI8" s="497">
        <f t="shared" si="24"/>
        <v>323</v>
      </c>
      <c r="AJ8" s="498" t="str">
        <f t="shared" si="4"/>
        <v>80-100%</v>
      </c>
      <c r="AK8" s="494">
        <f t="shared" si="5"/>
        <v>0</v>
      </c>
      <c r="AL8" s="499">
        <f t="shared" si="6"/>
        <v>0</v>
      </c>
      <c r="AM8" s="497">
        <f t="shared" si="7"/>
        <v>0.8075</v>
      </c>
      <c r="AN8" s="497">
        <f t="shared" si="8"/>
        <v>68</v>
      </c>
      <c r="AO8" s="497">
        <f t="shared" si="25"/>
        <v>0</v>
      </c>
      <c r="AP8" s="568">
        <v>1</v>
      </c>
      <c r="AQ8" s="577">
        <f t="shared" si="26"/>
        <v>323</v>
      </c>
      <c r="AR8" s="581" t="s">
        <v>896</v>
      </c>
      <c r="AS8" s="537">
        <v>8</v>
      </c>
      <c r="AT8" s="492">
        <v>0</v>
      </c>
      <c r="AU8" s="492">
        <v>16</v>
      </c>
      <c r="AV8" s="492" t="s">
        <v>300</v>
      </c>
      <c r="AW8" s="500">
        <f t="shared" si="9"/>
        <v>0.99071207430340558</v>
      </c>
      <c r="AX8" s="497">
        <f t="shared" si="27"/>
        <v>320</v>
      </c>
      <c r="AY8" s="500">
        <f t="shared" si="10"/>
        <v>0</v>
      </c>
      <c r="AZ8" s="497">
        <f t="shared" si="28"/>
        <v>0</v>
      </c>
      <c r="BA8" s="500">
        <f t="shared" si="11"/>
        <v>0.99071207430340558</v>
      </c>
      <c r="BB8" s="497">
        <f t="shared" si="29"/>
        <v>320</v>
      </c>
      <c r="BC8" s="492">
        <v>0</v>
      </c>
      <c r="BD8" s="493">
        <v>0.99</v>
      </c>
      <c r="BE8" s="501">
        <f t="shared" si="12"/>
        <v>319.77</v>
      </c>
      <c r="BF8" s="502">
        <f t="shared" si="30"/>
        <v>0.14999999999999858</v>
      </c>
      <c r="BG8" s="492">
        <v>2</v>
      </c>
      <c r="BH8" s="492" t="s">
        <v>300</v>
      </c>
      <c r="BI8" s="500">
        <f t="shared" si="31"/>
        <v>0.61919504643962853</v>
      </c>
      <c r="BJ8" s="497">
        <f t="shared" si="32"/>
        <v>200</v>
      </c>
      <c r="BK8" s="502">
        <f t="shared" si="33"/>
        <v>1.23</v>
      </c>
      <c r="BL8" s="493">
        <v>0.62</v>
      </c>
      <c r="BM8" s="497">
        <f t="shared" si="34"/>
        <v>200.26</v>
      </c>
      <c r="BN8" s="492">
        <v>2</v>
      </c>
      <c r="BO8" s="500">
        <f t="shared" si="13"/>
        <v>0.61919504643962853</v>
      </c>
      <c r="BP8" s="502">
        <f t="shared" si="14"/>
        <v>1.23</v>
      </c>
      <c r="BQ8" s="568">
        <v>0.62</v>
      </c>
      <c r="BR8" s="580" t="s">
        <v>857</v>
      </c>
      <c r="BS8" s="594">
        <v>41780</v>
      </c>
      <c r="BT8" s="503">
        <f t="shared" si="15"/>
        <v>42145</v>
      </c>
      <c r="BU8" s="546">
        <v>94</v>
      </c>
      <c r="BV8" s="546">
        <v>10</v>
      </c>
      <c r="BW8" s="504">
        <f t="shared" si="16"/>
        <v>0</v>
      </c>
      <c r="BX8" s="505">
        <f t="shared" si="17"/>
        <v>1</v>
      </c>
      <c r="BY8" s="497">
        <f t="shared" si="18"/>
        <v>323</v>
      </c>
      <c r="BZ8" s="595">
        <f t="shared" si="19"/>
        <v>0</v>
      </c>
      <c r="CA8" s="537"/>
      <c r="CB8" s="568">
        <v>0</v>
      </c>
      <c r="CC8" s="605">
        <f t="shared" si="35"/>
        <v>0</v>
      </c>
      <c r="CD8" s="537">
        <v>2</v>
      </c>
      <c r="CE8" s="506" t="str">
        <f t="shared" si="36"/>
        <v>Excellent coverage</v>
      </c>
      <c r="CF8" s="492">
        <v>0</v>
      </c>
      <c r="CG8" s="538" t="s">
        <v>302</v>
      </c>
      <c r="CH8" s="580" t="s">
        <v>858</v>
      </c>
    </row>
    <row r="9" spans="2:86" s="40" customFormat="1" ht="30" customHeight="1" x14ac:dyDescent="0.2">
      <c r="B9" s="527" t="s">
        <v>110</v>
      </c>
      <c r="C9" s="488" t="s">
        <v>593</v>
      </c>
      <c r="D9" s="117" t="s">
        <v>264</v>
      </c>
      <c r="E9" s="488" t="s">
        <v>111</v>
      </c>
      <c r="F9" s="117">
        <v>96.355270000000004</v>
      </c>
      <c r="G9" s="117">
        <v>25.656130000000001</v>
      </c>
      <c r="H9" s="117" t="s">
        <v>509</v>
      </c>
      <c r="I9" s="117" t="s">
        <v>218</v>
      </c>
      <c r="J9" s="546">
        <v>77</v>
      </c>
      <c r="K9" s="546">
        <v>360</v>
      </c>
      <c r="L9" s="546">
        <v>360</v>
      </c>
      <c r="M9" s="490" t="str">
        <f t="shared" si="0"/>
        <v>2. Medium</v>
      </c>
      <c r="N9" s="528" t="s">
        <v>284</v>
      </c>
      <c r="O9" s="553" t="s">
        <v>284</v>
      </c>
      <c r="P9" s="545" t="str">
        <f t="shared" si="20"/>
        <v>Covered</v>
      </c>
      <c r="Q9" s="491" t="s">
        <v>708</v>
      </c>
      <c r="R9" s="489"/>
      <c r="S9" s="491"/>
      <c r="T9" s="528" t="s">
        <v>260</v>
      </c>
      <c r="U9" s="533" t="str">
        <f t="shared" si="21"/>
        <v>Documented</v>
      </c>
      <c r="V9" s="537">
        <v>0</v>
      </c>
      <c r="W9" s="492">
        <v>0</v>
      </c>
      <c r="X9" s="538" t="s">
        <v>19</v>
      </c>
      <c r="Y9" s="537">
        <v>3</v>
      </c>
      <c r="Z9" s="492">
        <v>0</v>
      </c>
      <c r="AA9" s="538">
        <v>6000</v>
      </c>
      <c r="AB9" s="567">
        <v>0</v>
      </c>
      <c r="AC9" s="568">
        <v>0</v>
      </c>
      <c r="AD9" s="574">
        <f t="shared" si="1"/>
        <v>1</v>
      </c>
      <c r="AE9" s="495">
        <f t="shared" si="22"/>
        <v>360</v>
      </c>
      <c r="AF9" s="496">
        <f t="shared" si="2"/>
        <v>1</v>
      </c>
      <c r="AG9" s="497">
        <f t="shared" si="23"/>
        <v>360</v>
      </c>
      <c r="AH9" s="494">
        <f t="shared" si="3"/>
        <v>1</v>
      </c>
      <c r="AI9" s="497">
        <f t="shared" si="24"/>
        <v>360</v>
      </c>
      <c r="AJ9" s="498" t="str">
        <f t="shared" si="4"/>
        <v>80-100%</v>
      </c>
      <c r="AK9" s="494">
        <f t="shared" si="5"/>
        <v>0</v>
      </c>
      <c r="AL9" s="499">
        <f t="shared" si="6"/>
        <v>0</v>
      </c>
      <c r="AM9" s="497">
        <f t="shared" si="7"/>
        <v>0</v>
      </c>
      <c r="AN9" s="497">
        <f t="shared" si="8"/>
        <v>0</v>
      </c>
      <c r="AO9" s="497">
        <f t="shared" si="25"/>
        <v>0</v>
      </c>
      <c r="AP9" s="568">
        <v>1</v>
      </c>
      <c r="AQ9" s="577">
        <f t="shared" si="26"/>
        <v>360</v>
      </c>
      <c r="AR9" s="581"/>
      <c r="AS9" s="537">
        <v>8</v>
      </c>
      <c r="AT9" s="492">
        <v>0</v>
      </c>
      <c r="AU9" s="492">
        <v>5</v>
      </c>
      <c r="AV9" s="492" t="s">
        <v>91</v>
      </c>
      <c r="AW9" s="500">
        <f t="shared" si="9"/>
        <v>0.27777777777777779</v>
      </c>
      <c r="AX9" s="497">
        <f t="shared" si="27"/>
        <v>100</v>
      </c>
      <c r="AY9" s="500">
        <f t="shared" si="10"/>
        <v>0</v>
      </c>
      <c r="AZ9" s="497">
        <f t="shared" si="28"/>
        <v>0</v>
      </c>
      <c r="BA9" s="500">
        <f t="shared" si="11"/>
        <v>0.27777777777777779</v>
      </c>
      <c r="BB9" s="497">
        <f t="shared" si="29"/>
        <v>100</v>
      </c>
      <c r="BC9" s="492">
        <v>0</v>
      </c>
      <c r="BD9" s="493">
        <v>0.28000000000000003</v>
      </c>
      <c r="BE9" s="501">
        <f t="shared" si="12"/>
        <v>100.80000000000001</v>
      </c>
      <c r="BF9" s="502">
        <f t="shared" si="30"/>
        <v>13</v>
      </c>
      <c r="BG9" s="492">
        <v>2</v>
      </c>
      <c r="BH9" s="492" t="s">
        <v>301</v>
      </c>
      <c r="BI9" s="500">
        <f t="shared" si="31"/>
        <v>0.55555555555555558</v>
      </c>
      <c r="BJ9" s="497">
        <f t="shared" si="32"/>
        <v>200</v>
      </c>
      <c r="BK9" s="502">
        <f t="shared" si="33"/>
        <v>1.6</v>
      </c>
      <c r="BL9" s="493">
        <v>0.56999999999999995</v>
      </c>
      <c r="BM9" s="497">
        <f t="shared" si="34"/>
        <v>205.2</v>
      </c>
      <c r="BN9" s="492">
        <v>6</v>
      </c>
      <c r="BO9" s="500">
        <f t="shared" si="13"/>
        <v>1</v>
      </c>
      <c r="BP9" s="502">
        <f t="shared" si="14"/>
        <v>0</v>
      </c>
      <c r="BQ9" s="568">
        <v>1</v>
      </c>
      <c r="BR9" s="580" t="s">
        <v>859</v>
      </c>
      <c r="BS9" s="594">
        <v>41695</v>
      </c>
      <c r="BT9" s="503" t="str">
        <f t="shared" si="15"/>
        <v>To be realised</v>
      </c>
      <c r="BU9" s="546">
        <v>77</v>
      </c>
      <c r="BV9" s="546">
        <v>10</v>
      </c>
      <c r="BW9" s="504">
        <f t="shared" si="16"/>
        <v>77</v>
      </c>
      <c r="BX9" s="505">
        <f t="shared" si="17"/>
        <v>0</v>
      </c>
      <c r="BY9" s="497">
        <f t="shared" si="18"/>
        <v>0</v>
      </c>
      <c r="BZ9" s="595">
        <f t="shared" si="19"/>
        <v>3</v>
      </c>
      <c r="CA9" s="537" t="s">
        <v>848</v>
      </c>
      <c r="CB9" s="568">
        <v>0</v>
      </c>
      <c r="CC9" s="605">
        <f t="shared" si="35"/>
        <v>0</v>
      </c>
      <c r="CD9" s="537">
        <v>2</v>
      </c>
      <c r="CE9" s="506" t="str">
        <f t="shared" si="36"/>
        <v>Excellent coverage</v>
      </c>
      <c r="CF9" s="492">
        <v>0</v>
      </c>
      <c r="CG9" s="538" t="s">
        <v>65</v>
      </c>
      <c r="CH9" s="580"/>
    </row>
    <row r="10" spans="2:86" s="40" customFormat="1" ht="30" customHeight="1" x14ac:dyDescent="0.2">
      <c r="B10" s="527" t="s">
        <v>110</v>
      </c>
      <c r="C10" s="488" t="s">
        <v>594</v>
      </c>
      <c r="D10" s="117" t="s">
        <v>264</v>
      </c>
      <c r="E10" s="488" t="s">
        <v>112</v>
      </c>
      <c r="F10" s="117">
        <v>96.353070000000002</v>
      </c>
      <c r="G10" s="117">
        <v>25.655819999999999</v>
      </c>
      <c r="H10" s="117" t="s">
        <v>509</v>
      </c>
      <c r="I10" s="117" t="s">
        <v>218</v>
      </c>
      <c r="J10" s="546">
        <v>83</v>
      </c>
      <c r="K10" s="546">
        <v>425</v>
      </c>
      <c r="L10" s="546">
        <v>425</v>
      </c>
      <c r="M10" s="490" t="str">
        <f t="shared" si="0"/>
        <v>2. Medium</v>
      </c>
      <c r="N10" s="528" t="s">
        <v>235</v>
      </c>
      <c r="O10" s="553" t="s">
        <v>235</v>
      </c>
      <c r="P10" s="545" t="str">
        <f t="shared" si="20"/>
        <v>Covered</v>
      </c>
      <c r="Q10" s="491" t="s">
        <v>708</v>
      </c>
      <c r="R10" s="489"/>
      <c r="S10" s="491"/>
      <c r="T10" s="528" t="s">
        <v>260</v>
      </c>
      <c r="U10" s="533" t="str">
        <f t="shared" si="21"/>
        <v>Documented</v>
      </c>
      <c r="V10" s="537">
        <v>0</v>
      </c>
      <c r="W10" s="492">
        <v>0</v>
      </c>
      <c r="X10" s="538" t="s">
        <v>19</v>
      </c>
      <c r="Y10" s="537">
        <v>2</v>
      </c>
      <c r="Z10" s="492">
        <v>0</v>
      </c>
      <c r="AA10" s="538">
        <v>3000</v>
      </c>
      <c r="AB10" s="567">
        <v>0</v>
      </c>
      <c r="AC10" s="568">
        <v>0</v>
      </c>
      <c r="AD10" s="574">
        <f t="shared" si="1"/>
        <v>1</v>
      </c>
      <c r="AE10" s="495">
        <f t="shared" si="22"/>
        <v>425</v>
      </c>
      <c r="AF10" s="496">
        <f t="shared" si="2"/>
        <v>1</v>
      </c>
      <c r="AG10" s="497">
        <f t="shared" si="23"/>
        <v>425</v>
      </c>
      <c r="AH10" s="494">
        <f t="shared" si="3"/>
        <v>1</v>
      </c>
      <c r="AI10" s="497">
        <f t="shared" si="24"/>
        <v>425</v>
      </c>
      <c r="AJ10" s="498" t="str">
        <f t="shared" si="4"/>
        <v>80-100%</v>
      </c>
      <c r="AK10" s="494">
        <f t="shared" si="5"/>
        <v>0</v>
      </c>
      <c r="AL10" s="499">
        <f t="shared" si="6"/>
        <v>0</v>
      </c>
      <c r="AM10" s="497">
        <f t="shared" si="7"/>
        <v>0</v>
      </c>
      <c r="AN10" s="497">
        <f t="shared" si="8"/>
        <v>0</v>
      </c>
      <c r="AO10" s="497">
        <f t="shared" si="25"/>
        <v>0</v>
      </c>
      <c r="AP10" s="568">
        <v>1</v>
      </c>
      <c r="AQ10" s="577">
        <f t="shared" si="26"/>
        <v>425</v>
      </c>
      <c r="AR10" s="581"/>
      <c r="AS10" s="537">
        <v>10</v>
      </c>
      <c r="AT10" s="492">
        <v>0</v>
      </c>
      <c r="AU10" s="492">
        <v>19</v>
      </c>
      <c r="AV10" s="492" t="s">
        <v>300</v>
      </c>
      <c r="AW10" s="500">
        <f t="shared" si="9"/>
        <v>0.89411764705882357</v>
      </c>
      <c r="AX10" s="497">
        <f t="shared" si="27"/>
        <v>380</v>
      </c>
      <c r="AY10" s="500">
        <f t="shared" si="10"/>
        <v>0</v>
      </c>
      <c r="AZ10" s="497">
        <f t="shared" si="28"/>
        <v>0</v>
      </c>
      <c r="BA10" s="500">
        <f t="shared" si="11"/>
        <v>0.89411764705882357</v>
      </c>
      <c r="BB10" s="497">
        <f t="shared" si="29"/>
        <v>380</v>
      </c>
      <c r="BC10" s="492">
        <v>0</v>
      </c>
      <c r="BD10" s="493">
        <v>0.89</v>
      </c>
      <c r="BE10" s="501">
        <f t="shared" si="12"/>
        <v>378.25</v>
      </c>
      <c r="BF10" s="502">
        <f t="shared" si="30"/>
        <v>2.25</v>
      </c>
      <c r="BG10" s="492">
        <v>2</v>
      </c>
      <c r="BH10" s="492" t="s">
        <v>91</v>
      </c>
      <c r="BI10" s="500">
        <f t="shared" si="31"/>
        <v>0.47058823529411764</v>
      </c>
      <c r="BJ10" s="497">
        <f t="shared" si="32"/>
        <v>200</v>
      </c>
      <c r="BK10" s="502">
        <f t="shared" si="33"/>
        <v>2.25</v>
      </c>
      <c r="BL10" s="493">
        <v>0.48</v>
      </c>
      <c r="BM10" s="497">
        <f t="shared" si="34"/>
        <v>204</v>
      </c>
      <c r="BN10" s="492">
        <v>2</v>
      </c>
      <c r="BO10" s="500">
        <f t="shared" si="13"/>
        <v>0.47058823529411764</v>
      </c>
      <c r="BP10" s="502">
        <f t="shared" si="14"/>
        <v>2.25</v>
      </c>
      <c r="BQ10" s="568">
        <v>0.48</v>
      </c>
      <c r="BR10" s="580" t="s">
        <v>860</v>
      </c>
      <c r="BS10" s="594">
        <v>41817</v>
      </c>
      <c r="BT10" s="503">
        <f t="shared" si="15"/>
        <v>42182</v>
      </c>
      <c r="BU10" s="546">
        <v>83</v>
      </c>
      <c r="BV10" s="546">
        <v>2</v>
      </c>
      <c r="BW10" s="504">
        <f t="shared" si="16"/>
        <v>0</v>
      </c>
      <c r="BX10" s="505">
        <f t="shared" si="17"/>
        <v>1</v>
      </c>
      <c r="BY10" s="497">
        <f t="shared" si="18"/>
        <v>425</v>
      </c>
      <c r="BZ10" s="595">
        <f t="shared" si="19"/>
        <v>7</v>
      </c>
      <c r="CA10" s="537"/>
      <c r="CB10" s="568">
        <v>0</v>
      </c>
      <c r="CC10" s="605">
        <f t="shared" si="35"/>
        <v>0</v>
      </c>
      <c r="CD10" s="537">
        <v>0</v>
      </c>
      <c r="CE10" s="506" t="str">
        <f t="shared" si="36"/>
        <v>No coverage</v>
      </c>
      <c r="CF10" s="492">
        <v>0</v>
      </c>
      <c r="CG10" s="538" t="s">
        <v>302</v>
      </c>
      <c r="CH10" s="580" t="s">
        <v>921</v>
      </c>
    </row>
    <row r="11" spans="2:86" s="40" customFormat="1" ht="30" customHeight="1" x14ac:dyDescent="0.2">
      <c r="B11" s="527" t="s">
        <v>110</v>
      </c>
      <c r="C11" s="488" t="s">
        <v>595</v>
      </c>
      <c r="D11" s="117" t="s">
        <v>264</v>
      </c>
      <c r="E11" s="488" t="s">
        <v>113</v>
      </c>
      <c r="F11" s="117">
        <v>96.345569999999995</v>
      </c>
      <c r="G11" s="117">
        <v>25.635300000000001</v>
      </c>
      <c r="H11" s="117" t="s">
        <v>509</v>
      </c>
      <c r="I11" s="117" t="s">
        <v>218</v>
      </c>
      <c r="J11" s="546">
        <v>67</v>
      </c>
      <c r="K11" s="546">
        <v>338</v>
      </c>
      <c r="L11" s="546">
        <v>338</v>
      </c>
      <c r="M11" s="490" t="str">
        <f t="shared" si="0"/>
        <v>2. Medium</v>
      </c>
      <c r="N11" s="528" t="s">
        <v>284</v>
      </c>
      <c r="O11" s="553" t="s">
        <v>284</v>
      </c>
      <c r="P11" s="545" t="str">
        <f t="shared" si="20"/>
        <v>Covered</v>
      </c>
      <c r="Q11" s="491" t="s">
        <v>708</v>
      </c>
      <c r="R11" s="489"/>
      <c r="S11" s="491"/>
      <c r="T11" s="528" t="s">
        <v>260</v>
      </c>
      <c r="U11" s="533" t="str">
        <f t="shared" si="21"/>
        <v>Documented</v>
      </c>
      <c r="V11" s="537">
        <v>0</v>
      </c>
      <c r="W11" s="492">
        <v>0</v>
      </c>
      <c r="X11" s="538" t="s">
        <v>19</v>
      </c>
      <c r="Y11" s="537">
        <v>1</v>
      </c>
      <c r="Z11" s="492">
        <v>0</v>
      </c>
      <c r="AA11" s="538">
        <v>0</v>
      </c>
      <c r="AB11" s="567">
        <v>0</v>
      </c>
      <c r="AC11" s="568">
        <v>0</v>
      </c>
      <c r="AD11" s="574">
        <f t="shared" si="1"/>
        <v>1</v>
      </c>
      <c r="AE11" s="495">
        <f t="shared" si="22"/>
        <v>338</v>
      </c>
      <c r="AF11" s="496">
        <f t="shared" si="2"/>
        <v>1</v>
      </c>
      <c r="AG11" s="497">
        <f t="shared" si="23"/>
        <v>338</v>
      </c>
      <c r="AH11" s="494">
        <f t="shared" si="3"/>
        <v>1</v>
      </c>
      <c r="AI11" s="497">
        <f t="shared" si="24"/>
        <v>338</v>
      </c>
      <c r="AJ11" s="498" t="str">
        <f t="shared" si="4"/>
        <v>80-100%</v>
      </c>
      <c r="AK11" s="494">
        <f t="shared" si="5"/>
        <v>0</v>
      </c>
      <c r="AL11" s="499">
        <f t="shared" si="6"/>
        <v>0</v>
      </c>
      <c r="AM11" s="497">
        <f t="shared" si="7"/>
        <v>0</v>
      </c>
      <c r="AN11" s="497">
        <f t="shared" si="8"/>
        <v>0</v>
      </c>
      <c r="AO11" s="497">
        <f t="shared" si="25"/>
        <v>0</v>
      </c>
      <c r="AP11" s="568">
        <v>1</v>
      </c>
      <c r="AQ11" s="577">
        <f t="shared" si="26"/>
        <v>338</v>
      </c>
      <c r="AR11" s="581"/>
      <c r="AS11" s="537">
        <v>6</v>
      </c>
      <c r="AT11" s="492">
        <v>0</v>
      </c>
      <c r="AU11" s="492">
        <v>15</v>
      </c>
      <c r="AV11" s="492" t="s">
        <v>91</v>
      </c>
      <c r="AW11" s="500">
        <f t="shared" si="9"/>
        <v>0.8875739644970414</v>
      </c>
      <c r="AX11" s="497">
        <f t="shared" si="27"/>
        <v>300</v>
      </c>
      <c r="AY11" s="500">
        <f t="shared" si="10"/>
        <v>0</v>
      </c>
      <c r="AZ11" s="497">
        <f t="shared" si="28"/>
        <v>0</v>
      </c>
      <c r="BA11" s="500">
        <f t="shared" si="11"/>
        <v>0.8875739644970414</v>
      </c>
      <c r="BB11" s="497">
        <f t="shared" si="29"/>
        <v>300</v>
      </c>
      <c r="BC11" s="492">
        <v>0</v>
      </c>
      <c r="BD11" s="493">
        <v>0.89</v>
      </c>
      <c r="BE11" s="501">
        <f t="shared" si="12"/>
        <v>300.82</v>
      </c>
      <c r="BF11" s="502">
        <f t="shared" si="30"/>
        <v>1.8999999999999986</v>
      </c>
      <c r="BG11" s="492">
        <v>2</v>
      </c>
      <c r="BH11" s="492" t="s">
        <v>300</v>
      </c>
      <c r="BI11" s="500">
        <f t="shared" si="31"/>
        <v>0.59171597633136097</v>
      </c>
      <c r="BJ11" s="497">
        <f t="shared" si="32"/>
        <v>200</v>
      </c>
      <c r="BK11" s="502">
        <f t="shared" si="33"/>
        <v>1.38</v>
      </c>
      <c r="BL11" s="493">
        <v>0.6</v>
      </c>
      <c r="BM11" s="497">
        <f t="shared" si="34"/>
        <v>202.79999999999998</v>
      </c>
      <c r="BN11" s="492">
        <v>3</v>
      </c>
      <c r="BO11" s="500">
        <f t="shared" si="13"/>
        <v>0.8875739644970414</v>
      </c>
      <c r="BP11" s="502">
        <f t="shared" si="14"/>
        <v>0.37999999999999989</v>
      </c>
      <c r="BQ11" s="568">
        <v>0.9</v>
      </c>
      <c r="BR11" s="580"/>
      <c r="BS11" s="594">
        <v>41695</v>
      </c>
      <c r="BT11" s="503" t="str">
        <f t="shared" si="15"/>
        <v>To be realised</v>
      </c>
      <c r="BU11" s="546">
        <v>67</v>
      </c>
      <c r="BV11" s="546">
        <v>10</v>
      </c>
      <c r="BW11" s="504">
        <f t="shared" si="16"/>
        <v>67</v>
      </c>
      <c r="BX11" s="505">
        <f t="shared" si="17"/>
        <v>0</v>
      </c>
      <c r="BY11" s="497">
        <f t="shared" si="18"/>
        <v>0</v>
      </c>
      <c r="BZ11" s="595">
        <f t="shared" si="19"/>
        <v>3</v>
      </c>
      <c r="CA11" s="537" t="s">
        <v>848</v>
      </c>
      <c r="CB11" s="568">
        <v>0</v>
      </c>
      <c r="CC11" s="605">
        <f t="shared" si="35"/>
        <v>0</v>
      </c>
      <c r="CD11" s="537">
        <v>2</v>
      </c>
      <c r="CE11" s="506" t="str">
        <f t="shared" si="36"/>
        <v>Excellent coverage</v>
      </c>
      <c r="CF11" s="492">
        <v>0</v>
      </c>
      <c r="CG11" s="538" t="s">
        <v>65</v>
      </c>
      <c r="CH11" s="580"/>
    </row>
    <row r="12" spans="2:86" s="40" customFormat="1" ht="30" customHeight="1" x14ac:dyDescent="0.2">
      <c r="B12" s="527" t="s">
        <v>110</v>
      </c>
      <c r="C12" s="488" t="s">
        <v>596</v>
      </c>
      <c r="D12" s="117" t="s">
        <v>264</v>
      </c>
      <c r="E12" s="488" t="s">
        <v>114</v>
      </c>
      <c r="F12" s="117">
        <v>96.317350000000005</v>
      </c>
      <c r="G12" s="117">
        <v>25.616509000000001</v>
      </c>
      <c r="H12" s="117" t="s">
        <v>509</v>
      </c>
      <c r="I12" s="117" t="s">
        <v>218</v>
      </c>
      <c r="J12" s="546">
        <v>14</v>
      </c>
      <c r="K12" s="546">
        <v>80</v>
      </c>
      <c r="L12" s="546">
        <v>80</v>
      </c>
      <c r="M12" s="490" t="str">
        <f t="shared" si="0"/>
        <v>1. Small</v>
      </c>
      <c r="N12" s="528" t="s">
        <v>284</v>
      </c>
      <c r="O12" s="553" t="s">
        <v>284</v>
      </c>
      <c r="P12" s="545" t="str">
        <f t="shared" si="20"/>
        <v>Covered</v>
      </c>
      <c r="Q12" s="491" t="s">
        <v>708</v>
      </c>
      <c r="R12" s="489"/>
      <c r="S12" s="491"/>
      <c r="T12" s="528" t="s">
        <v>260</v>
      </c>
      <c r="U12" s="533" t="str">
        <f t="shared" si="21"/>
        <v>Documented</v>
      </c>
      <c r="V12" s="537">
        <v>0</v>
      </c>
      <c r="W12" s="492">
        <v>0</v>
      </c>
      <c r="X12" s="538" t="s">
        <v>19</v>
      </c>
      <c r="Y12" s="537">
        <v>1</v>
      </c>
      <c r="Z12" s="492">
        <v>0</v>
      </c>
      <c r="AA12" s="538">
        <v>0</v>
      </c>
      <c r="AB12" s="567">
        <v>0</v>
      </c>
      <c r="AC12" s="568">
        <v>0</v>
      </c>
      <c r="AD12" s="574">
        <f t="shared" si="1"/>
        <v>1</v>
      </c>
      <c r="AE12" s="495">
        <f t="shared" si="22"/>
        <v>80</v>
      </c>
      <c r="AF12" s="496">
        <f t="shared" si="2"/>
        <v>1</v>
      </c>
      <c r="AG12" s="497">
        <f t="shared" si="23"/>
        <v>80</v>
      </c>
      <c r="AH12" s="494">
        <f t="shared" si="3"/>
        <v>1</v>
      </c>
      <c r="AI12" s="497">
        <f t="shared" si="24"/>
        <v>80</v>
      </c>
      <c r="AJ12" s="498" t="str">
        <f t="shared" si="4"/>
        <v>80-100%</v>
      </c>
      <c r="AK12" s="494">
        <f t="shared" si="5"/>
        <v>0</v>
      </c>
      <c r="AL12" s="499">
        <f t="shared" si="6"/>
        <v>0</v>
      </c>
      <c r="AM12" s="497">
        <f t="shared" si="7"/>
        <v>0</v>
      </c>
      <c r="AN12" s="497">
        <f t="shared" si="8"/>
        <v>0</v>
      </c>
      <c r="AO12" s="497">
        <f t="shared" si="25"/>
        <v>0</v>
      </c>
      <c r="AP12" s="568">
        <v>1</v>
      </c>
      <c r="AQ12" s="577">
        <f t="shared" si="26"/>
        <v>80</v>
      </c>
      <c r="AR12" s="581"/>
      <c r="AS12" s="537">
        <v>0</v>
      </c>
      <c r="AT12" s="492">
        <v>0</v>
      </c>
      <c r="AU12" s="492">
        <v>4</v>
      </c>
      <c r="AV12" s="492" t="s">
        <v>91</v>
      </c>
      <c r="AW12" s="500">
        <f t="shared" si="9"/>
        <v>1</v>
      </c>
      <c r="AX12" s="497">
        <f t="shared" si="27"/>
        <v>80</v>
      </c>
      <c r="AY12" s="500">
        <f t="shared" si="10"/>
        <v>0</v>
      </c>
      <c r="AZ12" s="497">
        <f t="shared" si="28"/>
        <v>0</v>
      </c>
      <c r="BA12" s="500">
        <f t="shared" si="11"/>
        <v>1</v>
      </c>
      <c r="BB12" s="497">
        <f t="shared" si="29"/>
        <v>80</v>
      </c>
      <c r="BC12" s="492">
        <v>0</v>
      </c>
      <c r="BD12" s="493">
        <v>1</v>
      </c>
      <c r="BE12" s="501">
        <f t="shared" si="12"/>
        <v>80</v>
      </c>
      <c r="BF12" s="502">
        <f t="shared" si="30"/>
        <v>0</v>
      </c>
      <c r="BG12" s="492">
        <v>2</v>
      </c>
      <c r="BH12" s="492" t="s">
        <v>301</v>
      </c>
      <c r="BI12" s="500">
        <f t="shared" si="31"/>
        <v>1</v>
      </c>
      <c r="BJ12" s="497">
        <f t="shared" si="32"/>
        <v>80</v>
      </c>
      <c r="BK12" s="502">
        <f t="shared" si="33"/>
        <v>0</v>
      </c>
      <c r="BL12" s="493">
        <v>1</v>
      </c>
      <c r="BM12" s="497">
        <f t="shared" si="34"/>
        <v>80</v>
      </c>
      <c r="BN12" s="492">
        <v>3</v>
      </c>
      <c r="BO12" s="500">
        <f t="shared" si="13"/>
        <v>1</v>
      </c>
      <c r="BP12" s="502">
        <f t="shared" si="14"/>
        <v>0</v>
      </c>
      <c r="BQ12" s="568">
        <v>1</v>
      </c>
      <c r="BR12" s="580"/>
      <c r="BS12" s="594">
        <v>41695</v>
      </c>
      <c r="BT12" s="503" t="str">
        <f t="shared" si="15"/>
        <v>To be realised</v>
      </c>
      <c r="BU12" s="546">
        <v>14</v>
      </c>
      <c r="BV12" s="546">
        <v>10</v>
      </c>
      <c r="BW12" s="504">
        <f t="shared" si="16"/>
        <v>14</v>
      </c>
      <c r="BX12" s="505">
        <f t="shared" si="17"/>
        <v>0</v>
      </c>
      <c r="BY12" s="497">
        <f t="shared" si="18"/>
        <v>0</v>
      </c>
      <c r="BZ12" s="595">
        <f t="shared" si="19"/>
        <v>3</v>
      </c>
      <c r="CA12" s="537" t="s">
        <v>848</v>
      </c>
      <c r="CB12" s="568">
        <v>0</v>
      </c>
      <c r="CC12" s="605">
        <f t="shared" si="35"/>
        <v>0</v>
      </c>
      <c r="CD12" s="537">
        <v>1</v>
      </c>
      <c r="CE12" s="506" t="str">
        <f t="shared" si="36"/>
        <v>Excellent coverage</v>
      </c>
      <c r="CF12" s="492">
        <v>0</v>
      </c>
      <c r="CG12" s="538" t="s">
        <v>65</v>
      </c>
      <c r="CH12" s="580"/>
    </row>
    <row r="13" spans="2:86" s="40" customFormat="1" ht="30" customHeight="1" x14ac:dyDescent="0.2">
      <c r="B13" s="527" t="s">
        <v>110</v>
      </c>
      <c r="C13" s="488" t="s">
        <v>597</v>
      </c>
      <c r="D13" s="117" t="s">
        <v>264</v>
      </c>
      <c r="E13" s="488" t="s">
        <v>115</v>
      </c>
      <c r="F13" s="117">
        <v>96.346469999999997</v>
      </c>
      <c r="G13" s="117">
        <v>25.647649999999999</v>
      </c>
      <c r="H13" s="117" t="s">
        <v>509</v>
      </c>
      <c r="I13" s="117" t="s">
        <v>218</v>
      </c>
      <c r="J13" s="546">
        <v>35</v>
      </c>
      <c r="K13" s="546">
        <v>218</v>
      </c>
      <c r="L13" s="546">
        <v>218</v>
      </c>
      <c r="M13" s="490" t="str">
        <f t="shared" si="0"/>
        <v>1. Small</v>
      </c>
      <c r="N13" s="528" t="s">
        <v>284</v>
      </c>
      <c r="O13" s="553" t="s">
        <v>284</v>
      </c>
      <c r="P13" s="545" t="str">
        <f t="shared" si="20"/>
        <v>Covered</v>
      </c>
      <c r="Q13" s="491" t="s">
        <v>708</v>
      </c>
      <c r="R13" s="489"/>
      <c r="S13" s="491"/>
      <c r="T13" s="528" t="s">
        <v>260</v>
      </c>
      <c r="U13" s="533" t="str">
        <f t="shared" si="21"/>
        <v>Documented</v>
      </c>
      <c r="V13" s="537">
        <v>0</v>
      </c>
      <c r="W13" s="492">
        <v>0</v>
      </c>
      <c r="X13" s="538" t="s">
        <v>19</v>
      </c>
      <c r="Y13" s="537">
        <v>2</v>
      </c>
      <c r="Z13" s="492">
        <v>0</v>
      </c>
      <c r="AA13" s="538">
        <v>0</v>
      </c>
      <c r="AB13" s="567">
        <v>0</v>
      </c>
      <c r="AC13" s="568">
        <v>0</v>
      </c>
      <c r="AD13" s="574">
        <f t="shared" si="1"/>
        <v>1</v>
      </c>
      <c r="AE13" s="495">
        <f t="shared" si="22"/>
        <v>218</v>
      </c>
      <c r="AF13" s="496">
        <f t="shared" si="2"/>
        <v>1</v>
      </c>
      <c r="AG13" s="497">
        <f t="shared" si="23"/>
        <v>218</v>
      </c>
      <c r="AH13" s="494">
        <f t="shared" si="3"/>
        <v>1</v>
      </c>
      <c r="AI13" s="497">
        <f t="shared" si="24"/>
        <v>218</v>
      </c>
      <c r="AJ13" s="498" t="str">
        <f t="shared" si="4"/>
        <v>80-100%</v>
      </c>
      <c r="AK13" s="494">
        <f t="shared" si="5"/>
        <v>0</v>
      </c>
      <c r="AL13" s="499">
        <f t="shared" si="6"/>
        <v>0</v>
      </c>
      <c r="AM13" s="497">
        <f t="shared" si="7"/>
        <v>0</v>
      </c>
      <c r="AN13" s="497">
        <f t="shared" si="8"/>
        <v>0</v>
      </c>
      <c r="AO13" s="497">
        <f t="shared" si="25"/>
        <v>0</v>
      </c>
      <c r="AP13" s="568">
        <v>1</v>
      </c>
      <c r="AQ13" s="577">
        <f t="shared" si="26"/>
        <v>218</v>
      </c>
      <c r="AR13" s="581"/>
      <c r="AS13" s="537">
        <v>10</v>
      </c>
      <c r="AT13" s="492">
        <v>0</v>
      </c>
      <c r="AU13" s="492">
        <v>10</v>
      </c>
      <c r="AV13" s="492" t="s">
        <v>300</v>
      </c>
      <c r="AW13" s="500">
        <f t="shared" si="9"/>
        <v>0.91743119266055051</v>
      </c>
      <c r="AX13" s="497">
        <f t="shared" si="27"/>
        <v>200</v>
      </c>
      <c r="AY13" s="500">
        <f t="shared" si="10"/>
        <v>0</v>
      </c>
      <c r="AZ13" s="497">
        <f t="shared" si="28"/>
        <v>0</v>
      </c>
      <c r="BA13" s="500">
        <f t="shared" si="11"/>
        <v>0.91743119266055051</v>
      </c>
      <c r="BB13" s="497">
        <f t="shared" si="29"/>
        <v>200</v>
      </c>
      <c r="BC13" s="492">
        <v>0</v>
      </c>
      <c r="BD13" s="493">
        <v>0.92</v>
      </c>
      <c r="BE13" s="501">
        <f t="shared" si="12"/>
        <v>200.56</v>
      </c>
      <c r="BF13" s="502">
        <f t="shared" si="30"/>
        <v>0.90000000000000036</v>
      </c>
      <c r="BG13" s="492">
        <v>2</v>
      </c>
      <c r="BH13" s="492" t="s">
        <v>300</v>
      </c>
      <c r="BI13" s="500">
        <f t="shared" si="31"/>
        <v>0.91743119266055051</v>
      </c>
      <c r="BJ13" s="497">
        <f t="shared" si="32"/>
        <v>200</v>
      </c>
      <c r="BK13" s="502">
        <f t="shared" si="33"/>
        <v>0.18000000000000016</v>
      </c>
      <c r="BL13" s="493">
        <v>0.92</v>
      </c>
      <c r="BM13" s="497">
        <f t="shared" si="34"/>
        <v>200.56</v>
      </c>
      <c r="BN13" s="492">
        <v>4</v>
      </c>
      <c r="BO13" s="500">
        <f t="shared" si="13"/>
        <v>1</v>
      </c>
      <c r="BP13" s="502">
        <f t="shared" si="14"/>
        <v>0</v>
      </c>
      <c r="BQ13" s="568">
        <v>1</v>
      </c>
      <c r="BR13" s="580"/>
      <c r="BS13" s="594">
        <v>41695</v>
      </c>
      <c r="BT13" s="503" t="str">
        <f t="shared" si="15"/>
        <v>To be realised</v>
      </c>
      <c r="BU13" s="546">
        <v>35</v>
      </c>
      <c r="BV13" s="546">
        <v>10</v>
      </c>
      <c r="BW13" s="504">
        <f t="shared" si="16"/>
        <v>35</v>
      </c>
      <c r="BX13" s="505">
        <f t="shared" si="17"/>
        <v>0</v>
      </c>
      <c r="BY13" s="497">
        <f t="shared" si="18"/>
        <v>0</v>
      </c>
      <c r="BZ13" s="595">
        <f t="shared" si="19"/>
        <v>3</v>
      </c>
      <c r="CA13" s="537" t="s">
        <v>848</v>
      </c>
      <c r="CB13" s="568">
        <v>0</v>
      </c>
      <c r="CC13" s="605">
        <f t="shared" si="35"/>
        <v>0</v>
      </c>
      <c r="CD13" s="537">
        <v>2</v>
      </c>
      <c r="CE13" s="506" t="str">
        <f t="shared" si="36"/>
        <v>Excellent coverage</v>
      </c>
      <c r="CF13" s="492">
        <v>0</v>
      </c>
      <c r="CG13" s="538" t="s">
        <v>65</v>
      </c>
      <c r="CH13" s="580"/>
    </row>
    <row r="14" spans="2:86" s="40" customFormat="1" ht="30" customHeight="1" x14ac:dyDescent="0.2">
      <c r="B14" s="527" t="s">
        <v>110</v>
      </c>
      <c r="C14" s="488" t="s">
        <v>598</v>
      </c>
      <c r="D14" s="117" t="s">
        <v>264</v>
      </c>
      <c r="E14" s="488" t="s">
        <v>116</v>
      </c>
      <c r="F14" s="117">
        <v>96.673805000000002</v>
      </c>
      <c r="G14" s="117">
        <v>25.728653000000001</v>
      </c>
      <c r="H14" s="117" t="s">
        <v>509</v>
      </c>
      <c r="I14" s="117" t="s">
        <v>218</v>
      </c>
      <c r="J14" s="546">
        <v>15</v>
      </c>
      <c r="K14" s="546">
        <v>77</v>
      </c>
      <c r="L14" s="546">
        <v>77</v>
      </c>
      <c r="M14" s="490" t="str">
        <f t="shared" si="0"/>
        <v>1. Small</v>
      </c>
      <c r="N14" s="528" t="s">
        <v>284</v>
      </c>
      <c r="O14" s="553" t="s">
        <v>284</v>
      </c>
      <c r="P14" s="545" t="str">
        <f t="shared" si="20"/>
        <v>Covered</v>
      </c>
      <c r="Q14" s="491" t="s">
        <v>708</v>
      </c>
      <c r="R14" s="489"/>
      <c r="S14" s="491"/>
      <c r="T14" s="528" t="s">
        <v>260</v>
      </c>
      <c r="U14" s="533" t="str">
        <f t="shared" si="21"/>
        <v>Documented</v>
      </c>
      <c r="V14" s="537">
        <v>0</v>
      </c>
      <c r="W14" s="492">
        <v>0</v>
      </c>
      <c r="X14" s="538" t="s">
        <v>19</v>
      </c>
      <c r="Y14" s="537">
        <v>1</v>
      </c>
      <c r="Z14" s="492">
        <v>1</v>
      </c>
      <c r="AA14" s="538">
        <v>0</v>
      </c>
      <c r="AB14" s="567">
        <v>0</v>
      </c>
      <c r="AC14" s="568">
        <v>0</v>
      </c>
      <c r="AD14" s="574">
        <f t="shared" si="1"/>
        <v>1</v>
      </c>
      <c r="AE14" s="495">
        <f t="shared" si="22"/>
        <v>77</v>
      </c>
      <c r="AF14" s="496">
        <f t="shared" si="2"/>
        <v>1</v>
      </c>
      <c r="AG14" s="497">
        <f t="shared" si="23"/>
        <v>77</v>
      </c>
      <c r="AH14" s="494">
        <f t="shared" si="3"/>
        <v>1</v>
      </c>
      <c r="AI14" s="497">
        <f t="shared" si="24"/>
        <v>77</v>
      </c>
      <c r="AJ14" s="498" t="str">
        <f t="shared" si="4"/>
        <v>80-100%</v>
      </c>
      <c r="AK14" s="494">
        <f t="shared" si="5"/>
        <v>0</v>
      </c>
      <c r="AL14" s="499">
        <f t="shared" si="6"/>
        <v>0</v>
      </c>
      <c r="AM14" s="497">
        <f t="shared" si="7"/>
        <v>0</v>
      </c>
      <c r="AN14" s="497">
        <f t="shared" si="8"/>
        <v>0</v>
      </c>
      <c r="AO14" s="497">
        <f t="shared" si="25"/>
        <v>0</v>
      </c>
      <c r="AP14" s="568">
        <v>1</v>
      </c>
      <c r="AQ14" s="577">
        <f t="shared" si="26"/>
        <v>77</v>
      </c>
      <c r="AR14" s="581" t="s">
        <v>861</v>
      </c>
      <c r="AS14" s="537">
        <v>4</v>
      </c>
      <c r="AT14" s="492">
        <v>2</v>
      </c>
      <c r="AU14" s="492">
        <v>2</v>
      </c>
      <c r="AV14" s="492" t="s">
        <v>299</v>
      </c>
      <c r="AW14" s="500">
        <f t="shared" si="9"/>
        <v>1</v>
      </c>
      <c r="AX14" s="497">
        <f t="shared" si="27"/>
        <v>77</v>
      </c>
      <c r="AY14" s="500">
        <f t="shared" si="10"/>
        <v>0.48051948051948057</v>
      </c>
      <c r="AZ14" s="497">
        <f t="shared" si="28"/>
        <v>37.000000000000007</v>
      </c>
      <c r="BA14" s="500">
        <f t="shared" si="11"/>
        <v>0.51948051948051943</v>
      </c>
      <c r="BB14" s="497">
        <f t="shared" si="29"/>
        <v>39.999999999999993</v>
      </c>
      <c r="BC14" s="492">
        <v>0</v>
      </c>
      <c r="BD14" s="493">
        <v>1</v>
      </c>
      <c r="BE14" s="501">
        <f t="shared" si="12"/>
        <v>77</v>
      </c>
      <c r="BF14" s="502">
        <f t="shared" si="30"/>
        <v>1.85</v>
      </c>
      <c r="BG14" s="492">
        <v>2</v>
      </c>
      <c r="BH14" s="492" t="s">
        <v>300</v>
      </c>
      <c r="BI14" s="500">
        <f t="shared" si="31"/>
        <v>1</v>
      </c>
      <c r="BJ14" s="497">
        <f t="shared" si="32"/>
        <v>77</v>
      </c>
      <c r="BK14" s="502">
        <f t="shared" si="33"/>
        <v>0</v>
      </c>
      <c r="BL14" s="493">
        <v>1</v>
      </c>
      <c r="BM14" s="497">
        <f t="shared" si="34"/>
        <v>77</v>
      </c>
      <c r="BN14" s="492">
        <v>3</v>
      </c>
      <c r="BO14" s="500">
        <f t="shared" si="13"/>
        <v>1</v>
      </c>
      <c r="BP14" s="502">
        <f t="shared" si="14"/>
        <v>0</v>
      </c>
      <c r="BQ14" s="568">
        <v>1</v>
      </c>
      <c r="BR14" s="580"/>
      <c r="BS14" s="594">
        <v>41469</v>
      </c>
      <c r="BT14" s="503" t="str">
        <f t="shared" si="15"/>
        <v>To be realised</v>
      </c>
      <c r="BU14" s="546">
        <v>15</v>
      </c>
      <c r="BV14" s="546">
        <v>10</v>
      </c>
      <c r="BW14" s="504">
        <f t="shared" si="16"/>
        <v>15</v>
      </c>
      <c r="BX14" s="505">
        <f t="shared" si="17"/>
        <v>0</v>
      </c>
      <c r="BY14" s="497">
        <f t="shared" si="18"/>
        <v>0</v>
      </c>
      <c r="BZ14" s="595">
        <f t="shared" si="19"/>
        <v>11</v>
      </c>
      <c r="CA14" s="537"/>
      <c r="CB14" s="568">
        <v>0</v>
      </c>
      <c r="CC14" s="605">
        <f t="shared" si="35"/>
        <v>0</v>
      </c>
      <c r="CD14" s="537">
        <v>2</v>
      </c>
      <c r="CE14" s="506" t="str">
        <f t="shared" si="36"/>
        <v>Excellent coverage</v>
      </c>
      <c r="CF14" s="492">
        <v>0</v>
      </c>
      <c r="CG14" s="538" t="s">
        <v>65</v>
      </c>
      <c r="CH14" s="580"/>
    </row>
    <row r="15" spans="2:86" s="40" customFormat="1" ht="30" customHeight="1" x14ac:dyDescent="0.2">
      <c r="B15" s="527" t="s">
        <v>110</v>
      </c>
      <c r="C15" s="488" t="s">
        <v>761</v>
      </c>
      <c r="D15" s="117" t="s">
        <v>264</v>
      </c>
      <c r="E15" s="488" t="s">
        <v>762</v>
      </c>
      <c r="F15" s="117">
        <v>96.353070000000002</v>
      </c>
      <c r="G15" s="117">
        <v>25.668469999999999</v>
      </c>
      <c r="H15" s="117" t="s">
        <v>509</v>
      </c>
      <c r="I15" s="117" t="s">
        <v>218</v>
      </c>
      <c r="J15" s="546">
        <v>1</v>
      </c>
      <c r="K15" s="546">
        <v>4</v>
      </c>
      <c r="L15" s="546">
        <v>4</v>
      </c>
      <c r="M15" s="490" t="str">
        <f t="shared" si="0"/>
        <v>1. Small</v>
      </c>
      <c r="N15" s="528" t="s">
        <v>284</v>
      </c>
      <c r="O15" s="553" t="s">
        <v>284</v>
      </c>
      <c r="P15" s="545" t="str">
        <f t="shared" si="20"/>
        <v>Covered</v>
      </c>
      <c r="Q15" s="491" t="s">
        <v>708</v>
      </c>
      <c r="R15" s="489"/>
      <c r="S15" s="491"/>
      <c r="T15" s="528" t="s">
        <v>260</v>
      </c>
      <c r="U15" s="533" t="str">
        <f t="shared" si="21"/>
        <v>Documented</v>
      </c>
      <c r="V15" s="537">
        <v>0</v>
      </c>
      <c r="W15" s="492">
        <v>0</v>
      </c>
      <c r="X15" s="538" t="s">
        <v>19</v>
      </c>
      <c r="Y15" s="537">
        <v>1</v>
      </c>
      <c r="Z15" s="492">
        <v>0</v>
      </c>
      <c r="AA15" s="538">
        <v>0</v>
      </c>
      <c r="AB15" s="567">
        <v>0</v>
      </c>
      <c r="AC15" s="568">
        <v>0</v>
      </c>
      <c r="AD15" s="574">
        <f t="shared" si="1"/>
        <v>1</v>
      </c>
      <c r="AE15" s="495">
        <f t="shared" si="22"/>
        <v>4</v>
      </c>
      <c r="AF15" s="496">
        <f t="shared" si="2"/>
        <v>1</v>
      </c>
      <c r="AG15" s="497">
        <f t="shared" si="23"/>
        <v>4</v>
      </c>
      <c r="AH15" s="494">
        <f t="shared" si="3"/>
        <v>1</v>
      </c>
      <c r="AI15" s="497">
        <f t="shared" si="24"/>
        <v>4</v>
      </c>
      <c r="AJ15" s="498" t="str">
        <f t="shared" si="4"/>
        <v>80-100%</v>
      </c>
      <c r="AK15" s="494">
        <f t="shared" si="5"/>
        <v>0</v>
      </c>
      <c r="AL15" s="499">
        <f t="shared" si="6"/>
        <v>0</v>
      </c>
      <c r="AM15" s="497">
        <f t="shared" si="7"/>
        <v>0</v>
      </c>
      <c r="AN15" s="497">
        <f t="shared" si="8"/>
        <v>0</v>
      </c>
      <c r="AO15" s="497">
        <f t="shared" si="25"/>
        <v>0</v>
      </c>
      <c r="AP15" s="568">
        <v>1</v>
      </c>
      <c r="AQ15" s="577">
        <f t="shared" si="26"/>
        <v>4</v>
      </c>
      <c r="AR15" s="581"/>
      <c r="AS15" s="537">
        <v>2</v>
      </c>
      <c r="AT15" s="492">
        <v>3</v>
      </c>
      <c r="AU15" s="492">
        <v>0</v>
      </c>
      <c r="AV15" s="492" t="s">
        <v>91</v>
      </c>
      <c r="AW15" s="500">
        <f t="shared" si="9"/>
        <v>1</v>
      </c>
      <c r="AX15" s="497">
        <f t="shared" si="27"/>
        <v>4</v>
      </c>
      <c r="AY15" s="500">
        <f t="shared" si="10"/>
        <v>1</v>
      </c>
      <c r="AZ15" s="497">
        <f t="shared" si="28"/>
        <v>4</v>
      </c>
      <c r="BA15" s="500">
        <f t="shared" si="11"/>
        <v>0</v>
      </c>
      <c r="BB15" s="497">
        <f t="shared" si="29"/>
        <v>0</v>
      </c>
      <c r="BC15" s="492">
        <v>0</v>
      </c>
      <c r="BD15" s="493">
        <v>1</v>
      </c>
      <c r="BE15" s="501">
        <f t="shared" si="12"/>
        <v>4</v>
      </c>
      <c r="BF15" s="502">
        <f t="shared" si="30"/>
        <v>0.2</v>
      </c>
      <c r="BG15" s="492">
        <v>1</v>
      </c>
      <c r="BH15" s="492" t="s">
        <v>91</v>
      </c>
      <c r="BI15" s="500">
        <f t="shared" si="31"/>
        <v>1</v>
      </c>
      <c r="BJ15" s="497">
        <f t="shared" si="32"/>
        <v>4</v>
      </c>
      <c r="BK15" s="502">
        <f t="shared" si="33"/>
        <v>0</v>
      </c>
      <c r="BL15" s="493">
        <v>1</v>
      </c>
      <c r="BM15" s="497">
        <f t="shared" si="34"/>
        <v>4</v>
      </c>
      <c r="BN15" s="492">
        <v>3</v>
      </c>
      <c r="BO15" s="500">
        <f t="shared" si="13"/>
        <v>1</v>
      </c>
      <c r="BP15" s="502">
        <f t="shared" si="14"/>
        <v>0</v>
      </c>
      <c r="BQ15" s="568">
        <v>1</v>
      </c>
      <c r="BR15" s="580" t="s">
        <v>862</v>
      </c>
      <c r="BS15" s="594">
        <v>41695</v>
      </c>
      <c r="BT15" s="503" t="str">
        <f t="shared" si="15"/>
        <v>To be realised</v>
      </c>
      <c r="BU15" s="546">
        <v>1</v>
      </c>
      <c r="BV15" s="546">
        <v>10</v>
      </c>
      <c r="BW15" s="504">
        <f t="shared" si="16"/>
        <v>1</v>
      </c>
      <c r="BX15" s="505">
        <f t="shared" si="17"/>
        <v>0</v>
      </c>
      <c r="BY15" s="497">
        <f t="shared" si="18"/>
        <v>0</v>
      </c>
      <c r="BZ15" s="595">
        <f t="shared" si="19"/>
        <v>3</v>
      </c>
      <c r="CA15" s="537" t="s">
        <v>848</v>
      </c>
      <c r="CB15" s="568">
        <v>1</v>
      </c>
      <c r="CC15" s="605">
        <f t="shared" si="35"/>
        <v>4</v>
      </c>
      <c r="CD15" s="537">
        <v>0</v>
      </c>
      <c r="CE15" s="506" t="str">
        <f t="shared" si="36"/>
        <v>No coverage</v>
      </c>
      <c r="CF15" s="492">
        <v>0</v>
      </c>
      <c r="CG15" s="538" t="s">
        <v>66</v>
      </c>
      <c r="CH15" s="580" t="s">
        <v>769</v>
      </c>
    </row>
    <row r="16" spans="2:86" s="40" customFormat="1" ht="30" customHeight="1" x14ac:dyDescent="0.2">
      <c r="B16" s="527" t="s">
        <v>110</v>
      </c>
      <c r="C16" s="488" t="s">
        <v>599</v>
      </c>
      <c r="D16" s="117" t="s">
        <v>264</v>
      </c>
      <c r="E16" s="488" t="s">
        <v>117</v>
      </c>
      <c r="F16" s="117">
        <v>96.283377000000002</v>
      </c>
      <c r="G16" s="117">
        <v>25.582065</v>
      </c>
      <c r="H16" s="117" t="s">
        <v>509</v>
      </c>
      <c r="I16" s="117" t="s">
        <v>218</v>
      </c>
      <c r="J16" s="546">
        <v>6</v>
      </c>
      <c r="K16" s="546">
        <v>25</v>
      </c>
      <c r="L16" s="546">
        <v>25</v>
      </c>
      <c r="M16" s="490" t="str">
        <f t="shared" si="0"/>
        <v>1. Small</v>
      </c>
      <c r="N16" s="528" t="s">
        <v>284</v>
      </c>
      <c r="O16" s="553" t="s">
        <v>284</v>
      </c>
      <c r="P16" s="545" t="str">
        <f t="shared" si="20"/>
        <v>Covered</v>
      </c>
      <c r="Q16" s="491" t="s">
        <v>708</v>
      </c>
      <c r="R16" s="489"/>
      <c r="S16" s="491"/>
      <c r="T16" s="528" t="s">
        <v>260</v>
      </c>
      <c r="U16" s="533" t="str">
        <f t="shared" si="21"/>
        <v>Documented</v>
      </c>
      <c r="V16" s="537">
        <v>0</v>
      </c>
      <c r="W16" s="492">
        <v>0</v>
      </c>
      <c r="X16" s="538" t="s">
        <v>19</v>
      </c>
      <c r="Y16" s="537">
        <v>0</v>
      </c>
      <c r="Z16" s="492">
        <v>0</v>
      </c>
      <c r="AA16" s="538">
        <v>2000</v>
      </c>
      <c r="AB16" s="567">
        <v>0</v>
      </c>
      <c r="AC16" s="568">
        <v>0</v>
      </c>
      <c r="AD16" s="574">
        <f t="shared" si="1"/>
        <v>1</v>
      </c>
      <c r="AE16" s="495">
        <f t="shared" si="22"/>
        <v>25</v>
      </c>
      <c r="AF16" s="496">
        <f t="shared" si="2"/>
        <v>1</v>
      </c>
      <c r="AG16" s="497">
        <f t="shared" si="23"/>
        <v>25</v>
      </c>
      <c r="AH16" s="494">
        <f t="shared" si="3"/>
        <v>1</v>
      </c>
      <c r="AI16" s="497">
        <f t="shared" si="24"/>
        <v>25</v>
      </c>
      <c r="AJ16" s="498" t="str">
        <f t="shared" si="4"/>
        <v>80-100%</v>
      </c>
      <c r="AK16" s="494">
        <f t="shared" si="5"/>
        <v>0</v>
      </c>
      <c r="AL16" s="499">
        <f t="shared" si="6"/>
        <v>0</v>
      </c>
      <c r="AM16" s="497">
        <f t="shared" si="7"/>
        <v>6.25E-2</v>
      </c>
      <c r="AN16" s="497">
        <f t="shared" si="8"/>
        <v>0</v>
      </c>
      <c r="AO16" s="497">
        <f t="shared" si="25"/>
        <v>0</v>
      </c>
      <c r="AP16" s="568">
        <v>1</v>
      </c>
      <c r="AQ16" s="577">
        <f t="shared" si="26"/>
        <v>25</v>
      </c>
      <c r="AR16" s="581" t="s">
        <v>863</v>
      </c>
      <c r="AS16" s="537">
        <v>0</v>
      </c>
      <c r="AT16" s="492">
        <v>0</v>
      </c>
      <c r="AU16" s="492">
        <v>2</v>
      </c>
      <c r="AV16" s="492" t="s">
        <v>91</v>
      </c>
      <c r="AW16" s="500">
        <f t="shared" si="9"/>
        <v>1</v>
      </c>
      <c r="AX16" s="497">
        <f t="shared" si="27"/>
        <v>25</v>
      </c>
      <c r="AY16" s="500">
        <f t="shared" si="10"/>
        <v>0</v>
      </c>
      <c r="AZ16" s="497">
        <f t="shared" si="28"/>
        <v>0</v>
      </c>
      <c r="BA16" s="500">
        <f t="shared" si="11"/>
        <v>1</v>
      </c>
      <c r="BB16" s="497">
        <f t="shared" si="29"/>
        <v>25</v>
      </c>
      <c r="BC16" s="492">
        <v>0</v>
      </c>
      <c r="BD16" s="493">
        <v>1</v>
      </c>
      <c r="BE16" s="501">
        <f t="shared" si="12"/>
        <v>25</v>
      </c>
      <c r="BF16" s="502">
        <f t="shared" si="30"/>
        <v>0</v>
      </c>
      <c r="BG16" s="492">
        <v>1</v>
      </c>
      <c r="BH16" s="492" t="s">
        <v>91</v>
      </c>
      <c r="BI16" s="500">
        <f t="shared" si="31"/>
        <v>1</v>
      </c>
      <c r="BJ16" s="497">
        <f t="shared" si="32"/>
        <v>25</v>
      </c>
      <c r="BK16" s="502">
        <f t="shared" si="33"/>
        <v>0</v>
      </c>
      <c r="BL16" s="493">
        <v>1</v>
      </c>
      <c r="BM16" s="497">
        <f t="shared" si="34"/>
        <v>25</v>
      </c>
      <c r="BN16" s="492">
        <v>1</v>
      </c>
      <c r="BO16" s="500">
        <f t="shared" si="13"/>
        <v>1</v>
      </c>
      <c r="BP16" s="502">
        <f t="shared" si="14"/>
        <v>0</v>
      </c>
      <c r="BQ16" s="568">
        <v>1</v>
      </c>
      <c r="BR16" s="580"/>
      <c r="BS16" s="594">
        <v>41695</v>
      </c>
      <c r="BT16" s="503" t="str">
        <f t="shared" si="15"/>
        <v>To be realised</v>
      </c>
      <c r="BU16" s="546">
        <v>6</v>
      </c>
      <c r="BV16" s="546">
        <v>10</v>
      </c>
      <c r="BW16" s="504">
        <f t="shared" si="16"/>
        <v>6</v>
      </c>
      <c r="BX16" s="505">
        <f t="shared" si="17"/>
        <v>0</v>
      </c>
      <c r="BY16" s="497">
        <f t="shared" si="18"/>
        <v>0</v>
      </c>
      <c r="BZ16" s="595">
        <f t="shared" si="19"/>
        <v>3</v>
      </c>
      <c r="CA16" s="537" t="s">
        <v>848</v>
      </c>
      <c r="CB16" s="568">
        <v>0</v>
      </c>
      <c r="CC16" s="605">
        <f t="shared" si="35"/>
        <v>0</v>
      </c>
      <c r="CD16" s="537">
        <v>1</v>
      </c>
      <c r="CE16" s="506" t="str">
        <f t="shared" si="36"/>
        <v>Excellent coverage</v>
      </c>
      <c r="CF16" s="492">
        <v>0</v>
      </c>
      <c r="CG16" s="538" t="s">
        <v>65</v>
      </c>
      <c r="CH16" s="580"/>
    </row>
    <row r="17" spans="2:86" s="40" customFormat="1" ht="30" customHeight="1" x14ac:dyDescent="0.2">
      <c r="B17" s="527" t="s">
        <v>110</v>
      </c>
      <c r="C17" s="488" t="s">
        <v>600</v>
      </c>
      <c r="D17" s="117" t="s">
        <v>264</v>
      </c>
      <c r="E17" s="488" t="s">
        <v>118</v>
      </c>
      <c r="F17" s="117">
        <v>96.354929999999996</v>
      </c>
      <c r="G17" s="117">
        <v>25.643090000000001</v>
      </c>
      <c r="H17" s="117" t="s">
        <v>509</v>
      </c>
      <c r="I17" s="117" t="s">
        <v>218</v>
      </c>
      <c r="J17" s="546">
        <v>65</v>
      </c>
      <c r="K17" s="546">
        <v>335</v>
      </c>
      <c r="L17" s="546">
        <v>335</v>
      </c>
      <c r="M17" s="490" t="str">
        <f t="shared" si="0"/>
        <v>2. Medium</v>
      </c>
      <c r="N17" s="528" t="s">
        <v>284</v>
      </c>
      <c r="O17" s="553" t="s">
        <v>284</v>
      </c>
      <c r="P17" s="545" t="str">
        <f t="shared" si="20"/>
        <v>Covered</v>
      </c>
      <c r="Q17" s="491" t="s">
        <v>708</v>
      </c>
      <c r="R17" s="489"/>
      <c r="S17" s="491"/>
      <c r="T17" s="528" t="s">
        <v>260</v>
      </c>
      <c r="U17" s="533" t="str">
        <f t="shared" si="21"/>
        <v>Documented</v>
      </c>
      <c r="V17" s="537">
        <v>0</v>
      </c>
      <c r="W17" s="492">
        <v>0</v>
      </c>
      <c r="X17" s="538" t="s">
        <v>19</v>
      </c>
      <c r="Y17" s="537">
        <v>1</v>
      </c>
      <c r="Z17" s="492">
        <v>0</v>
      </c>
      <c r="AA17" s="538">
        <v>3000</v>
      </c>
      <c r="AB17" s="567">
        <v>0</v>
      </c>
      <c r="AC17" s="568">
        <v>0</v>
      </c>
      <c r="AD17" s="574">
        <f t="shared" si="1"/>
        <v>1</v>
      </c>
      <c r="AE17" s="495">
        <f t="shared" si="22"/>
        <v>335</v>
      </c>
      <c r="AF17" s="496">
        <f t="shared" si="2"/>
        <v>1</v>
      </c>
      <c r="AG17" s="497">
        <f t="shared" si="23"/>
        <v>335</v>
      </c>
      <c r="AH17" s="494">
        <f t="shared" si="3"/>
        <v>1</v>
      </c>
      <c r="AI17" s="497">
        <f t="shared" si="24"/>
        <v>335</v>
      </c>
      <c r="AJ17" s="498" t="str">
        <f t="shared" si="4"/>
        <v>80-100%</v>
      </c>
      <c r="AK17" s="494">
        <f t="shared" si="5"/>
        <v>0</v>
      </c>
      <c r="AL17" s="499">
        <f t="shared" si="6"/>
        <v>0</v>
      </c>
      <c r="AM17" s="497">
        <f t="shared" si="7"/>
        <v>0</v>
      </c>
      <c r="AN17" s="497">
        <f t="shared" si="8"/>
        <v>0</v>
      </c>
      <c r="AO17" s="497">
        <f t="shared" si="25"/>
        <v>0</v>
      </c>
      <c r="AP17" s="568">
        <v>1</v>
      </c>
      <c r="AQ17" s="577">
        <f t="shared" si="26"/>
        <v>335</v>
      </c>
      <c r="AR17" s="581"/>
      <c r="AS17" s="537">
        <v>10</v>
      </c>
      <c r="AT17" s="492">
        <v>0</v>
      </c>
      <c r="AU17" s="492">
        <v>17</v>
      </c>
      <c r="AV17" s="492" t="s">
        <v>299</v>
      </c>
      <c r="AW17" s="500">
        <f t="shared" si="9"/>
        <v>1</v>
      </c>
      <c r="AX17" s="497">
        <f t="shared" si="27"/>
        <v>335</v>
      </c>
      <c r="AY17" s="500">
        <f t="shared" si="10"/>
        <v>0</v>
      </c>
      <c r="AZ17" s="497">
        <f t="shared" si="28"/>
        <v>0</v>
      </c>
      <c r="BA17" s="500">
        <f t="shared" si="11"/>
        <v>1</v>
      </c>
      <c r="BB17" s="497">
        <f t="shared" si="29"/>
        <v>335</v>
      </c>
      <c r="BC17" s="492">
        <v>0</v>
      </c>
      <c r="BD17" s="493">
        <v>1</v>
      </c>
      <c r="BE17" s="501">
        <f t="shared" si="12"/>
        <v>335</v>
      </c>
      <c r="BF17" s="502">
        <f t="shared" si="30"/>
        <v>0</v>
      </c>
      <c r="BG17" s="492">
        <v>3</v>
      </c>
      <c r="BH17" s="492" t="s">
        <v>300</v>
      </c>
      <c r="BI17" s="500">
        <f t="shared" si="31"/>
        <v>0.89552238805970152</v>
      </c>
      <c r="BJ17" s="497">
        <f t="shared" si="32"/>
        <v>300</v>
      </c>
      <c r="BK17" s="502">
        <f t="shared" si="33"/>
        <v>0.35000000000000009</v>
      </c>
      <c r="BL17" s="493">
        <v>0.9</v>
      </c>
      <c r="BM17" s="497">
        <f t="shared" si="34"/>
        <v>301.5</v>
      </c>
      <c r="BN17" s="492">
        <v>4</v>
      </c>
      <c r="BO17" s="500">
        <f t="shared" si="13"/>
        <v>1</v>
      </c>
      <c r="BP17" s="502">
        <f t="shared" si="14"/>
        <v>0</v>
      </c>
      <c r="BQ17" s="568">
        <v>1</v>
      </c>
      <c r="BR17" s="580" t="s">
        <v>864</v>
      </c>
      <c r="BS17" s="594">
        <v>41695</v>
      </c>
      <c r="BT17" s="503" t="str">
        <f t="shared" si="15"/>
        <v>To be realised</v>
      </c>
      <c r="BU17" s="546">
        <v>65</v>
      </c>
      <c r="BV17" s="546">
        <v>10</v>
      </c>
      <c r="BW17" s="504">
        <f t="shared" si="16"/>
        <v>65</v>
      </c>
      <c r="BX17" s="505">
        <f t="shared" si="17"/>
        <v>0</v>
      </c>
      <c r="BY17" s="497">
        <f t="shared" si="18"/>
        <v>0</v>
      </c>
      <c r="BZ17" s="595">
        <f t="shared" si="19"/>
        <v>3</v>
      </c>
      <c r="CA17" s="537" t="s">
        <v>848</v>
      </c>
      <c r="CB17" s="568">
        <v>0</v>
      </c>
      <c r="CC17" s="605">
        <f t="shared" si="35"/>
        <v>0</v>
      </c>
      <c r="CD17" s="537">
        <v>2</v>
      </c>
      <c r="CE17" s="506" t="str">
        <f t="shared" si="36"/>
        <v>Excellent coverage</v>
      </c>
      <c r="CF17" s="492">
        <v>0</v>
      </c>
      <c r="CG17" s="538" t="s">
        <v>65</v>
      </c>
      <c r="CH17" s="580"/>
    </row>
    <row r="18" spans="2:86" s="40" customFormat="1" ht="30" customHeight="1" x14ac:dyDescent="0.2">
      <c r="B18" s="527" t="s">
        <v>110</v>
      </c>
      <c r="C18" s="488" t="s">
        <v>601</v>
      </c>
      <c r="D18" s="117" t="s">
        <v>264</v>
      </c>
      <c r="E18" s="488" t="s">
        <v>228</v>
      </c>
      <c r="F18" s="117">
        <v>96.705960000000005</v>
      </c>
      <c r="G18" s="117">
        <v>25.51352</v>
      </c>
      <c r="H18" s="117" t="s">
        <v>509</v>
      </c>
      <c r="I18" s="117" t="s">
        <v>218</v>
      </c>
      <c r="J18" s="546">
        <v>16</v>
      </c>
      <c r="K18" s="546">
        <v>60</v>
      </c>
      <c r="L18" s="546">
        <v>60</v>
      </c>
      <c r="M18" s="490" t="str">
        <f t="shared" si="0"/>
        <v>1. Small</v>
      </c>
      <c r="N18" s="528" t="s">
        <v>239</v>
      </c>
      <c r="O18" s="553" t="s">
        <v>239</v>
      </c>
      <c r="P18" s="545" t="str">
        <f t="shared" si="20"/>
        <v>Covered</v>
      </c>
      <c r="Q18" s="491">
        <v>42185</v>
      </c>
      <c r="R18" s="489" t="s">
        <v>240</v>
      </c>
      <c r="S18" s="491">
        <v>42185</v>
      </c>
      <c r="T18" s="528" t="s">
        <v>260</v>
      </c>
      <c r="U18" s="533" t="str">
        <f t="shared" si="21"/>
        <v>Documented</v>
      </c>
      <c r="V18" s="537">
        <v>0</v>
      </c>
      <c r="W18" s="492">
        <v>0</v>
      </c>
      <c r="X18" s="538" t="s">
        <v>19</v>
      </c>
      <c r="Y18" s="537">
        <v>0</v>
      </c>
      <c r="Z18" s="492">
        <v>2</v>
      </c>
      <c r="AA18" s="538">
        <v>0</v>
      </c>
      <c r="AB18" s="567">
        <v>0</v>
      </c>
      <c r="AC18" s="568">
        <v>1</v>
      </c>
      <c r="AD18" s="574">
        <f t="shared" si="1"/>
        <v>1</v>
      </c>
      <c r="AE18" s="495">
        <f t="shared" si="22"/>
        <v>60</v>
      </c>
      <c r="AF18" s="496">
        <f t="shared" si="2"/>
        <v>1</v>
      </c>
      <c r="AG18" s="497">
        <f t="shared" si="23"/>
        <v>60</v>
      </c>
      <c r="AH18" s="494">
        <f t="shared" si="3"/>
        <v>1</v>
      </c>
      <c r="AI18" s="497">
        <f t="shared" si="24"/>
        <v>60</v>
      </c>
      <c r="AJ18" s="498" t="str">
        <f t="shared" si="4"/>
        <v>80-100%</v>
      </c>
      <c r="AK18" s="494">
        <f t="shared" si="5"/>
        <v>0</v>
      </c>
      <c r="AL18" s="499">
        <f t="shared" si="6"/>
        <v>0</v>
      </c>
      <c r="AM18" s="497">
        <f t="shared" si="7"/>
        <v>0</v>
      </c>
      <c r="AN18" s="497">
        <f t="shared" si="8"/>
        <v>16</v>
      </c>
      <c r="AO18" s="497">
        <f t="shared" si="25"/>
        <v>0</v>
      </c>
      <c r="AP18" s="568">
        <v>1</v>
      </c>
      <c r="AQ18" s="577">
        <f t="shared" si="26"/>
        <v>60</v>
      </c>
      <c r="AR18" s="581"/>
      <c r="AS18" s="537">
        <v>0</v>
      </c>
      <c r="AT18" s="492">
        <v>3</v>
      </c>
      <c r="AU18" s="492">
        <v>7</v>
      </c>
      <c r="AV18" s="492" t="s">
        <v>299</v>
      </c>
      <c r="AW18" s="500">
        <f t="shared" si="9"/>
        <v>1</v>
      </c>
      <c r="AX18" s="497">
        <f t="shared" si="27"/>
        <v>60</v>
      </c>
      <c r="AY18" s="500">
        <f t="shared" si="10"/>
        <v>0</v>
      </c>
      <c r="AZ18" s="497">
        <f t="shared" si="28"/>
        <v>0</v>
      </c>
      <c r="BA18" s="500">
        <f t="shared" si="11"/>
        <v>1</v>
      </c>
      <c r="BB18" s="497">
        <f t="shared" si="29"/>
        <v>60</v>
      </c>
      <c r="BC18" s="492">
        <v>0</v>
      </c>
      <c r="BD18" s="493">
        <v>1</v>
      </c>
      <c r="BE18" s="501">
        <f t="shared" si="12"/>
        <v>60</v>
      </c>
      <c r="BF18" s="502">
        <f t="shared" si="30"/>
        <v>0</v>
      </c>
      <c r="BG18" s="492">
        <v>2</v>
      </c>
      <c r="BH18" s="492" t="s">
        <v>300</v>
      </c>
      <c r="BI18" s="500">
        <f t="shared" si="31"/>
        <v>1</v>
      </c>
      <c r="BJ18" s="497">
        <f t="shared" si="32"/>
        <v>60</v>
      </c>
      <c r="BK18" s="502">
        <f t="shared" si="33"/>
        <v>0</v>
      </c>
      <c r="BL18" s="493">
        <v>1</v>
      </c>
      <c r="BM18" s="497">
        <f t="shared" si="34"/>
        <v>60</v>
      </c>
      <c r="BN18" s="492">
        <v>2</v>
      </c>
      <c r="BO18" s="500">
        <f t="shared" si="13"/>
        <v>1</v>
      </c>
      <c r="BP18" s="502">
        <f t="shared" si="14"/>
        <v>0</v>
      </c>
      <c r="BQ18" s="568">
        <v>1</v>
      </c>
      <c r="BR18" s="580"/>
      <c r="BS18" s="594">
        <v>42053</v>
      </c>
      <c r="BT18" s="503">
        <f t="shared" si="15"/>
        <v>42418</v>
      </c>
      <c r="BU18" s="546">
        <v>16</v>
      </c>
      <c r="BV18" s="546">
        <v>3</v>
      </c>
      <c r="BW18" s="504">
        <f t="shared" si="16"/>
        <v>0</v>
      </c>
      <c r="BX18" s="505">
        <f t="shared" si="17"/>
        <v>1</v>
      </c>
      <c r="BY18" s="497">
        <f t="shared" si="18"/>
        <v>60</v>
      </c>
      <c r="BZ18" s="595">
        <f t="shared" si="19"/>
        <v>0</v>
      </c>
      <c r="CA18" s="537"/>
      <c r="CB18" s="568">
        <v>0</v>
      </c>
      <c r="CC18" s="605">
        <f t="shared" si="35"/>
        <v>0</v>
      </c>
      <c r="CD18" s="537">
        <v>1</v>
      </c>
      <c r="CE18" s="506" t="str">
        <f t="shared" si="36"/>
        <v>Excellent coverage</v>
      </c>
      <c r="CF18" s="492">
        <v>0</v>
      </c>
      <c r="CG18" s="538" t="s">
        <v>302</v>
      </c>
      <c r="CH18" s="580"/>
    </row>
    <row r="19" spans="2:86" s="40" customFormat="1" ht="30" customHeight="1" x14ac:dyDescent="0.2">
      <c r="B19" s="527" t="s">
        <v>110</v>
      </c>
      <c r="C19" s="488" t="s">
        <v>602</v>
      </c>
      <c r="D19" s="117" t="s">
        <v>264</v>
      </c>
      <c r="E19" s="488" t="s">
        <v>119</v>
      </c>
      <c r="F19" s="117">
        <v>96.316564</v>
      </c>
      <c r="G19" s="117">
        <v>25.615960999999999</v>
      </c>
      <c r="H19" s="117" t="s">
        <v>509</v>
      </c>
      <c r="I19" s="117" t="s">
        <v>218</v>
      </c>
      <c r="J19" s="546">
        <v>13</v>
      </c>
      <c r="K19" s="546">
        <v>75</v>
      </c>
      <c r="L19" s="546">
        <v>75</v>
      </c>
      <c r="M19" s="490" t="str">
        <f t="shared" si="0"/>
        <v>1. Small</v>
      </c>
      <c r="N19" s="528" t="s">
        <v>284</v>
      </c>
      <c r="O19" s="553" t="s">
        <v>284</v>
      </c>
      <c r="P19" s="545" t="str">
        <f t="shared" si="20"/>
        <v>Covered</v>
      </c>
      <c r="Q19" s="491" t="s">
        <v>708</v>
      </c>
      <c r="R19" s="489"/>
      <c r="S19" s="491"/>
      <c r="T19" s="528" t="s">
        <v>260</v>
      </c>
      <c r="U19" s="533" t="str">
        <f t="shared" si="21"/>
        <v>Documented</v>
      </c>
      <c r="V19" s="537">
        <v>0</v>
      </c>
      <c r="W19" s="492">
        <v>0</v>
      </c>
      <c r="X19" s="538" t="s">
        <v>19</v>
      </c>
      <c r="Y19" s="537">
        <v>1</v>
      </c>
      <c r="Z19" s="492">
        <v>0</v>
      </c>
      <c r="AA19" s="538">
        <v>0</v>
      </c>
      <c r="AB19" s="567">
        <v>0</v>
      </c>
      <c r="AC19" s="568">
        <v>0</v>
      </c>
      <c r="AD19" s="574">
        <f t="shared" si="1"/>
        <v>1</v>
      </c>
      <c r="AE19" s="495">
        <f t="shared" si="22"/>
        <v>75</v>
      </c>
      <c r="AF19" s="496">
        <f t="shared" si="2"/>
        <v>1</v>
      </c>
      <c r="AG19" s="497">
        <f t="shared" si="23"/>
        <v>75</v>
      </c>
      <c r="AH19" s="494">
        <f t="shared" si="3"/>
        <v>1</v>
      </c>
      <c r="AI19" s="497">
        <f t="shared" si="24"/>
        <v>75</v>
      </c>
      <c r="AJ19" s="498" t="str">
        <f t="shared" si="4"/>
        <v>80-100%</v>
      </c>
      <c r="AK19" s="494">
        <f t="shared" si="5"/>
        <v>0</v>
      </c>
      <c r="AL19" s="499">
        <f t="shared" si="6"/>
        <v>0</v>
      </c>
      <c r="AM19" s="497">
        <f t="shared" si="7"/>
        <v>0</v>
      </c>
      <c r="AN19" s="497">
        <f t="shared" si="8"/>
        <v>0</v>
      </c>
      <c r="AO19" s="497">
        <f t="shared" si="25"/>
        <v>0</v>
      </c>
      <c r="AP19" s="568">
        <v>1</v>
      </c>
      <c r="AQ19" s="577">
        <f t="shared" si="26"/>
        <v>75</v>
      </c>
      <c r="AR19" s="581"/>
      <c r="AS19" s="537">
        <v>0</v>
      </c>
      <c r="AT19" s="492">
        <v>0</v>
      </c>
      <c r="AU19" s="492">
        <v>5</v>
      </c>
      <c r="AV19" s="492" t="s">
        <v>91</v>
      </c>
      <c r="AW19" s="500">
        <f t="shared" si="9"/>
        <v>1</v>
      </c>
      <c r="AX19" s="497">
        <f t="shared" si="27"/>
        <v>75</v>
      </c>
      <c r="AY19" s="500">
        <f t="shared" si="10"/>
        <v>0</v>
      </c>
      <c r="AZ19" s="497">
        <f t="shared" si="28"/>
        <v>0</v>
      </c>
      <c r="BA19" s="500">
        <f t="shared" si="11"/>
        <v>1</v>
      </c>
      <c r="BB19" s="497">
        <f t="shared" si="29"/>
        <v>75</v>
      </c>
      <c r="BC19" s="492">
        <v>0</v>
      </c>
      <c r="BD19" s="493">
        <v>1</v>
      </c>
      <c r="BE19" s="501">
        <f t="shared" si="12"/>
        <v>75</v>
      </c>
      <c r="BF19" s="502">
        <f t="shared" si="30"/>
        <v>0</v>
      </c>
      <c r="BG19" s="492">
        <v>1</v>
      </c>
      <c r="BH19" s="492" t="s">
        <v>300</v>
      </c>
      <c r="BI19" s="500">
        <f t="shared" si="31"/>
        <v>1</v>
      </c>
      <c r="BJ19" s="497">
        <f t="shared" si="32"/>
        <v>75</v>
      </c>
      <c r="BK19" s="502">
        <f t="shared" si="33"/>
        <v>0</v>
      </c>
      <c r="BL19" s="493">
        <v>1</v>
      </c>
      <c r="BM19" s="497">
        <f t="shared" si="34"/>
        <v>75</v>
      </c>
      <c r="BN19" s="492">
        <v>1</v>
      </c>
      <c r="BO19" s="500">
        <f t="shared" si="13"/>
        <v>1</v>
      </c>
      <c r="BP19" s="502">
        <f t="shared" si="14"/>
        <v>0</v>
      </c>
      <c r="BQ19" s="568">
        <v>1</v>
      </c>
      <c r="BR19" s="580"/>
      <c r="BS19" s="594">
        <v>41695</v>
      </c>
      <c r="BT19" s="503" t="str">
        <f t="shared" si="15"/>
        <v>To be realised</v>
      </c>
      <c r="BU19" s="546">
        <v>13</v>
      </c>
      <c r="BV19" s="546">
        <v>10</v>
      </c>
      <c r="BW19" s="504">
        <f t="shared" si="16"/>
        <v>13</v>
      </c>
      <c r="BX19" s="505">
        <f t="shared" si="17"/>
        <v>0</v>
      </c>
      <c r="BY19" s="497">
        <f t="shared" si="18"/>
        <v>0</v>
      </c>
      <c r="BZ19" s="595">
        <f t="shared" si="19"/>
        <v>3</v>
      </c>
      <c r="CA19" s="537" t="s">
        <v>848</v>
      </c>
      <c r="CB19" s="568">
        <v>0</v>
      </c>
      <c r="CC19" s="605">
        <f t="shared" si="35"/>
        <v>0</v>
      </c>
      <c r="CD19" s="537">
        <v>1</v>
      </c>
      <c r="CE19" s="506" t="str">
        <f t="shared" si="36"/>
        <v>Excellent coverage</v>
      </c>
      <c r="CF19" s="492">
        <v>0</v>
      </c>
      <c r="CG19" s="538" t="s">
        <v>65</v>
      </c>
      <c r="CH19" s="580"/>
    </row>
    <row r="20" spans="2:86" s="40" customFormat="1" ht="30" customHeight="1" x14ac:dyDescent="0.2">
      <c r="B20" s="527" t="s">
        <v>110</v>
      </c>
      <c r="C20" s="488" t="s">
        <v>787</v>
      </c>
      <c r="D20" s="117" t="s">
        <v>264</v>
      </c>
      <c r="E20" s="488" t="s">
        <v>257</v>
      </c>
      <c r="F20" s="117">
        <v>96.312790000000007</v>
      </c>
      <c r="G20" s="117">
        <v>25.611160000000002</v>
      </c>
      <c r="H20" s="117" t="s">
        <v>509</v>
      </c>
      <c r="I20" s="117" t="s">
        <v>218</v>
      </c>
      <c r="J20" s="546">
        <v>118</v>
      </c>
      <c r="K20" s="546">
        <v>519</v>
      </c>
      <c r="L20" s="546">
        <v>519</v>
      </c>
      <c r="M20" s="490" t="str">
        <f t="shared" si="0"/>
        <v>2. Medium</v>
      </c>
      <c r="N20" s="528" t="s">
        <v>284</v>
      </c>
      <c r="O20" s="553" t="s">
        <v>284</v>
      </c>
      <c r="P20" s="545" t="str">
        <f t="shared" si="20"/>
        <v>Covered</v>
      </c>
      <c r="Q20" s="491" t="s">
        <v>708</v>
      </c>
      <c r="R20" s="489"/>
      <c r="S20" s="491"/>
      <c r="T20" s="528" t="s">
        <v>260</v>
      </c>
      <c r="U20" s="533" t="str">
        <f t="shared" si="21"/>
        <v>Documented</v>
      </c>
      <c r="V20" s="537">
        <v>0</v>
      </c>
      <c r="W20" s="492">
        <v>0</v>
      </c>
      <c r="X20" s="538" t="s">
        <v>19</v>
      </c>
      <c r="Y20" s="537">
        <v>1</v>
      </c>
      <c r="Z20" s="492">
        <v>0</v>
      </c>
      <c r="AA20" s="538">
        <v>3320</v>
      </c>
      <c r="AB20" s="567">
        <v>0</v>
      </c>
      <c r="AC20" s="568">
        <v>0</v>
      </c>
      <c r="AD20" s="574">
        <f t="shared" si="1"/>
        <v>1</v>
      </c>
      <c r="AE20" s="495">
        <f t="shared" si="22"/>
        <v>519</v>
      </c>
      <c r="AF20" s="496">
        <f t="shared" si="2"/>
        <v>1</v>
      </c>
      <c r="AG20" s="497">
        <f t="shared" si="23"/>
        <v>519</v>
      </c>
      <c r="AH20" s="494">
        <f t="shared" si="3"/>
        <v>1</v>
      </c>
      <c r="AI20" s="497">
        <f t="shared" si="24"/>
        <v>519</v>
      </c>
      <c r="AJ20" s="498" t="str">
        <f t="shared" si="4"/>
        <v>80-100%</v>
      </c>
      <c r="AK20" s="494">
        <f t="shared" si="5"/>
        <v>0</v>
      </c>
      <c r="AL20" s="499">
        <f t="shared" si="6"/>
        <v>0</v>
      </c>
      <c r="AM20" s="497">
        <f t="shared" si="7"/>
        <v>0.2975000000000001</v>
      </c>
      <c r="AN20" s="497">
        <f t="shared" si="8"/>
        <v>0</v>
      </c>
      <c r="AO20" s="497">
        <f t="shared" si="25"/>
        <v>0</v>
      </c>
      <c r="AP20" s="568">
        <v>1</v>
      </c>
      <c r="AQ20" s="577">
        <f t="shared" si="26"/>
        <v>519</v>
      </c>
      <c r="AR20" s="581"/>
      <c r="AS20" s="537">
        <v>20</v>
      </c>
      <c r="AT20" s="492">
        <v>0</v>
      </c>
      <c r="AU20" s="492">
        <v>16</v>
      </c>
      <c r="AV20" s="492" t="s">
        <v>300</v>
      </c>
      <c r="AW20" s="500">
        <f t="shared" si="9"/>
        <v>0.61657032755298646</v>
      </c>
      <c r="AX20" s="497">
        <f t="shared" si="27"/>
        <v>320</v>
      </c>
      <c r="AY20" s="500">
        <f t="shared" si="10"/>
        <v>0</v>
      </c>
      <c r="AZ20" s="497">
        <f t="shared" si="28"/>
        <v>0</v>
      </c>
      <c r="BA20" s="500">
        <f t="shared" si="11"/>
        <v>0.61657032755298646</v>
      </c>
      <c r="BB20" s="497">
        <f t="shared" si="29"/>
        <v>320</v>
      </c>
      <c r="BC20" s="492">
        <v>0</v>
      </c>
      <c r="BD20" s="493">
        <v>0.62</v>
      </c>
      <c r="BE20" s="501">
        <f t="shared" si="12"/>
        <v>321.77999999999997</v>
      </c>
      <c r="BF20" s="502">
        <f t="shared" si="30"/>
        <v>9.9499999999999993</v>
      </c>
      <c r="BG20" s="492">
        <v>3</v>
      </c>
      <c r="BH20" s="492" t="s">
        <v>301</v>
      </c>
      <c r="BI20" s="500">
        <f t="shared" si="31"/>
        <v>0.5780346820809249</v>
      </c>
      <c r="BJ20" s="497">
        <f t="shared" si="32"/>
        <v>300</v>
      </c>
      <c r="BK20" s="502">
        <f t="shared" si="33"/>
        <v>2.1900000000000004</v>
      </c>
      <c r="BL20" s="493">
        <v>0.57999999999999996</v>
      </c>
      <c r="BM20" s="497">
        <f t="shared" si="34"/>
        <v>301.02</v>
      </c>
      <c r="BN20" s="492">
        <v>3</v>
      </c>
      <c r="BO20" s="500">
        <f t="shared" si="13"/>
        <v>0.5780346820809249</v>
      </c>
      <c r="BP20" s="502">
        <f t="shared" si="14"/>
        <v>2.1900000000000004</v>
      </c>
      <c r="BQ20" s="568">
        <v>1</v>
      </c>
      <c r="BR20" s="580"/>
      <c r="BS20" s="594">
        <v>41695</v>
      </c>
      <c r="BT20" s="503" t="str">
        <f t="shared" si="15"/>
        <v>To be realised</v>
      </c>
      <c r="BU20" s="546">
        <v>118</v>
      </c>
      <c r="BV20" s="546">
        <v>10</v>
      </c>
      <c r="BW20" s="504">
        <f t="shared" si="16"/>
        <v>118</v>
      </c>
      <c r="BX20" s="505">
        <f t="shared" si="17"/>
        <v>0</v>
      </c>
      <c r="BY20" s="497">
        <f t="shared" si="18"/>
        <v>0</v>
      </c>
      <c r="BZ20" s="595">
        <f t="shared" si="19"/>
        <v>3</v>
      </c>
      <c r="CA20" s="537" t="s">
        <v>848</v>
      </c>
      <c r="CB20" s="568">
        <v>0</v>
      </c>
      <c r="CC20" s="605">
        <f t="shared" si="35"/>
        <v>0</v>
      </c>
      <c r="CD20" s="537">
        <v>2</v>
      </c>
      <c r="CE20" s="506" t="str">
        <f t="shared" si="36"/>
        <v>Excellent coverage</v>
      </c>
      <c r="CF20" s="492">
        <v>0</v>
      </c>
      <c r="CG20" s="538" t="s">
        <v>65</v>
      </c>
      <c r="CH20" s="580"/>
    </row>
    <row r="21" spans="2:86" s="40" customFormat="1" ht="30" customHeight="1" x14ac:dyDescent="0.2">
      <c r="B21" s="527" t="s">
        <v>110</v>
      </c>
      <c r="C21" s="488" t="s">
        <v>603</v>
      </c>
      <c r="D21" s="117" t="s">
        <v>264</v>
      </c>
      <c r="E21" s="488" t="s">
        <v>120</v>
      </c>
      <c r="F21" s="117">
        <v>96.269199999999998</v>
      </c>
      <c r="G21" s="117">
        <v>25.566510000000001</v>
      </c>
      <c r="H21" s="117" t="s">
        <v>509</v>
      </c>
      <c r="I21" s="117" t="s">
        <v>218</v>
      </c>
      <c r="J21" s="546">
        <v>26</v>
      </c>
      <c r="K21" s="546">
        <v>137</v>
      </c>
      <c r="L21" s="546">
        <v>137</v>
      </c>
      <c r="M21" s="490" t="str">
        <f t="shared" si="0"/>
        <v>1. Small</v>
      </c>
      <c r="N21" s="528" t="s">
        <v>284</v>
      </c>
      <c r="O21" s="553" t="s">
        <v>284</v>
      </c>
      <c r="P21" s="545" t="str">
        <f t="shared" si="20"/>
        <v>Covered</v>
      </c>
      <c r="Q21" s="491" t="s">
        <v>708</v>
      </c>
      <c r="R21" s="489"/>
      <c r="S21" s="491"/>
      <c r="T21" s="528" t="s">
        <v>260</v>
      </c>
      <c r="U21" s="533" t="str">
        <f t="shared" si="21"/>
        <v>Documented</v>
      </c>
      <c r="V21" s="537">
        <v>0</v>
      </c>
      <c r="W21" s="492">
        <v>0</v>
      </c>
      <c r="X21" s="538" t="s">
        <v>19</v>
      </c>
      <c r="Y21" s="537">
        <v>1</v>
      </c>
      <c r="Z21" s="492">
        <v>0</v>
      </c>
      <c r="AA21" s="538">
        <v>3000</v>
      </c>
      <c r="AB21" s="567">
        <v>0</v>
      </c>
      <c r="AC21" s="568">
        <v>0</v>
      </c>
      <c r="AD21" s="574">
        <f t="shared" si="1"/>
        <v>1</v>
      </c>
      <c r="AE21" s="495">
        <f t="shared" si="22"/>
        <v>137</v>
      </c>
      <c r="AF21" s="496">
        <f t="shared" si="2"/>
        <v>1</v>
      </c>
      <c r="AG21" s="497">
        <f t="shared" si="23"/>
        <v>137</v>
      </c>
      <c r="AH21" s="494">
        <f t="shared" si="3"/>
        <v>1</v>
      </c>
      <c r="AI21" s="497">
        <f t="shared" si="24"/>
        <v>137</v>
      </c>
      <c r="AJ21" s="498" t="str">
        <f t="shared" si="4"/>
        <v>80-100%</v>
      </c>
      <c r="AK21" s="494">
        <f t="shared" si="5"/>
        <v>0</v>
      </c>
      <c r="AL21" s="499">
        <f t="shared" si="6"/>
        <v>0</v>
      </c>
      <c r="AM21" s="497">
        <f t="shared" si="7"/>
        <v>0</v>
      </c>
      <c r="AN21" s="497">
        <f t="shared" si="8"/>
        <v>0</v>
      </c>
      <c r="AO21" s="497">
        <f t="shared" si="25"/>
        <v>0</v>
      </c>
      <c r="AP21" s="568">
        <v>1</v>
      </c>
      <c r="AQ21" s="577">
        <f t="shared" si="26"/>
        <v>137</v>
      </c>
      <c r="AR21" s="581"/>
      <c r="AS21" s="537">
        <v>2</v>
      </c>
      <c r="AT21" s="492">
        <v>2</v>
      </c>
      <c r="AU21" s="492">
        <v>6</v>
      </c>
      <c r="AV21" s="492" t="s">
        <v>91</v>
      </c>
      <c r="AW21" s="500">
        <f t="shared" si="9"/>
        <v>1</v>
      </c>
      <c r="AX21" s="497">
        <f t="shared" si="27"/>
        <v>137</v>
      </c>
      <c r="AY21" s="500">
        <f t="shared" si="10"/>
        <v>0.12408759124087587</v>
      </c>
      <c r="AZ21" s="497">
        <f t="shared" si="28"/>
        <v>16.999999999999993</v>
      </c>
      <c r="BA21" s="500">
        <f t="shared" si="11"/>
        <v>0.87591240875912413</v>
      </c>
      <c r="BB21" s="497">
        <f t="shared" si="29"/>
        <v>120</v>
      </c>
      <c r="BC21" s="492">
        <v>0</v>
      </c>
      <c r="BD21" s="493">
        <v>1</v>
      </c>
      <c r="BE21" s="501">
        <f t="shared" si="12"/>
        <v>137</v>
      </c>
      <c r="BF21" s="502">
        <f t="shared" si="30"/>
        <v>0.84999999999999964</v>
      </c>
      <c r="BG21" s="492">
        <v>2</v>
      </c>
      <c r="BH21" s="492" t="s">
        <v>301</v>
      </c>
      <c r="BI21" s="500">
        <f t="shared" si="31"/>
        <v>1</v>
      </c>
      <c r="BJ21" s="497">
        <f t="shared" si="32"/>
        <v>137</v>
      </c>
      <c r="BK21" s="502">
        <f t="shared" si="33"/>
        <v>0</v>
      </c>
      <c r="BL21" s="493">
        <v>1</v>
      </c>
      <c r="BM21" s="497">
        <f t="shared" si="34"/>
        <v>137</v>
      </c>
      <c r="BN21" s="492">
        <v>2</v>
      </c>
      <c r="BO21" s="500">
        <f t="shared" si="13"/>
        <v>1</v>
      </c>
      <c r="BP21" s="502">
        <f t="shared" si="14"/>
        <v>0</v>
      </c>
      <c r="BQ21" s="568">
        <v>1</v>
      </c>
      <c r="BR21" s="580"/>
      <c r="BS21" s="594">
        <v>41695</v>
      </c>
      <c r="BT21" s="503" t="str">
        <f t="shared" si="15"/>
        <v>To be realised</v>
      </c>
      <c r="BU21" s="546">
        <v>26</v>
      </c>
      <c r="BV21" s="546">
        <v>10</v>
      </c>
      <c r="BW21" s="504">
        <f t="shared" si="16"/>
        <v>26</v>
      </c>
      <c r="BX21" s="505">
        <f t="shared" si="17"/>
        <v>0</v>
      </c>
      <c r="BY21" s="497">
        <f t="shared" si="18"/>
        <v>0</v>
      </c>
      <c r="BZ21" s="595">
        <f t="shared" si="19"/>
        <v>3</v>
      </c>
      <c r="CA21" s="537" t="s">
        <v>848</v>
      </c>
      <c r="CB21" s="568">
        <v>0</v>
      </c>
      <c r="CC21" s="605">
        <f t="shared" si="35"/>
        <v>0</v>
      </c>
      <c r="CD21" s="537">
        <v>2</v>
      </c>
      <c r="CE21" s="506" t="str">
        <f t="shared" si="36"/>
        <v>Excellent coverage</v>
      </c>
      <c r="CF21" s="492">
        <v>0</v>
      </c>
      <c r="CG21" s="538" t="s">
        <v>65</v>
      </c>
      <c r="CH21" s="580"/>
    </row>
    <row r="22" spans="2:86" s="40" customFormat="1" ht="30" customHeight="1" x14ac:dyDescent="0.2">
      <c r="B22" s="527" t="s">
        <v>110</v>
      </c>
      <c r="C22" s="488" t="s">
        <v>604</v>
      </c>
      <c r="D22" s="117" t="s">
        <v>264</v>
      </c>
      <c r="E22" s="488" t="s">
        <v>121</v>
      </c>
      <c r="F22" s="117">
        <v>96.316400000000002</v>
      </c>
      <c r="G22" s="117">
        <v>25.61842</v>
      </c>
      <c r="H22" s="117" t="s">
        <v>509</v>
      </c>
      <c r="I22" s="117" t="s">
        <v>218</v>
      </c>
      <c r="J22" s="546">
        <v>15</v>
      </c>
      <c r="K22" s="546">
        <v>71</v>
      </c>
      <c r="L22" s="546">
        <v>71</v>
      </c>
      <c r="M22" s="490" t="str">
        <f t="shared" si="0"/>
        <v>1. Small</v>
      </c>
      <c r="N22" s="528" t="s">
        <v>284</v>
      </c>
      <c r="O22" s="553" t="s">
        <v>284</v>
      </c>
      <c r="P22" s="545" t="str">
        <f t="shared" si="20"/>
        <v>Covered</v>
      </c>
      <c r="Q22" s="491" t="s">
        <v>708</v>
      </c>
      <c r="R22" s="489"/>
      <c r="S22" s="491"/>
      <c r="T22" s="528" t="s">
        <v>260</v>
      </c>
      <c r="U22" s="533" t="str">
        <f t="shared" si="21"/>
        <v>Documented</v>
      </c>
      <c r="V22" s="537">
        <v>0</v>
      </c>
      <c r="W22" s="492">
        <v>0</v>
      </c>
      <c r="X22" s="538" t="s">
        <v>19</v>
      </c>
      <c r="Y22" s="537">
        <v>1</v>
      </c>
      <c r="Z22" s="492">
        <v>0</v>
      </c>
      <c r="AA22" s="538">
        <v>2000</v>
      </c>
      <c r="AB22" s="567">
        <v>0</v>
      </c>
      <c r="AC22" s="568">
        <v>0</v>
      </c>
      <c r="AD22" s="574">
        <f t="shared" si="1"/>
        <v>1</v>
      </c>
      <c r="AE22" s="495">
        <f t="shared" si="22"/>
        <v>71</v>
      </c>
      <c r="AF22" s="496">
        <f t="shared" si="2"/>
        <v>1</v>
      </c>
      <c r="AG22" s="497">
        <f t="shared" si="23"/>
        <v>71</v>
      </c>
      <c r="AH22" s="494">
        <f t="shared" si="3"/>
        <v>1</v>
      </c>
      <c r="AI22" s="497">
        <f t="shared" si="24"/>
        <v>71</v>
      </c>
      <c r="AJ22" s="498" t="str">
        <f t="shared" si="4"/>
        <v>80-100%</v>
      </c>
      <c r="AK22" s="494">
        <f t="shared" si="5"/>
        <v>0</v>
      </c>
      <c r="AL22" s="499">
        <f t="shared" si="6"/>
        <v>0</v>
      </c>
      <c r="AM22" s="497">
        <f t="shared" si="7"/>
        <v>0</v>
      </c>
      <c r="AN22" s="497">
        <f t="shared" si="8"/>
        <v>0</v>
      </c>
      <c r="AO22" s="497">
        <f t="shared" si="25"/>
        <v>0</v>
      </c>
      <c r="AP22" s="568">
        <v>1</v>
      </c>
      <c r="AQ22" s="577">
        <f t="shared" si="26"/>
        <v>71</v>
      </c>
      <c r="AR22" s="581"/>
      <c r="AS22" s="537">
        <v>0</v>
      </c>
      <c r="AT22" s="492">
        <v>1</v>
      </c>
      <c r="AU22" s="492">
        <v>4</v>
      </c>
      <c r="AV22" s="492" t="s">
        <v>91</v>
      </c>
      <c r="AW22" s="500">
        <f t="shared" si="9"/>
        <v>1</v>
      </c>
      <c r="AX22" s="497">
        <f t="shared" si="27"/>
        <v>71</v>
      </c>
      <c r="AY22" s="500">
        <f t="shared" si="10"/>
        <v>0</v>
      </c>
      <c r="AZ22" s="497">
        <f t="shared" si="28"/>
        <v>0</v>
      </c>
      <c r="BA22" s="500">
        <f t="shared" si="11"/>
        <v>1</v>
      </c>
      <c r="BB22" s="497">
        <f t="shared" si="29"/>
        <v>71</v>
      </c>
      <c r="BC22" s="492">
        <v>0</v>
      </c>
      <c r="BD22" s="493">
        <v>1</v>
      </c>
      <c r="BE22" s="501">
        <f t="shared" si="12"/>
        <v>71</v>
      </c>
      <c r="BF22" s="502">
        <f t="shared" si="30"/>
        <v>0</v>
      </c>
      <c r="BG22" s="492">
        <v>2</v>
      </c>
      <c r="BH22" s="492" t="s">
        <v>91</v>
      </c>
      <c r="BI22" s="500">
        <f t="shared" si="31"/>
        <v>1</v>
      </c>
      <c r="BJ22" s="497">
        <f t="shared" si="32"/>
        <v>71</v>
      </c>
      <c r="BK22" s="502">
        <f t="shared" si="33"/>
        <v>0</v>
      </c>
      <c r="BL22" s="493">
        <v>1</v>
      </c>
      <c r="BM22" s="497">
        <f t="shared" si="34"/>
        <v>71</v>
      </c>
      <c r="BN22" s="492">
        <v>1</v>
      </c>
      <c r="BO22" s="500">
        <f t="shared" si="13"/>
        <v>1</v>
      </c>
      <c r="BP22" s="502">
        <f t="shared" si="14"/>
        <v>0</v>
      </c>
      <c r="BQ22" s="568">
        <v>1</v>
      </c>
      <c r="BR22" s="580"/>
      <c r="BS22" s="594">
        <v>41695</v>
      </c>
      <c r="BT22" s="503" t="str">
        <f t="shared" si="15"/>
        <v>To be realised</v>
      </c>
      <c r="BU22" s="546">
        <v>15</v>
      </c>
      <c r="BV22" s="546">
        <v>10</v>
      </c>
      <c r="BW22" s="504">
        <f t="shared" si="16"/>
        <v>15</v>
      </c>
      <c r="BX22" s="505">
        <f t="shared" si="17"/>
        <v>0</v>
      </c>
      <c r="BY22" s="497">
        <f t="shared" si="18"/>
        <v>0</v>
      </c>
      <c r="BZ22" s="595">
        <f t="shared" si="19"/>
        <v>3</v>
      </c>
      <c r="CA22" s="537" t="s">
        <v>848</v>
      </c>
      <c r="CB22" s="568">
        <v>0</v>
      </c>
      <c r="CC22" s="605">
        <f t="shared" si="35"/>
        <v>0</v>
      </c>
      <c r="CD22" s="537">
        <v>1</v>
      </c>
      <c r="CE22" s="506" t="str">
        <f t="shared" si="36"/>
        <v>Excellent coverage</v>
      </c>
      <c r="CF22" s="492">
        <v>0</v>
      </c>
      <c r="CG22" s="538" t="s">
        <v>65</v>
      </c>
      <c r="CH22" s="580"/>
    </row>
    <row r="23" spans="2:86" s="40" customFormat="1" ht="30" customHeight="1" x14ac:dyDescent="0.2">
      <c r="B23" s="527" t="s">
        <v>110</v>
      </c>
      <c r="C23" s="488" t="s">
        <v>605</v>
      </c>
      <c r="D23" s="117" t="s">
        <v>264</v>
      </c>
      <c r="E23" s="488" t="s">
        <v>122</v>
      </c>
      <c r="F23" s="117">
        <v>96.319687999999999</v>
      </c>
      <c r="G23" s="117">
        <v>25.615202</v>
      </c>
      <c r="H23" s="117" t="s">
        <v>509</v>
      </c>
      <c r="I23" s="117" t="s">
        <v>218</v>
      </c>
      <c r="J23" s="546">
        <v>5</v>
      </c>
      <c r="K23" s="546">
        <v>25</v>
      </c>
      <c r="L23" s="546">
        <v>25</v>
      </c>
      <c r="M23" s="490" t="str">
        <f t="shared" si="0"/>
        <v>1. Small</v>
      </c>
      <c r="N23" s="528" t="s">
        <v>284</v>
      </c>
      <c r="O23" s="553" t="s">
        <v>284</v>
      </c>
      <c r="P23" s="545" t="str">
        <f t="shared" si="20"/>
        <v>Covered</v>
      </c>
      <c r="Q23" s="491" t="s">
        <v>708</v>
      </c>
      <c r="R23" s="489"/>
      <c r="S23" s="491"/>
      <c r="T23" s="528" t="s">
        <v>260</v>
      </c>
      <c r="U23" s="533" t="str">
        <f t="shared" si="21"/>
        <v>Documented</v>
      </c>
      <c r="V23" s="537">
        <v>0</v>
      </c>
      <c r="W23" s="492">
        <v>0</v>
      </c>
      <c r="X23" s="538" t="s">
        <v>19</v>
      </c>
      <c r="Y23" s="537">
        <v>1</v>
      </c>
      <c r="Z23" s="492">
        <v>0</v>
      </c>
      <c r="AA23" s="538">
        <v>6000</v>
      </c>
      <c r="AB23" s="567">
        <v>0</v>
      </c>
      <c r="AC23" s="568">
        <v>0</v>
      </c>
      <c r="AD23" s="574">
        <f t="shared" si="1"/>
        <v>1</v>
      </c>
      <c r="AE23" s="495">
        <f t="shared" si="22"/>
        <v>25</v>
      </c>
      <c r="AF23" s="496">
        <f t="shared" si="2"/>
        <v>1</v>
      </c>
      <c r="AG23" s="497">
        <f t="shared" si="23"/>
        <v>25</v>
      </c>
      <c r="AH23" s="494">
        <f t="shared" si="3"/>
        <v>1</v>
      </c>
      <c r="AI23" s="497">
        <f t="shared" si="24"/>
        <v>25</v>
      </c>
      <c r="AJ23" s="498" t="str">
        <f t="shared" si="4"/>
        <v>80-100%</v>
      </c>
      <c r="AK23" s="494">
        <f t="shared" si="5"/>
        <v>0</v>
      </c>
      <c r="AL23" s="499">
        <f t="shared" si="6"/>
        <v>0</v>
      </c>
      <c r="AM23" s="497">
        <f t="shared" si="7"/>
        <v>0</v>
      </c>
      <c r="AN23" s="497">
        <f t="shared" si="8"/>
        <v>0</v>
      </c>
      <c r="AO23" s="497">
        <f t="shared" si="25"/>
        <v>0</v>
      </c>
      <c r="AP23" s="568">
        <v>1</v>
      </c>
      <c r="AQ23" s="577">
        <f t="shared" si="26"/>
        <v>25</v>
      </c>
      <c r="AR23" s="581"/>
      <c r="AS23" s="537">
        <v>2</v>
      </c>
      <c r="AT23" s="492">
        <v>2</v>
      </c>
      <c r="AU23" s="492">
        <v>1</v>
      </c>
      <c r="AV23" s="492" t="s">
        <v>301</v>
      </c>
      <c r="AW23" s="500">
        <f t="shared" si="9"/>
        <v>1</v>
      </c>
      <c r="AX23" s="497">
        <f t="shared" si="27"/>
        <v>25</v>
      </c>
      <c r="AY23" s="500">
        <f t="shared" si="10"/>
        <v>0.19999999999999996</v>
      </c>
      <c r="AZ23" s="497">
        <f t="shared" si="28"/>
        <v>4.9999999999999991</v>
      </c>
      <c r="BA23" s="500">
        <f t="shared" si="11"/>
        <v>0.8</v>
      </c>
      <c r="BB23" s="497">
        <f t="shared" si="29"/>
        <v>20</v>
      </c>
      <c r="BC23" s="492">
        <v>0</v>
      </c>
      <c r="BD23" s="493">
        <v>1</v>
      </c>
      <c r="BE23" s="501">
        <f t="shared" si="12"/>
        <v>25</v>
      </c>
      <c r="BF23" s="502">
        <f t="shared" si="30"/>
        <v>0.25</v>
      </c>
      <c r="BG23" s="492">
        <v>2</v>
      </c>
      <c r="BH23" s="492" t="s">
        <v>300</v>
      </c>
      <c r="BI23" s="500">
        <f t="shared" si="31"/>
        <v>1</v>
      </c>
      <c r="BJ23" s="497">
        <f t="shared" si="32"/>
        <v>25</v>
      </c>
      <c r="BK23" s="502">
        <f t="shared" si="33"/>
        <v>0</v>
      </c>
      <c r="BL23" s="493">
        <v>1</v>
      </c>
      <c r="BM23" s="497">
        <f t="shared" si="34"/>
        <v>25</v>
      </c>
      <c r="BN23" s="492">
        <v>3</v>
      </c>
      <c r="BO23" s="500">
        <f t="shared" si="13"/>
        <v>1</v>
      </c>
      <c r="BP23" s="502">
        <f t="shared" si="14"/>
        <v>0</v>
      </c>
      <c r="BQ23" s="568">
        <v>1</v>
      </c>
      <c r="BR23" s="580"/>
      <c r="BS23" s="594">
        <v>41695</v>
      </c>
      <c r="BT23" s="503" t="str">
        <f t="shared" si="15"/>
        <v>To be realised</v>
      </c>
      <c r="BU23" s="546">
        <v>5</v>
      </c>
      <c r="BV23" s="546">
        <v>10</v>
      </c>
      <c r="BW23" s="504">
        <f t="shared" si="16"/>
        <v>5</v>
      </c>
      <c r="BX23" s="505">
        <f t="shared" si="17"/>
        <v>0</v>
      </c>
      <c r="BY23" s="497">
        <f t="shared" si="18"/>
        <v>0</v>
      </c>
      <c r="BZ23" s="595">
        <f t="shared" si="19"/>
        <v>3</v>
      </c>
      <c r="CA23" s="537" t="s">
        <v>848</v>
      </c>
      <c r="CB23" s="568">
        <v>0</v>
      </c>
      <c r="CC23" s="605">
        <f t="shared" si="35"/>
        <v>0</v>
      </c>
      <c r="CD23" s="537">
        <v>1</v>
      </c>
      <c r="CE23" s="506" t="str">
        <f t="shared" si="36"/>
        <v>Excellent coverage</v>
      </c>
      <c r="CF23" s="492">
        <v>0</v>
      </c>
      <c r="CG23" s="538" t="s">
        <v>65</v>
      </c>
      <c r="CH23" s="580"/>
    </row>
    <row r="24" spans="2:86" s="40" customFormat="1" ht="30" customHeight="1" x14ac:dyDescent="0.2">
      <c r="B24" s="527" t="s">
        <v>110</v>
      </c>
      <c r="C24" s="488" t="s">
        <v>606</v>
      </c>
      <c r="D24" s="117" t="s">
        <v>264</v>
      </c>
      <c r="E24" s="488" t="s">
        <v>229</v>
      </c>
      <c r="F24" s="117">
        <v>96.339590000000001</v>
      </c>
      <c r="G24" s="117">
        <v>25.617998</v>
      </c>
      <c r="H24" s="117" t="s">
        <v>509</v>
      </c>
      <c r="I24" s="117" t="s">
        <v>218</v>
      </c>
      <c r="J24" s="546">
        <v>17</v>
      </c>
      <c r="K24" s="546">
        <v>63</v>
      </c>
      <c r="L24" s="546">
        <v>63</v>
      </c>
      <c r="M24" s="490" t="str">
        <f t="shared" si="0"/>
        <v>1. Small</v>
      </c>
      <c r="N24" s="528" t="s">
        <v>284</v>
      </c>
      <c r="O24" s="553" t="s">
        <v>284</v>
      </c>
      <c r="P24" s="545" t="str">
        <f t="shared" si="20"/>
        <v>Covered</v>
      </c>
      <c r="Q24" s="491" t="s">
        <v>708</v>
      </c>
      <c r="R24" s="489"/>
      <c r="S24" s="491"/>
      <c r="T24" s="528" t="s">
        <v>260</v>
      </c>
      <c r="U24" s="533" t="str">
        <f t="shared" si="21"/>
        <v>Documented</v>
      </c>
      <c r="V24" s="537">
        <v>0</v>
      </c>
      <c r="W24" s="492">
        <v>0</v>
      </c>
      <c r="X24" s="538" t="s">
        <v>19</v>
      </c>
      <c r="Y24" s="537">
        <v>1</v>
      </c>
      <c r="Z24" s="492">
        <v>0</v>
      </c>
      <c r="AA24" s="538">
        <v>2000</v>
      </c>
      <c r="AB24" s="567">
        <v>0</v>
      </c>
      <c r="AC24" s="568">
        <v>0</v>
      </c>
      <c r="AD24" s="574">
        <f t="shared" si="1"/>
        <v>1</v>
      </c>
      <c r="AE24" s="495">
        <f t="shared" si="22"/>
        <v>63</v>
      </c>
      <c r="AF24" s="496">
        <f t="shared" si="2"/>
        <v>1</v>
      </c>
      <c r="AG24" s="497">
        <f t="shared" si="23"/>
        <v>63</v>
      </c>
      <c r="AH24" s="494">
        <f t="shared" si="3"/>
        <v>1</v>
      </c>
      <c r="AI24" s="497">
        <f t="shared" si="24"/>
        <v>63</v>
      </c>
      <c r="AJ24" s="498" t="str">
        <f t="shared" si="4"/>
        <v>80-100%</v>
      </c>
      <c r="AK24" s="494">
        <f t="shared" si="5"/>
        <v>0</v>
      </c>
      <c r="AL24" s="499">
        <f t="shared" si="6"/>
        <v>0</v>
      </c>
      <c r="AM24" s="497">
        <f t="shared" si="7"/>
        <v>0</v>
      </c>
      <c r="AN24" s="497">
        <f t="shared" si="8"/>
        <v>0</v>
      </c>
      <c r="AO24" s="497">
        <f t="shared" si="25"/>
        <v>0</v>
      </c>
      <c r="AP24" s="568">
        <v>1</v>
      </c>
      <c r="AQ24" s="577">
        <f t="shared" si="26"/>
        <v>63</v>
      </c>
      <c r="AR24" s="581"/>
      <c r="AS24" s="537">
        <v>2</v>
      </c>
      <c r="AT24" s="492">
        <v>2</v>
      </c>
      <c r="AU24" s="492">
        <v>3</v>
      </c>
      <c r="AV24" s="492" t="s">
        <v>300</v>
      </c>
      <c r="AW24" s="500">
        <f t="shared" si="9"/>
        <v>1</v>
      </c>
      <c r="AX24" s="497">
        <f t="shared" si="27"/>
        <v>63</v>
      </c>
      <c r="AY24" s="500">
        <f t="shared" si="10"/>
        <v>4.7619047619047672E-2</v>
      </c>
      <c r="AZ24" s="497">
        <f t="shared" si="28"/>
        <v>3.0000000000000036</v>
      </c>
      <c r="BA24" s="500">
        <f t="shared" si="11"/>
        <v>0.95238095238095233</v>
      </c>
      <c r="BB24" s="497">
        <f t="shared" si="29"/>
        <v>60</v>
      </c>
      <c r="BC24" s="492">
        <v>0</v>
      </c>
      <c r="BD24" s="493">
        <v>1</v>
      </c>
      <c r="BE24" s="501">
        <f t="shared" si="12"/>
        <v>63</v>
      </c>
      <c r="BF24" s="502">
        <f t="shared" si="30"/>
        <v>0.14999999999999991</v>
      </c>
      <c r="BG24" s="492">
        <v>2</v>
      </c>
      <c r="BH24" s="492" t="s">
        <v>300</v>
      </c>
      <c r="BI24" s="500">
        <f t="shared" si="31"/>
        <v>1</v>
      </c>
      <c r="BJ24" s="497">
        <f t="shared" si="32"/>
        <v>63</v>
      </c>
      <c r="BK24" s="502">
        <f t="shared" si="33"/>
        <v>0</v>
      </c>
      <c r="BL24" s="493">
        <v>1</v>
      </c>
      <c r="BM24" s="497">
        <f t="shared" si="34"/>
        <v>63</v>
      </c>
      <c r="BN24" s="492">
        <v>4</v>
      </c>
      <c r="BO24" s="500">
        <f t="shared" si="13"/>
        <v>1</v>
      </c>
      <c r="BP24" s="502">
        <f t="shared" si="14"/>
        <v>0</v>
      </c>
      <c r="BQ24" s="568">
        <v>1</v>
      </c>
      <c r="BR24" s="580"/>
      <c r="BS24" s="594">
        <v>41695</v>
      </c>
      <c r="BT24" s="503" t="str">
        <f t="shared" si="15"/>
        <v>To be realised</v>
      </c>
      <c r="BU24" s="546">
        <v>17</v>
      </c>
      <c r="BV24" s="546">
        <v>10</v>
      </c>
      <c r="BW24" s="504">
        <f t="shared" si="16"/>
        <v>17</v>
      </c>
      <c r="BX24" s="505">
        <f t="shared" si="17"/>
        <v>0</v>
      </c>
      <c r="BY24" s="497">
        <f t="shared" si="18"/>
        <v>0</v>
      </c>
      <c r="BZ24" s="595">
        <f t="shared" si="19"/>
        <v>3</v>
      </c>
      <c r="CA24" s="537" t="s">
        <v>848</v>
      </c>
      <c r="CB24" s="568">
        <v>0</v>
      </c>
      <c r="CC24" s="605">
        <f t="shared" si="35"/>
        <v>0</v>
      </c>
      <c r="CD24" s="537">
        <v>2</v>
      </c>
      <c r="CE24" s="506" t="str">
        <f t="shared" si="36"/>
        <v>Excellent coverage</v>
      </c>
      <c r="CF24" s="492">
        <v>0</v>
      </c>
      <c r="CG24" s="538" t="s">
        <v>65</v>
      </c>
      <c r="CH24" s="580"/>
    </row>
    <row r="25" spans="2:86" s="40" customFormat="1" ht="30" customHeight="1" x14ac:dyDescent="0.2">
      <c r="B25" s="527" t="s">
        <v>110</v>
      </c>
      <c r="C25" s="488" t="s">
        <v>607</v>
      </c>
      <c r="D25" s="117" t="s">
        <v>264</v>
      </c>
      <c r="E25" s="488" t="s">
        <v>123</v>
      </c>
      <c r="F25" s="117">
        <v>96.341352999999998</v>
      </c>
      <c r="G25" s="117">
        <v>25.613894999999999</v>
      </c>
      <c r="H25" s="117" t="s">
        <v>509</v>
      </c>
      <c r="I25" s="117" t="s">
        <v>218</v>
      </c>
      <c r="J25" s="546">
        <v>55</v>
      </c>
      <c r="K25" s="546">
        <v>272</v>
      </c>
      <c r="L25" s="546">
        <v>272</v>
      </c>
      <c r="M25" s="490" t="str">
        <f t="shared" si="0"/>
        <v>2. Medium</v>
      </c>
      <c r="N25" s="528" t="s">
        <v>235</v>
      </c>
      <c r="O25" s="553" t="s">
        <v>235</v>
      </c>
      <c r="P25" s="545" t="str">
        <f t="shared" si="20"/>
        <v>Covered</v>
      </c>
      <c r="Q25" s="491" t="s">
        <v>708</v>
      </c>
      <c r="R25" s="489"/>
      <c r="S25" s="491"/>
      <c r="T25" s="528" t="s">
        <v>260</v>
      </c>
      <c r="U25" s="533" t="str">
        <f t="shared" si="21"/>
        <v>Documented</v>
      </c>
      <c r="V25" s="537">
        <v>0</v>
      </c>
      <c r="W25" s="492">
        <v>0</v>
      </c>
      <c r="X25" s="538" t="s">
        <v>19</v>
      </c>
      <c r="Y25" s="537">
        <v>2</v>
      </c>
      <c r="Z25" s="492">
        <v>0</v>
      </c>
      <c r="AA25" s="538">
        <v>3000</v>
      </c>
      <c r="AB25" s="567">
        <v>0</v>
      </c>
      <c r="AC25" s="568">
        <v>0</v>
      </c>
      <c r="AD25" s="574">
        <f t="shared" si="1"/>
        <v>1</v>
      </c>
      <c r="AE25" s="495">
        <f t="shared" si="22"/>
        <v>272</v>
      </c>
      <c r="AF25" s="496">
        <f t="shared" si="2"/>
        <v>1</v>
      </c>
      <c r="AG25" s="497">
        <f t="shared" si="23"/>
        <v>272</v>
      </c>
      <c r="AH25" s="494">
        <f t="shared" si="3"/>
        <v>1</v>
      </c>
      <c r="AI25" s="497">
        <f t="shared" si="24"/>
        <v>272</v>
      </c>
      <c r="AJ25" s="498" t="str">
        <f t="shared" si="4"/>
        <v>80-100%</v>
      </c>
      <c r="AK25" s="494">
        <f t="shared" si="5"/>
        <v>0</v>
      </c>
      <c r="AL25" s="499">
        <f t="shared" si="6"/>
        <v>0</v>
      </c>
      <c r="AM25" s="497">
        <f t="shared" si="7"/>
        <v>0</v>
      </c>
      <c r="AN25" s="497">
        <f t="shared" si="8"/>
        <v>0</v>
      </c>
      <c r="AO25" s="497">
        <f t="shared" si="25"/>
        <v>0</v>
      </c>
      <c r="AP25" s="568">
        <v>1</v>
      </c>
      <c r="AQ25" s="577">
        <f t="shared" si="26"/>
        <v>272</v>
      </c>
      <c r="AR25" s="581"/>
      <c r="AS25" s="537">
        <v>5</v>
      </c>
      <c r="AT25" s="492">
        <v>0</v>
      </c>
      <c r="AU25" s="492">
        <v>10</v>
      </c>
      <c r="AV25" s="492" t="s">
        <v>91</v>
      </c>
      <c r="AW25" s="500">
        <f t="shared" si="9"/>
        <v>0.73529411764705888</v>
      </c>
      <c r="AX25" s="497">
        <f t="shared" si="27"/>
        <v>200</v>
      </c>
      <c r="AY25" s="500">
        <f t="shared" si="10"/>
        <v>0</v>
      </c>
      <c r="AZ25" s="497">
        <f t="shared" si="28"/>
        <v>0</v>
      </c>
      <c r="BA25" s="500">
        <f t="shared" si="11"/>
        <v>0.73529411764705888</v>
      </c>
      <c r="BB25" s="497">
        <f t="shared" si="29"/>
        <v>200</v>
      </c>
      <c r="BC25" s="492">
        <v>0</v>
      </c>
      <c r="BD25" s="493">
        <v>1</v>
      </c>
      <c r="BE25" s="501">
        <f t="shared" si="12"/>
        <v>272</v>
      </c>
      <c r="BF25" s="502">
        <f t="shared" si="30"/>
        <v>3.5999999999999996</v>
      </c>
      <c r="BG25" s="492">
        <v>2</v>
      </c>
      <c r="BH25" s="492" t="s">
        <v>300</v>
      </c>
      <c r="BI25" s="500">
        <f t="shared" si="31"/>
        <v>0.73529411764705888</v>
      </c>
      <c r="BJ25" s="497">
        <f t="shared" si="32"/>
        <v>200</v>
      </c>
      <c r="BK25" s="502">
        <f t="shared" si="33"/>
        <v>0.7200000000000002</v>
      </c>
      <c r="BL25" s="493">
        <v>0.74</v>
      </c>
      <c r="BM25" s="497">
        <f t="shared" si="34"/>
        <v>201.28</v>
      </c>
      <c r="BN25" s="492">
        <v>3</v>
      </c>
      <c r="BO25" s="500">
        <f t="shared" si="13"/>
        <v>1</v>
      </c>
      <c r="BP25" s="502">
        <f t="shared" si="14"/>
        <v>0</v>
      </c>
      <c r="BQ25" s="568">
        <v>1</v>
      </c>
      <c r="BR25" s="580"/>
      <c r="BS25" s="594">
        <v>41817</v>
      </c>
      <c r="BT25" s="503">
        <f t="shared" si="15"/>
        <v>42182</v>
      </c>
      <c r="BU25" s="546">
        <v>55</v>
      </c>
      <c r="BV25" s="546">
        <v>2</v>
      </c>
      <c r="BW25" s="504">
        <f t="shared" si="16"/>
        <v>0</v>
      </c>
      <c r="BX25" s="505">
        <f t="shared" si="17"/>
        <v>1</v>
      </c>
      <c r="BY25" s="497">
        <f t="shared" si="18"/>
        <v>272</v>
      </c>
      <c r="BZ25" s="595">
        <f t="shared" si="19"/>
        <v>7</v>
      </c>
      <c r="CA25" s="537"/>
      <c r="CB25" s="568">
        <v>0</v>
      </c>
      <c r="CC25" s="605">
        <f t="shared" si="35"/>
        <v>0</v>
      </c>
      <c r="CD25" s="537">
        <v>0</v>
      </c>
      <c r="CE25" s="506" t="str">
        <f t="shared" si="36"/>
        <v>No coverage</v>
      </c>
      <c r="CF25" s="492">
        <v>0</v>
      </c>
      <c r="CG25" s="538" t="s">
        <v>302</v>
      </c>
      <c r="CH25" s="580" t="s">
        <v>921</v>
      </c>
    </row>
    <row r="26" spans="2:86" s="40" customFormat="1" ht="30" customHeight="1" x14ac:dyDescent="0.2">
      <c r="B26" s="527" t="s">
        <v>110</v>
      </c>
      <c r="C26" s="488" t="s">
        <v>608</v>
      </c>
      <c r="D26" s="117" t="s">
        <v>264</v>
      </c>
      <c r="E26" s="488" t="s">
        <v>124</v>
      </c>
      <c r="F26" s="117">
        <v>96.279200000000003</v>
      </c>
      <c r="G26" s="117">
        <v>25.56551</v>
      </c>
      <c r="H26" s="117" t="s">
        <v>509</v>
      </c>
      <c r="I26" s="117" t="s">
        <v>218</v>
      </c>
      <c r="J26" s="546">
        <v>11</v>
      </c>
      <c r="K26" s="546">
        <v>42</v>
      </c>
      <c r="L26" s="546">
        <v>42</v>
      </c>
      <c r="M26" s="490" t="str">
        <f t="shared" si="0"/>
        <v>1. Small</v>
      </c>
      <c r="N26" s="528" t="s">
        <v>284</v>
      </c>
      <c r="O26" s="553" t="s">
        <v>284</v>
      </c>
      <c r="P26" s="545" t="str">
        <f t="shared" si="20"/>
        <v>Covered</v>
      </c>
      <c r="Q26" s="491" t="s">
        <v>708</v>
      </c>
      <c r="R26" s="489"/>
      <c r="S26" s="491"/>
      <c r="T26" s="528" t="s">
        <v>260</v>
      </c>
      <c r="U26" s="533" t="str">
        <f t="shared" si="21"/>
        <v>Documented</v>
      </c>
      <c r="V26" s="537">
        <v>0</v>
      </c>
      <c r="W26" s="492">
        <v>0</v>
      </c>
      <c r="X26" s="538" t="s">
        <v>19</v>
      </c>
      <c r="Y26" s="537">
        <v>1</v>
      </c>
      <c r="Z26" s="492">
        <v>0</v>
      </c>
      <c r="AA26" s="538">
        <v>1600</v>
      </c>
      <c r="AB26" s="567">
        <v>0</v>
      </c>
      <c r="AC26" s="568">
        <v>0</v>
      </c>
      <c r="AD26" s="574">
        <f t="shared" si="1"/>
        <v>1</v>
      </c>
      <c r="AE26" s="495">
        <f t="shared" si="22"/>
        <v>42</v>
      </c>
      <c r="AF26" s="496">
        <f t="shared" si="2"/>
        <v>1</v>
      </c>
      <c r="AG26" s="497">
        <f t="shared" si="23"/>
        <v>42</v>
      </c>
      <c r="AH26" s="494">
        <f t="shared" si="3"/>
        <v>1</v>
      </c>
      <c r="AI26" s="497">
        <f t="shared" si="24"/>
        <v>42</v>
      </c>
      <c r="AJ26" s="498" t="str">
        <f t="shared" si="4"/>
        <v>80-100%</v>
      </c>
      <c r="AK26" s="494">
        <f t="shared" si="5"/>
        <v>0</v>
      </c>
      <c r="AL26" s="499">
        <f t="shared" si="6"/>
        <v>0</v>
      </c>
      <c r="AM26" s="497">
        <f t="shared" si="7"/>
        <v>0</v>
      </c>
      <c r="AN26" s="497">
        <f t="shared" si="8"/>
        <v>0</v>
      </c>
      <c r="AO26" s="497">
        <f t="shared" si="25"/>
        <v>0</v>
      </c>
      <c r="AP26" s="568">
        <v>1</v>
      </c>
      <c r="AQ26" s="577">
        <f t="shared" si="26"/>
        <v>42</v>
      </c>
      <c r="AR26" s="581"/>
      <c r="AS26" s="537">
        <v>1</v>
      </c>
      <c r="AT26" s="492">
        <v>2</v>
      </c>
      <c r="AU26" s="492">
        <v>2</v>
      </c>
      <c r="AV26" s="492" t="s">
        <v>91</v>
      </c>
      <c r="AW26" s="500">
        <f t="shared" si="9"/>
        <v>1</v>
      </c>
      <c r="AX26" s="497">
        <f t="shared" si="27"/>
        <v>42</v>
      </c>
      <c r="AY26" s="500">
        <f t="shared" si="10"/>
        <v>4.7619047619047672E-2</v>
      </c>
      <c r="AZ26" s="497">
        <f t="shared" si="28"/>
        <v>2.0000000000000022</v>
      </c>
      <c r="BA26" s="500">
        <f t="shared" si="11"/>
        <v>0.95238095238095233</v>
      </c>
      <c r="BB26" s="497">
        <f t="shared" si="29"/>
        <v>40</v>
      </c>
      <c r="BC26" s="492">
        <v>0</v>
      </c>
      <c r="BD26" s="493">
        <v>1</v>
      </c>
      <c r="BE26" s="501">
        <f t="shared" si="12"/>
        <v>42</v>
      </c>
      <c r="BF26" s="502">
        <f t="shared" si="30"/>
        <v>0.10000000000000009</v>
      </c>
      <c r="BG26" s="492">
        <v>2</v>
      </c>
      <c r="BH26" s="492" t="s">
        <v>91</v>
      </c>
      <c r="BI26" s="500">
        <f t="shared" si="31"/>
        <v>1</v>
      </c>
      <c r="BJ26" s="497">
        <f t="shared" si="32"/>
        <v>42</v>
      </c>
      <c r="BK26" s="502">
        <f t="shared" si="33"/>
        <v>0</v>
      </c>
      <c r="BL26" s="493">
        <v>1</v>
      </c>
      <c r="BM26" s="497">
        <f t="shared" si="34"/>
        <v>42</v>
      </c>
      <c r="BN26" s="492">
        <v>6</v>
      </c>
      <c r="BO26" s="500">
        <f t="shared" si="13"/>
        <v>1</v>
      </c>
      <c r="BP26" s="502">
        <f t="shared" si="14"/>
        <v>0</v>
      </c>
      <c r="BQ26" s="568">
        <v>1</v>
      </c>
      <c r="BR26" s="580"/>
      <c r="BS26" s="594">
        <v>41695</v>
      </c>
      <c r="BT26" s="503" t="str">
        <f t="shared" si="15"/>
        <v>To be realised</v>
      </c>
      <c r="BU26" s="546">
        <v>11</v>
      </c>
      <c r="BV26" s="546">
        <v>10</v>
      </c>
      <c r="BW26" s="504">
        <f t="shared" si="16"/>
        <v>11</v>
      </c>
      <c r="BX26" s="505">
        <f t="shared" si="17"/>
        <v>0</v>
      </c>
      <c r="BY26" s="497">
        <f t="shared" si="18"/>
        <v>0</v>
      </c>
      <c r="BZ26" s="595">
        <f t="shared" si="19"/>
        <v>3</v>
      </c>
      <c r="CA26" s="537" t="s">
        <v>848</v>
      </c>
      <c r="CB26" s="568">
        <v>0</v>
      </c>
      <c r="CC26" s="605">
        <f t="shared" si="35"/>
        <v>0</v>
      </c>
      <c r="CD26" s="537">
        <v>2</v>
      </c>
      <c r="CE26" s="506" t="str">
        <f t="shared" si="36"/>
        <v>Excellent coverage</v>
      </c>
      <c r="CF26" s="492">
        <v>0</v>
      </c>
      <c r="CG26" s="538" t="s">
        <v>65</v>
      </c>
      <c r="CH26" s="580"/>
    </row>
    <row r="27" spans="2:86" s="40" customFormat="1" ht="30" customHeight="1" x14ac:dyDescent="0.2">
      <c r="B27" s="527" t="s">
        <v>110</v>
      </c>
      <c r="C27" s="488" t="s">
        <v>609</v>
      </c>
      <c r="D27" s="117" t="s">
        <v>264</v>
      </c>
      <c r="E27" s="488" t="s">
        <v>125</v>
      </c>
      <c r="F27" s="117">
        <v>96.353030000000004</v>
      </c>
      <c r="G27" s="117">
        <v>25.668399999999998</v>
      </c>
      <c r="H27" s="117" t="s">
        <v>509</v>
      </c>
      <c r="I27" s="117" t="s">
        <v>218</v>
      </c>
      <c r="J27" s="546">
        <v>8</v>
      </c>
      <c r="K27" s="546">
        <v>40</v>
      </c>
      <c r="L27" s="546">
        <v>40</v>
      </c>
      <c r="M27" s="490" t="str">
        <f t="shared" si="0"/>
        <v>1. Small</v>
      </c>
      <c r="N27" s="528" t="s">
        <v>284</v>
      </c>
      <c r="O27" s="553" t="s">
        <v>284</v>
      </c>
      <c r="P27" s="545" t="str">
        <f t="shared" si="20"/>
        <v>Covered</v>
      </c>
      <c r="Q27" s="491" t="s">
        <v>708</v>
      </c>
      <c r="R27" s="489"/>
      <c r="S27" s="491"/>
      <c r="T27" s="528" t="s">
        <v>260</v>
      </c>
      <c r="U27" s="533" t="str">
        <f t="shared" si="21"/>
        <v>Documented</v>
      </c>
      <c r="V27" s="537">
        <v>0</v>
      </c>
      <c r="W27" s="492">
        <v>0</v>
      </c>
      <c r="X27" s="538" t="s">
        <v>19</v>
      </c>
      <c r="Y27" s="537">
        <v>0</v>
      </c>
      <c r="Z27" s="492">
        <v>0</v>
      </c>
      <c r="AA27" s="538">
        <v>3750</v>
      </c>
      <c r="AB27" s="567">
        <v>0</v>
      </c>
      <c r="AC27" s="568">
        <v>0</v>
      </c>
      <c r="AD27" s="574">
        <f t="shared" si="1"/>
        <v>1</v>
      </c>
      <c r="AE27" s="495">
        <f t="shared" si="22"/>
        <v>40</v>
      </c>
      <c r="AF27" s="496">
        <f t="shared" si="2"/>
        <v>1</v>
      </c>
      <c r="AG27" s="497">
        <f t="shared" si="23"/>
        <v>40</v>
      </c>
      <c r="AH27" s="494">
        <f t="shared" si="3"/>
        <v>1</v>
      </c>
      <c r="AI27" s="497">
        <f t="shared" si="24"/>
        <v>40</v>
      </c>
      <c r="AJ27" s="498" t="str">
        <f t="shared" si="4"/>
        <v>80-100%</v>
      </c>
      <c r="AK27" s="494">
        <f t="shared" si="5"/>
        <v>0</v>
      </c>
      <c r="AL27" s="499">
        <f t="shared" si="6"/>
        <v>0</v>
      </c>
      <c r="AM27" s="497">
        <f t="shared" si="7"/>
        <v>0.1</v>
      </c>
      <c r="AN27" s="497">
        <f t="shared" si="8"/>
        <v>0</v>
      </c>
      <c r="AO27" s="497">
        <f t="shared" si="25"/>
        <v>0</v>
      </c>
      <c r="AP27" s="568">
        <v>1</v>
      </c>
      <c r="AQ27" s="577">
        <f t="shared" si="26"/>
        <v>40</v>
      </c>
      <c r="AR27" s="581"/>
      <c r="AS27" s="537">
        <v>8</v>
      </c>
      <c r="AT27" s="492">
        <v>0</v>
      </c>
      <c r="AU27" s="492">
        <v>8</v>
      </c>
      <c r="AV27" s="492" t="s">
        <v>299</v>
      </c>
      <c r="AW27" s="500">
        <f t="shared" si="9"/>
        <v>1</v>
      </c>
      <c r="AX27" s="497">
        <f t="shared" si="27"/>
        <v>40</v>
      </c>
      <c r="AY27" s="500">
        <f t="shared" si="10"/>
        <v>0</v>
      </c>
      <c r="AZ27" s="497">
        <f t="shared" si="28"/>
        <v>0</v>
      </c>
      <c r="BA27" s="500">
        <f t="shared" si="11"/>
        <v>1</v>
      </c>
      <c r="BB27" s="497">
        <f t="shared" si="29"/>
        <v>40</v>
      </c>
      <c r="BC27" s="492">
        <v>0</v>
      </c>
      <c r="BD27" s="493">
        <v>1</v>
      </c>
      <c r="BE27" s="501">
        <f t="shared" si="12"/>
        <v>40</v>
      </c>
      <c r="BF27" s="502">
        <f t="shared" si="30"/>
        <v>0</v>
      </c>
      <c r="BG27" s="492">
        <v>2</v>
      </c>
      <c r="BH27" s="492" t="s">
        <v>91</v>
      </c>
      <c r="BI27" s="500">
        <f t="shared" si="31"/>
        <v>1</v>
      </c>
      <c r="BJ27" s="497">
        <f t="shared" si="32"/>
        <v>40</v>
      </c>
      <c r="BK27" s="502">
        <f t="shared" si="33"/>
        <v>0</v>
      </c>
      <c r="BL27" s="493">
        <v>1</v>
      </c>
      <c r="BM27" s="497">
        <f t="shared" si="34"/>
        <v>40</v>
      </c>
      <c r="BN27" s="492">
        <v>2</v>
      </c>
      <c r="BO27" s="500">
        <f t="shared" si="13"/>
        <v>1</v>
      </c>
      <c r="BP27" s="502">
        <f t="shared" si="14"/>
        <v>0</v>
      </c>
      <c r="BQ27" s="568">
        <v>1</v>
      </c>
      <c r="BR27" s="580"/>
      <c r="BS27" s="594">
        <v>41695</v>
      </c>
      <c r="BT27" s="503" t="str">
        <f t="shared" si="15"/>
        <v>To be realised</v>
      </c>
      <c r="BU27" s="546">
        <v>8</v>
      </c>
      <c r="BV27" s="546">
        <v>10</v>
      </c>
      <c r="BW27" s="504">
        <f t="shared" si="16"/>
        <v>8</v>
      </c>
      <c r="BX27" s="505">
        <f t="shared" si="17"/>
        <v>0</v>
      </c>
      <c r="BY27" s="497">
        <f t="shared" si="18"/>
        <v>0</v>
      </c>
      <c r="BZ27" s="595">
        <f t="shared" si="19"/>
        <v>3</v>
      </c>
      <c r="CA27" s="537" t="s">
        <v>848</v>
      </c>
      <c r="CB27" s="568">
        <v>0</v>
      </c>
      <c r="CC27" s="605">
        <f t="shared" si="35"/>
        <v>0</v>
      </c>
      <c r="CD27" s="537">
        <v>2</v>
      </c>
      <c r="CE27" s="506" t="str">
        <f t="shared" si="36"/>
        <v>Excellent coverage</v>
      </c>
      <c r="CF27" s="492">
        <v>0</v>
      </c>
      <c r="CG27" s="538" t="s">
        <v>65</v>
      </c>
      <c r="CH27" s="580"/>
    </row>
    <row r="28" spans="2:86" s="40" customFormat="1" ht="30" customHeight="1" x14ac:dyDescent="0.2">
      <c r="B28" s="527" t="s">
        <v>110</v>
      </c>
      <c r="C28" s="488" t="s">
        <v>610</v>
      </c>
      <c r="D28" s="117" t="s">
        <v>264</v>
      </c>
      <c r="E28" s="488" t="s">
        <v>126</v>
      </c>
      <c r="F28" s="117">
        <v>96.286680000000004</v>
      </c>
      <c r="G28" s="117">
        <v>25.577559999999998</v>
      </c>
      <c r="H28" s="117" t="s">
        <v>509</v>
      </c>
      <c r="I28" s="117" t="s">
        <v>218</v>
      </c>
      <c r="J28" s="546">
        <v>40</v>
      </c>
      <c r="K28" s="546">
        <v>190</v>
      </c>
      <c r="L28" s="546">
        <v>190</v>
      </c>
      <c r="M28" s="490" t="str">
        <f t="shared" si="0"/>
        <v>1. Small</v>
      </c>
      <c r="N28" s="528" t="s">
        <v>284</v>
      </c>
      <c r="O28" s="553" t="s">
        <v>284</v>
      </c>
      <c r="P28" s="545" t="str">
        <f t="shared" si="20"/>
        <v>Covered</v>
      </c>
      <c r="Q28" s="491" t="s">
        <v>708</v>
      </c>
      <c r="R28" s="489"/>
      <c r="S28" s="491"/>
      <c r="T28" s="528" t="s">
        <v>260</v>
      </c>
      <c r="U28" s="533" t="str">
        <f t="shared" si="21"/>
        <v>Documented</v>
      </c>
      <c r="V28" s="537">
        <v>0</v>
      </c>
      <c r="W28" s="492">
        <v>0</v>
      </c>
      <c r="X28" s="538" t="s">
        <v>19</v>
      </c>
      <c r="Y28" s="537">
        <v>1</v>
      </c>
      <c r="Z28" s="492">
        <v>0</v>
      </c>
      <c r="AA28" s="538">
        <v>4800</v>
      </c>
      <c r="AB28" s="567">
        <v>0</v>
      </c>
      <c r="AC28" s="568">
        <v>0</v>
      </c>
      <c r="AD28" s="574">
        <f t="shared" si="1"/>
        <v>1</v>
      </c>
      <c r="AE28" s="495">
        <f t="shared" si="22"/>
        <v>190</v>
      </c>
      <c r="AF28" s="496">
        <f t="shared" si="2"/>
        <v>1</v>
      </c>
      <c r="AG28" s="497">
        <f t="shared" si="23"/>
        <v>190</v>
      </c>
      <c r="AH28" s="494">
        <f t="shared" si="3"/>
        <v>1</v>
      </c>
      <c r="AI28" s="497">
        <f t="shared" si="24"/>
        <v>190</v>
      </c>
      <c r="AJ28" s="498" t="str">
        <f t="shared" si="4"/>
        <v>80-100%</v>
      </c>
      <c r="AK28" s="494">
        <f t="shared" si="5"/>
        <v>0</v>
      </c>
      <c r="AL28" s="499">
        <f t="shared" si="6"/>
        <v>0</v>
      </c>
      <c r="AM28" s="497">
        <f t="shared" si="7"/>
        <v>0</v>
      </c>
      <c r="AN28" s="497">
        <f t="shared" si="8"/>
        <v>0</v>
      </c>
      <c r="AO28" s="497">
        <f t="shared" si="25"/>
        <v>0</v>
      </c>
      <c r="AP28" s="568">
        <v>1</v>
      </c>
      <c r="AQ28" s="577">
        <f t="shared" si="26"/>
        <v>190</v>
      </c>
      <c r="AR28" s="581"/>
      <c r="AS28" s="537">
        <v>9</v>
      </c>
      <c r="AT28" s="492">
        <v>5</v>
      </c>
      <c r="AU28" s="492">
        <v>4</v>
      </c>
      <c r="AV28" s="492" t="s">
        <v>91</v>
      </c>
      <c r="AW28" s="500">
        <f t="shared" si="9"/>
        <v>0.94736842105263153</v>
      </c>
      <c r="AX28" s="497">
        <f t="shared" si="27"/>
        <v>180</v>
      </c>
      <c r="AY28" s="500">
        <f t="shared" si="10"/>
        <v>0.52631578947368418</v>
      </c>
      <c r="AZ28" s="497">
        <f t="shared" si="28"/>
        <v>100</v>
      </c>
      <c r="BA28" s="500">
        <f t="shared" si="11"/>
        <v>0.42105263157894735</v>
      </c>
      <c r="BB28" s="497">
        <f t="shared" si="29"/>
        <v>80</v>
      </c>
      <c r="BC28" s="492">
        <v>0</v>
      </c>
      <c r="BD28" s="493">
        <v>0.95</v>
      </c>
      <c r="BE28" s="501">
        <f t="shared" si="12"/>
        <v>180.5</v>
      </c>
      <c r="BF28" s="502">
        <f t="shared" si="30"/>
        <v>5.5</v>
      </c>
      <c r="BG28" s="492">
        <v>3</v>
      </c>
      <c r="BH28" s="492" t="s">
        <v>91</v>
      </c>
      <c r="BI28" s="500">
        <f t="shared" si="31"/>
        <v>1</v>
      </c>
      <c r="BJ28" s="497">
        <f t="shared" si="32"/>
        <v>190</v>
      </c>
      <c r="BK28" s="502">
        <f t="shared" si="33"/>
        <v>0</v>
      </c>
      <c r="BL28" s="493">
        <v>1</v>
      </c>
      <c r="BM28" s="497">
        <f t="shared" si="34"/>
        <v>190</v>
      </c>
      <c r="BN28" s="492">
        <v>3</v>
      </c>
      <c r="BO28" s="500">
        <f t="shared" si="13"/>
        <v>1</v>
      </c>
      <c r="BP28" s="502">
        <f t="shared" si="14"/>
        <v>0</v>
      </c>
      <c r="BQ28" s="568">
        <v>1</v>
      </c>
      <c r="BR28" s="580" t="s">
        <v>865</v>
      </c>
      <c r="BS28" s="594">
        <v>41695</v>
      </c>
      <c r="BT28" s="503" t="str">
        <f t="shared" si="15"/>
        <v>To be realised</v>
      </c>
      <c r="BU28" s="546">
        <v>40</v>
      </c>
      <c r="BV28" s="546">
        <v>10</v>
      </c>
      <c r="BW28" s="504">
        <f t="shared" si="16"/>
        <v>40</v>
      </c>
      <c r="BX28" s="505">
        <f t="shared" si="17"/>
        <v>0</v>
      </c>
      <c r="BY28" s="497">
        <f t="shared" si="18"/>
        <v>0</v>
      </c>
      <c r="BZ28" s="595">
        <f t="shared" si="19"/>
        <v>3</v>
      </c>
      <c r="CA28" s="537" t="s">
        <v>848</v>
      </c>
      <c r="CB28" s="568">
        <v>0</v>
      </c>
      <c r="CC28" s="605">
        <f t="shared" si="35"/>
        <v>0</v>
      </c>
      <c r="CD28" s="537">
        <v>2</v>
      </c>
      <c r="CE28" s="506" t="str">
        <f t="shared" si="36"/>
        <v>Excellent coverage</v>
      </c>
      <c r="CF28" s="492">
        <v>0</v>
      </c>
      <c r="CG28" s="538" t="s">
        <v>65</v>
      </c>
      <c r="CH28" s="580"/>
    </row>
    <row r="29" spans="2:86" s="40" customFormat="1" ht="30" customHeight="1" x14ac:dyDescent="0.2">
      <c r="B29" s="527" t="s">
        <v>110</v>
      </c>
      <c r="C29" s="488" t="s">
        <v>611</v>
      </c>
      <c r="D29" s="117" t="s">
        <v>264</v>
      </c>
      <c r="E29" s="488" t="s">
        <v>127</v>
      </c>
      <c r="F29" s="117">
        <v>96.306910999999999</v>
      </c>
      <c r="G29" s="117">
        <v>25.599250000000001</v>
      </c>
      <c r="H29" s="117" t="s">
        <v>509</v>
      </c>
      <c r="I29" s="117" t="s">
        <v>218</v>
      </c>
      <c r="J29" s="546">
        <v>22</v>
      </c>
      <c r="K29" s="546">
        <v>80</v>
      </c>
      <c r="L29" s="546">
        <v>80</v>
      </c>
      <c r="M29" s="490" t="str">
        <f t="shared" si="0"/>
        <v>1. Small</v>
      </c>
      <c r="N29" s="528" t="s">
        <v>284</v>
      </c>
      <c r="O29" s="553" t="s">
        <v>284</v>
      </c>
      <c r="P29" s="545" t="str">
        <f t="shared" si="20"/>
        <v>Covered</v>
      </c>
      <c r="Q29" s="491" t="s">
        <v>708</v>
      </c>
      <c r="R29" s="489"/>
      <c r="S29" s="491"/>
      <c r="T29" s="528" t="s">
        <v>260</v>
      </c>
      <c r="U29" s="533" t="str">
        <f t="shared" si="21"/>
        <v>Documented</v>
      </c>
      <c r="V29" s="537">
        <v>0</v>
      </c>
      <c r="W29" s="492">
        <v>0</v>
      </c>
      <c r="X29" s="538" t="s">
        <v>19</v>
      </c>
      <c r="Y29" s="537">
        <v>0</v>
      </c>
      <c r="Z29" s="492">
        <v>0</v>
      </c>
      <c r="AA29" s="538">
        <v>5600</v>
      </c>
      <c r="AB29" s="567">
        <v>0</v>
      </c>
      <c r="AC29" s="568">
        <v>0</v>
      </c>
      <c r="AD29" s="574">
        <f t="shared" si="1"/>
        <v>1</v>
      </c>
      <c r="AE29" s="495">
        <f t="shared" si="22"/>
        <v>80</v>
      </c>
      <c r="AF29" s="496">
        <f t="shared" si="2"/>
        <v>1</v>
      </c>
      <c r="AG29" s="497">
        <f t="shared" si="23"/>
        <v>80</v>
      </c>
      <c r="AH29" s="494">
        <f t="shared" si="3"/>
        <v>1</v>
      </c>
      <c r="AI29" s="497">
        <f t="shared" si="24"/>
        <v>80</v>
      </c>
      <c r="AJ29" s="498" t="str">
        <f t="shared" si="4"/>
        <v>80-100%</v>
      </c>
      <c r="AK29" s="494">
        <f t="shared" si="5"/>
        <v>0</v>
      </c>
      <c r="AL29" s="499">
        <f t="shared" si="6"/>
        <v>0</v>
      </c>
      <c r="AM29" s="497">
        <f t="shared" si="7"/>
        <v>0.2</v>
      </c>
      <c r="AN29" s="497">
        <f t="shared" si="8"/>
        <v>0</v>
      </c>
      <c r="AO29" s="497">
        <f t="shared" si="25"/>
        <v>0</v>
      </c>
      <c r="AP29" s="568">
        <v>1</v>
      </c>
      <c r="AQ29" s="577">
        <f t="shared" si="26"/>
        <v>80</v>
      </c>
      <c r="AR29" s="581"/>
      <c r="AS29" s="537">
        <v>6</v>
      </c>
      <c r="AT29" s="492">
        <v>3</v>
      </c>
      <c r="AU29" s="492">
        <v>1</v>
      </c>
      <c r="AV29" s="492" t="s">
        <v>299</v>
      </c>
      <c r="AW29" s="500">
        <f t="shared" si="9"/>
        <v>1</v>
      </c>
      <c r="AX29" s="497">
        <f t="shared" si="27"/>
        <v>80</v>
      </c>
      <c r="AY29" s="500">
        <f t="shared" si="10"/>
        <v>0.75</v>
      </c>
      <c r="AZ29" s="497">
        <f t="shared" si="28"/>
        <v>60</v>
      </c>
      <c r="BA29" s="500">
        <f t="shared" si="11"/>
        <v>0.25</v>
      </c>
      <c r="BB29" s="497">
        <f t="shared" si="29"/>
        <v>20</v>
      </c>
      <c r="BC29" s="492">
        <v>0</v>
      </c>
      <c r="BD29" s="493">
        <v>1</v>
      </c>
      <c r="BE29" s="501">
        <f t="shared" si="12"/>
        <v>80</v>
      </c>
      <c r="BF29" s="502">
        <f t="shared" si="30"/>
        <v>3</v>
      </c>
      <c r="BG29" s="492">
        <v>2</v>
      </c>
      <c r="BH29" s="492" t="s">
        <v>300</v>
      </c>
      <c r="BI29" s="500">
        <f t="shared" si="31"/>
        <v>1</v>
      </c>
      <c r="BJ29" s="497">
        <f t="shared" si="32"/>
        <v>80</v>
      </c>
      <c r="BK29" s="502">
        <f t="shared" si="33"/>
        <v>0</v>
      </c>
      <c r="BL29" s="493">
        <v>1</v>
      </c>
      <c r="BM29" s="497">
        <f t="shared" si="34"/>
        <v>80</v>
      </c>
      <c r="BN29" s="492">
        <v>3</v>
      </c>
      <c r="BO29" s="500">
        <f t="shared" si="13"/>
        <v>1</v>
      </c>
      <c r="BP29" s="502">
        <f t="shared" si="14"/>
        <v>0</v>
      </c>
      <c r="BQ29" s="568">
        <v>1</v>
      </c>
      <c r="BR29" s="580" t="s">
        <v>840</v>
      </c>
      <c r="BS29" s="594">
        <v>41695</v>
      </c>
      <c r="BT29" s="503" t="str">
        <f t="shared" si="15"/>
        <v>To be realised</v>
      </c>
      <c r="BU29" s="546">
        <v>22</v>
      </c>
      <c r="BV29" s="546">
        <v>10</v>
      </c>
      <c r="BW29" s="504">
        <f t="shared" si="16"/>
        <v>22</v>
      </c>
      <c r="BX29" s="505">
        <f t="shared" si="17"/>
        <v>0</v>
      </c>
      <c r="BY29" s="497">
        <f t="shared" si="18"/>
        <v>0</v>
      </c>
      <c r="BZ29" s="595">
        <f t="shared" si="19"/>
        <v>3</v>
      </c>
      <c r="CA29" s="537" t="s">
        <v>848</v>
      </c>
      <c r="CB29" s="568">
        <v>0</v>
      </c>
      <c r="CC29" s="605">
        <f t="shared" si="35"/>
        <v>0</v>
      </c>
      <c r="CD29" s="537">
        <v>2</v>
      </c>
      <c r="CE29" s="506" t="str">
        <f t="shared" si="36"/>
        <v>Excellent coverage</v>
      </c>
      <c r="CF29" s="492">
        <v>0</v>
      </c>
      <c r="CG29" s="538" t="s">
        <v>65</v>
      </c>
      <c r="CH29" s="580"/>
    </row>
    <row r="30" spans="2:86" s="40" customFormat="1" ht="30" customHeight="1" x14ac:dyDescent="0.2">
      <c r="B30" s="527" t="s">
        <v>128</v>
      </c>
      <c r="C30" s="488" t="s">
        <v>612</v>
      </c>
      <c r="D30" s="117" t="s">
        <v>323</v>
      </c>
      <c r="E30" s="488" t="s">
        <v>129</v>
      </c>
      <c r="F30" s="117">
        <v>98.144502500000002</v>
      </c>
      <c r="G30" s="117">
        <v>26.890058</v>
      </c>
      <c r="H30" s="117" t="s">
        <v>509</v>
      </c>
      <c r="I30" s="117" t="s">
        <v>218</v>
      </c>
      <c r="J30" s="546">
        <v>11</v>
      </c>
      <c r="K30" s="546">
        <v>17</v>
      </c>
      <c r="L30" s="546">
        <v>17</v>
      </c>
      <c r="M30" s="490" t="str">
        <f t="shared" si="0"/>
        <v>1. Small</v>
      </c>
      <c r="N30" s="528"/>
      <c r="O30" s="553" t="s">
        <v>309</v>
      </c>
      <c r="P30" s="545" t="str">
        <f t="shared" si="20"/>
        <v>Not covered</v>
      </c>
      <c r="Q30" s="491"/>
      <c r="R30" s="489"/>
      <c r="S30" s="491"/>
      <c r="T30" s="528" t="s">
        <v>262</v>
      </c>
      <c r="U30" s="533" t="str">
        <f t="shared" si="21"/>
        <v>Not documented</v>
      </c>
      <c r="V30" s="537">
        <v>0</v>
      </c>
      <c r="W30" s="492">
        <v>0</v>
      </c>
      <c r="X30" s="538" t="s">
        <v>19</v>
      </c>
      <c r="Y30" s="537">
        <v>0</v>
      </c>
      <c r="Z30" s="492">
        <v>0</v>
      </c>
      <c r="AA30" s="538">
        <v>0</v>
      </c>
      <c r="AB30" s="567">
        <v>0</v>
      </c>
      <c r="AC30" s="568">
        <v>0</v>
      </c>
      <c r="AD30" s="574">
        <f t="shared" si="1"/>
        <v>0</v>
      </c>
      <c r="AE30" s="495">
        <f t="shared" si="22"/>
        <v>0</v>
      </c>
      <c r="AF30" s="496">
        <f t="shared" si="2"/>
        <v>0</v>
      </c>
      <c r="AG30" s="497">
        <f t="shared" si="23"/>
        <v>0</v>
      </c>
      <c r="AH30" s="494">
        <f t="shared" si="3"/>
        <v>0</v>
      </c>
      <c r="AI30" s="497">
        <f t="shared" si="24"/>
        <v>0</v>
      </c>
      <c r="AJ30" s="498" t="str">
        <f t="shared" si="4"/>
        <v>0-10%</v>
      </c>
      <c r="AK30" s="494">
        <f t="shared" si="5"/>
        <v>0</v>
      </c>
      <c r="AL30" s="499">
        <f t="shared" si="6"/>
        <v>0</v>
      </c>
      <c r="AM30" s="497">
        <f t="shared" si="7"/>
        <v>4.2500000000000003E-2</v>
      </c>
      <c r="AN30" s="497">
        <f t="shared" si="8"/>
        <v>0</v>
      </c>
      <c r="AO30" s="497">
        <f t="shared" si="25"/>
        <v>0</v>
      </c>
      <c r="AP30" s="568">
        <v>0</v>
      </c>
      <c r="AQ30" s="577">
        <f t="shared" si="26"/>
        <v>0</v>
      </c>
      <c r="AR30" s="581" t="s">
        <v>806</v>
      </c>
      <c r="AS30" s="537">
        <v>0</v>
      </c>
      <c r="AT30" s="492">
        <v>0</v>
      </c>
      <c r="AU30" s="492">
        <v>0</v>
      </c>
      <c r="AV30" s="492" t="s">
        <v>91</v>
      </c>
      <c r="AW30" s="500">
        <f t="shared" si="9"/>
        <v>0</v>
      </c>
      <c r="AX30" s="497">
        <f t="shared" si="27"/>
        <v>0</v>
      </c>
      <c r="AY30" s="500">
        <f t="shared" si="10"/>
        <v>0</v>
      </c>
      <c r="AZ30" s="497">
        <f t="shared" si="28"/>
        <v>0</v>
      </c>
      <c r="BA30" s="500">
        <f t="shared" si="11"/>
        <v>0</v>
      </c>
      <c r="BB30" s="497">
        <f t="shared" si="29"/>
        <v>0</v>
      </c>
      <c r="BC30" s="492">
        <v>0</v>
      </c>
      <c r="BD30" s="493">
        <v>0</v>
      </c>
      <c r="BE30" s="501">
        <f t="shared" si="12"/>
        <v>0</v>
      </c>
      <c r="BF30" s="502">
        <f t="shared" si="30"/>
        <v>0.85</v>
      </c>
      <c r="BG30" s="492">
        <v>0</v>
      </c>
      <c r="BH30" s="492" t="s">
        <v>91</v>
      </c>
      <c r="BI30" s="500">
        <f t="shared" si="31"/>
        <v>0</v>
      </c>
      <c r="BJ30" s="497">
        <f t="shared" si="32"/>
        <v>0</v>
      </c>
      <c r="BK30" s="502">
        <f t="shared" si="33"/>
        <v>0.17</v>
      </c>
      <c r="BL30" s="493">
        <v>0</v>
      </c>
      <c r="BM30" s="497">
        <f t="shared" si="34"/>
        <v>0</v>
      </c>
      <c r="BN30" s="492">
        <v>0</v>
      </c>
      <c r="BO30" s="500">
        <f t="shared" si="13"/>
        <v>0</v>
      </c>
      <c r="BP30" s="502">
        <f t="shared" si="14"/>
        <v>0.17</v>
      </c>
      <c r="BQ30" s="568">
        <v>0</v>
      </c>
      <c r="BR30" s="580" t="s">
        <v>808</v>
      </c>
      <c r="BS30" s="594"/>
      <c r="BT30" s="503" t="str">
        <f t="shared" si="15"/>
        <v>To be realised</v>
      </c>
      <c r="BU30" s="546">
        <v>0</v>
      </c>
      <c r="BV30" s="546">
        <v>0</v>
      </c>
      <c r="BW30" s="504">
        <f t="shared" si="16"/>
        <v>11</v>
      </c>
      <c r="BX30" s="505">
        <f t="shared" si="17"/>
        <v>0</v>
      </c>
      <c r="BY30" s="497">
        <f t="shared" si="18"/>
        <v>0</v>
      </c>
      <c r="BZ30" s="595" t="str">
        <f t="shared" si="19"/>
        <v>Column BN to be completed</v>
      </c>
      <c r="CA30" s="537"/>
      <c r="CB30" s="568">
        <v>0</v>
      </c>
      <c r="CC30" s="605">
        <f t="shared" si="35"/>
        <v>0</v>
      </c>
      <c r="CD30" s="537">
        <v>0</v>
      </c>
      <c r="CE30" s="506" t="str">
        <f t="shared" si="36"/>
        <v>No coverage</v>
      </c>
      <c r="CF30" s="492">
        <v>0</v>
      </c>
      <c r="CG30" s="538" t="s">
        <v>543</v>
      </c>
      <c r="CH30" s="580" t="s">
        <v>866</v>
      </c>
    </row>
    <row r="31" spans="2:86" s="40" customFormat="1" ht="30" customHeight="1" x14ac:dyDescent="0.2">
      <c r="B31" s="527" t="s">
        <v>326</v>
      </c>
      <c r="C31" s="488" t="s">
        <v>621</v>
      </c>
      <c r="D31" s="117" t="s">
        <v>323</v>
      </c>
      <c r="E31" s="488" t="s">
        <v>327</v>
      </c>
      <c r="F31" s="117">
        <v>97.589449999999999</v>
      </c>
      <c r="G31" s="117">
        <v>27.273710000000001</v>
      </c>
      <c r="H31" s="117" t="s">
        <v>509</v>
      </c>
      <c r="I31" s="117" t="s">
        <v>218</v>
      </c>
      <c r="J31" s="546">
        <v>8</v>
      </c>
      <c r="K31" s="546">
        <v>35</v>
      </c>
      <c r="L31" s="546">
        <v>35</v>
      </c>
      <c r="M31" s="490" t="str">
        <f t="shared" si="0"/>
        <v>1. Small</v>
      </c>
      <c r="N31" s="528" t="s">
        <v>239</v>
      </c>
      <c r="O31" s="553" t="s">
        <v>239</v>
      </c>
      <c r="P31" s="545" t="str">
        <f t="shared" si="20"/>
        <v>Covered</v>
      </c>
      <c r="Q31" s="491" t="s">
        <v>708</v>
      </c>
      <c r="R31" s="489"/>
      <c r="S31" s="491"/>
      <c r="T31" s="528" t="s">
        <v>260</v>
      </c>
      <c r="U31" s="533" t="str">
        <f t="shared" si="21"/>
        <v>Documented</v>
      </c>
      <c r="V31" s="537">
        <v>0</v>
      </c>
      <c r="W31" s="492">
        <v>0</v>
      </c>
      <c r="X31" s="538" t="s">
        <v>19</v>
      </c>
      <c r="Y31" s="537">
        <v>0</v>
      </c>
      <c r="Z31" s="492">
        <v>0</v>
      </c>
      <c r="AA31" s="538">
        <v>3000</v>
      </c>
      <c r="AB31" s="567">
        <v>0</v>
      </c>
      <c r="AC31" s="568">
        <v>0</v>
      </c>
      <c r="AD31" s="574">
        <f t="shared" si="1"/>
        <v>1</v>
      </c>
      <c r="AE31" s="495">
        <f t="shared" si="22"/>
        <v>35</v>
      </c>
      <c r="AF31" s="496">
        <f t="shared" si="2"/>
        <v>1</v>
      </c>
      <c r="AG31" s="497">
        <f t="shared" si="23"/>
        <v>35</v>
      </c>
      <c r="AH31" s="494">
        <f t="shared" si="3"/>
        <v>1</v>
      </c>
      <c r="AI31" s="497">
        <f t="shared" si="24"/>
        <v>35</v>
      </c>
      <c r="AJ31" s="498" t="str">
        <f t="shared" si="4"/>
        <v>80-100%</v>
      </c>
      <c r="AK31" s="494">
        <f t="shared" si="5"/>
        <v>0</v>
      </c>
      <c r="AL31" s="499">
        <f t="shared" si="6"/>
        <v>0</v>
      </c>
      <c r="AM31" s="497">
        <f t="shared" si="7"/>
        <v>8.7499999999999994E-2</v>
      </c>
      <c r="AN31" s="497">
        <f t="shared" si="8"/>
        <v>0</v>
      </c>
      <c r="AO31" s="497">
        <f t="shared" si="25"/>
        <v>0</v>
      </c>
      <c r="AP31" s="568">
        <v>1</v>
      </c>
      <c r="AQ31" s="577">
        <f t="shared" si="26"/>
        <v>35</v>
      </c>
      <c r="AR31" s="581" t="s">
        <v>834</v>
      </c>
      <c r="AS31" s="537">
        <v>1</v>
      </c>
      <c r="AT31" s="492">
        <v>1</v>
      </c>
      <c r="AU31" s="492">
        <v>0</v>
      </c>
      <c r="AV31" s="492" t="s">
        <v>91</v>
      </c>
      <c r="AW31" s="500">
        <f t="shared" si="9"/>
        <v>0.5714285714285714</v>
      </c>
      <c r="AX31" s="497">
        <f t="shared" si="27"/>
        <v>20</v>
      </c>
      <c r="AY31" s="500">
        <f t="shared" si="10"/>
        <v>0.5714285714285714</v>
      </c>
      <c r="AZ31" s="497">
        <f t="shared" si="28"/>
        <v>20</v>
      </c>
      <c r="BA31" s="500">
        <f t="shared" si="11"/>
        <v>0</v>
      </c>
      <c r="BB31" s="497">
        <f t="shared" si="29"/>
        <v>0</v>
      </c>
      <c r="BC31" s="492">
        <v>0</v>
      </c>
      <c r="BD31" s="493">
        <v>0.56999999999999995</v>
      </c>
      <c r="BE31" s="501">
        <f t="shared" si="12"/>
        <v>19.95</v>
      </c>
      <c r="BF31" s="502">
        <f t="shared" si="30"/>
        <v>1.75</v>
      </c>
      <c r="BG31" s="492">
        <v>0</v>
      </c>
      <c r="BH31" s="492" t="s">
        <v>91</v>
      </c>
      <c r="BI31" s="500">
        <f t="shared" si="31"/>
        <v>0</v>
      </c>
      <c r="BJ31" s="497">
        <f t="shared" si="32"/>
        <v>0</v>
      </c>
      <c r="BK31" s="502">
        <f t="shared" si="33"/>
        <v>0.35</v>
      </c>
      <c r="BL31" s="493">
        <v>0</v>
      </c>
      <c r="BM31" s="497">
        <f t="shared" si="34"/>
        <v>0</v>
      </c>
      <c r="BN31" s="492">
        <v>0</v>
      </c>
      <c r="BO31" s="500">
        <f t="shared" si="13"/>
        <v>0</v>
      </c>
      <c r="BP31" s="502">
        <f t="shared" si="14"/>
        <v>0.35</v>
      </c>
      <c r="BQ31" s="568">
        <v>0</v>
      </c>
      <c r="BR31" s="580"/>
      <c r="BS31" s="594"/>
      <c r="BT31" s="503" t="str">
        <f t="shared" si="15"/>
        <v>To be realised</v>
      </c>
      <c r="BU31" s="546">
        <v>0</v>
      </c>
      <c r="BV31" s="546">
        <v>0</v>
      </c>
      <c r="BW31" s="504">
        <f t="shared" si="16"/>
        <v>8</v>
      </c>
      <c r="BX31" s="505">
        <f t="shared" si="17"/>
        <v>0</v>
      </c>
      <c r="BY31" s="497">
        <f t="shared" si="18"/>
        <v>0</v>
      </c>
      <c r="BZ31" s="595" t="str">
        <f t="shared" si="19"/>
        <v>Column BN to be completed</v>
      </c>
      <c r="CA31" s="537"/>
      <c r="CB31" s="568">
        <v>0</v>
      </c>
      <c r="CC31" s="605">
        <f t="shared" si="35"/>
        <v>0</v>
      </c>
      <c r="CD31" s="537">
        <v>0</v>
      </c>
      <c r="CE31" s="506" t="str">
        <f t="shared" si="36"/>
        <v>No coverage</v>
      </c>
      <c r="CF31" s="492">
        <v>0</v>
      </c>
      <c r="CG31" s="538" t="s">
        <v>543</v>
      </c>
      <c r="CH31" s="580" t="s">
        <v>866</v>
      </c>
    </row>
    <row r="32" spans="2:86" s="40" customFormat="1" ht="30" customHeight="1" x14ac:dyDescent="0.2">
      <c r="B32" s="527" t="s">
        <v>225</v>
      </c>
      <c r="C32" s="488" t="s">
        <v>632</v>
      </c>
      <c r="D32" s="117" t="s">
        <v>266</v>
      </c>
      <c r="E32" s="488" t="s">
        <v>130</v>
      </c>
      <c r="F32" s="117">
        <v>96.922619999999995</v>
      </c>
      <c r="G32" s="117">
        <v>25.305669999999999</v>
      </c>
      <c r="H32" s="117" t="s">
        <v>509</v>
      </c>
      <c r="I32" s="117" t="s">
        <v>218</v>
      </c>
      <c r="J32" s="546">
        <v>17</v>
      </c>
      <c r="K32" s="546">
        <v>69</v>
      </c>
      <c r="L32" s="546">
        <v>69</v>
      </c>
      <c r="M32" s="490" t="str">
        <f t="shared" si="0"/>
        <v>1. Small</v>
      </c>
      <c r="N32" s="528" t="s">
        <v>239</v>
      </c>
      <c r="O32" s="553" t="s">
        <v>239</v>
      </c>
      <c r="P32" s="545" t="str">
        <f t="shared" si="20"/>
        <v>Covered</v>
      </c>
      <c r="Q32" s="491">
        <v>42185</v>
      </c>
      <c r="R32" s="489" t="s">
        <v>240</v>
      </c>
      <c r="S32" s="491">
        <v>42185</v>
      </c>
      <c r="T32" s="528" t="s">
        <v>260</v>
      </c>
      <c r="U32" s="533" t="str">
        <f t="shared" si="21"/>
        <v>Documented</v>
      </c>
      <c r="V32" s="537">
        <v>0</v>
      </c>
      <c r="W32" s="492">
        <v>0</v>
      </c>
      <c r="X32" s="538" t="s">
        <v>19</v>
      </c>
      <c r="Y32" s="537">
        <v>0</v>
      </c>
      <c r="Z32" s="492">
        <v>2</v>
      </c>
      <c r="AA32" s="538">
        <v>3600</v>
      </c>
      <c r="AB32" s="567">
        <v>0</v>
      </c>
      <c r="AC32" s="568">
        <v>1</v>
      </c>
      <c r="AD32" s="574">
        <f t="shared" si="1"/>
        <v>1</v>
      </c>
      <c r="AE32" s="495">
        <f t="shared" si="22"/>
        <v>69</v>
      </c>
      <c r="AF32" s="496">
        <f t="shared" si="2"/>
        <v>1</v>
      </c>
      <c r="AG32" s="497">
        <f t="shared" si="23"/>
        <v>69</v>
      </c>
      <c r="AH32" s="494">
        <f t="shared" si="3"/>
        <v>1</v>
      </c>
      <c r="AI32" s="497">
        <f t="shared" si="24"/>
        <v>69</v>
      </c>
      <c r="AJ32" s="498" t="str">
        <f t="shared" si="4"/>
        <v>80-100%</v>
      </c>
      <c r="AK32" s="494">
        <f t="shared" si="5"/>
        <v>0</v>
      </c>
      <c r="AL32" s="499">
        <f t="shared" si="6"/>
        <v>0</v>
      </c>
      <c r="AM32" s="497">
        <f t="shared" si="7"/>
        <v>0</v>
      </c>
      <c r="AN32" s="497">
        <f t="shared" si="8"/>
        <v>17</v>
      </c>
      <c r="AO32" s="497">
        <f t="shared" si="25"/>
        <v>0</v>
      </c>
      <c r="AP32" s="568">
        <v>1</v>
      </c>
      <c r="AQ32" s="577">
        <f t="shared" si="26"/>
        <v>69</v>
      </c>
      <c r="AR32" s="581"/>
      <c r="AS32" s="537">
        <v>0</v>
      </c>
      <c r="AT32" s="492">
        <v>0</v>
      </c>
      <c r="AU32" s="492">
        <v>6</v>
      </c>
      <c r="AV32" s="492" t="s">
        <v>299</v>
      </c>
      <c r="AW32" s="500">
        <f t="shared" si="9"/>
        <v>1</v>
      </c>
      <c r="AX32" s="497">
        <f t="shared" si="27"/>
        <v>69</v>
      </c>
      <c r="AY32" s="500">
        <f t="shared" si="10"/>
        <v>0</v>
      </c>
      <c r="AZ32" s="497">
        <f t="shared" si="28"/>
        <v>0</v>
      </c>
      <c r="BA32" s="500">
        <f t="shared" si="11"/>
        <v>1</v>
      </c>
      <c r="BB32" s="497">
        <f t="shared" si="29"/>
        <v>69</v>
      </c>
      <c r="BC32" s="492">
        <v>0</v>
      </c>
      <c r="BD32" s="493">
        <v>1</v>
      </c>
      <c r="BE32" s="501">
        <f t="shared" si="12"/>
        <v>69</v>
      </c>
      <c r="BF32" s="502">
        <f t="shared" si="30"/>
        <v>0</v>
      </c>
      <c r="BG32" s="492">
        <v>2</v>
      </c>
      <c r="BH32" s="492" t="s">
        <v>300</v>
      </c>
      <c r="BI32" s="500">
        <f t="shared" si="31"/>
        <v>1</v>
      </c>
      <c r="BJ32" s="497">
        <f t="shared" si="32"/>
        <v>69</v>
      </c>
      <c r="BK32" s="502">
        <f t="shared" si="33"/>
        <v>0</v>
      </c>
      <c r="BL32" s="493">
        <v>1</v>
      </c>
      <c r="BM32" s="497">
        <f t="shared" si="34"/>
        <v>69</v>
      </c>
      <c r="BN32" s="492">
        <v>6</v>
      </c>
      <c r="BO32" s="500">
        <f t="shared" si="13"/>
        <v>1</v>
      </c>
      <c r="BP32" s="502">
        <f t="shared" si="14"/>
        <v>0</v>
      </c>
      <c r="BQ32" s="568">
        <v>1</v>
      </c>
      <c r="BR32" s="580"/>
      <c r="BS32" s="594">
        <v>42053</v>
      </c>
      <c r="BT32" s="503">
        <f t="shared" si="15"/>
        <v>42418</v>
      </c>
      <c r="BU32" s="546">
        <v>17</v>
      </c>
      <c r="BV32" s="546">
        <v>3</v>
      </c>
      <c r="BW32" s="504">
        <f t="shared" si="16"/>
        <v>0</v>
      </c>
      <c r="BX32" s="505">
        <f t="shared" si="17"/>
        <v>1</v>
      </c>
      <c r="BY32" s="497">
        <f t="shared" si="18"/>
        <v>69</v>
      </c>
      <c r="BZ32" s="595">
        <f t="shared" si="19"/>
        <v>0</v>
      </c>
      <c r="CA32" s="537"/>
      <c r="CB32" s="568">
        <v>0.8</v>
      </c>
      <c r="CC32" s="605">
        <f t="shared" si="35"/>
        <v>55.2</v>
      </c>
      <c r="CD32" s="537">
        <v>1</v>
      </c>
      <c r="CE32" s="506" t="str">
        <f t="shared" si="36"/>
        <v>Excellent coverage</v>
      </c>
      <c r="CF32" s="492">
        <v>0</v>
      </c>
      <c r="CG32" s="538" t="s">
        <v>302</v>
      </c>
      <c r="CH32" s="580"/>
    </row>
    <row r="33" spans="2:86" s="40" customFormat="1" ht="30" customHeight="1" x14ac:dyDescent="0.2">
      <c r="B33" s="527" t="s">
        <v>225</v>
      </c>
      <c r="C33" s="488" t="s">
        <v>630</v>
      </c>
      <c r="D33" s="117" t="s">
        <v>266</v>
      </c>
      <c r="E33" s="488" t="s">
        <v>131</v>
      </c>
      <c r="F33" s="117">
        <v>96.942279999999997</v>
      </c>
      <c r="G33" s="117">
        <v>25.296579999999999</v>
      </c>
      <c r="H33" s="117" t="s">
        <v>509</v>
      </c>
      <c r="I33" s="117" t="s">
        <v>218</v>
      </c>
      <c r="J33" s="546">
        <v>12</v>
      </c>
      <c r="K33" s="546">
        <v>48</v>
      </c>
      <c r="L33" s="546">
        <v>48</v>
      </c>
      <c r="M33" s="490" t="str">
        <f t="shared" si="0"/>
        <v>1. Small</v>
      </c>
      <c r="N33" s="528" t="s">
        <v>239</v>
      </c>
      <c r="O33" s="553" t="s">
        <v>239</v>
      </c>
      <c r="P33" s="545" t="str">
        <f t="shared" si="20"/>
        <v>Covered</v>
      </c>
      <c r="Q33" s="491">
        <v>42185</v>
      </c>
      <c r="R33" s="489" t="s">
        <v>240</v>
      </c>
      <c r="S33" s="491">
        <v>42185</v>
      </c>
      <c r="T33" s="528" t="s">
        <v>260</v>
      </c>
      <c r="U33" s="533" t="str">
        <f t="shared" si="21"/>
        <v>Documented</v>
      </c>
      <c r="V33" s="537">
        <v>0</v>
      </c>
      <c r="W33" s="492">
        <v>0</v>
      </c>
      <c r="X33" s="538" t="s">
        <v>19</v>
      </c>
      <c r="Y33" s="537">
        <v>0</v>
      </c>
      <c r="Z33" s="492">
        <v>2</v>
      </c>
      <c r="AA33" s="538">
        <v>3600</v>
      </c>
      <c r="AB33" s="567">
        <v>0</v>
      </c>
      <c r="AC33" s="568">
        <v>1</v>
      </c>
      <c r="AD33" s="574">
        <f t="shared" si="1"/>
        <v>1</v>
      </c>
      <c r="AE33" s="495">
        <f t="shared" si="22"/>
        <v>48</v>
      </c>
      <c r="AF33" s="496">
        <f t="shared" si="2"/>
        <v>1</v>
      </c>
      <c r="AG33" s="497">
        <f t="shared" si="23"/>
        <v>48</v>
      </c>
      <c r="AH33" s="494">
        <f t="shared" si="3"/>
        <v>1</v>
      </c>
      <c r="AI33" s="497">
        <f t="shared" si="24"/>
        <v>48</v>
      </c>
      <c r="AJ33" s="498" t="str">
        <f t="shared" si="4"/>
        <v>80-100%</v>
      </c>
      <c r="AK33" s="494">
        <f t="shared" si="5"/>
        <v>0</v>
      </c>
      <c r="AL33" s="499">
        <f t="shared" si="6"/>
        <v>0</v>
      </c>
      <c r="AM33" s="497">
        <f t="shared" si="7"/>
        <v>0</v>
      </c>
      <c r="AN33" s="497">
        <f t="shared" si="8"/>
        <v>12</v>
      </c>
      <c r="AO33" s="497">
        <f t="shared" si="25"/>
        <v>0</v>
      </c>
      <c r="AP33" s="568">
        <v>1</v>
      </c>
      <c r="AQ33" s="577">
        <f t="shared" si="26"/>
        <v>48</v>
      </c>
      <c r="AR33" s="581"/>
      <c r="AS33" s="537">
        <v>0</v>
      </c>
      <c r="AT33" s="492">
        <v>0</v>
      </c>
      <c r="AU33" s="492">
        <v>4</v>
      </c>
      <c r="AV33" s="492" t="s">
        <v>299</v>
      </c>
      <c r="AW33" s="500">
        <f t="shared" si="9"/>
        <v>1</v>
      </c>
      <c r="AX33" s="497">
        <f t="shared" si="27"/>
        <v>48</v>
      </c>
      <c r="AY33" s="500">
        <f t="shared" si="10"/>
        <v>0</v>
      </c>
      <c r="AZ33" s="497">
        <f t="shared" si="28"/>
        <v>0</v>
      </c>
      <c r="BA33" s="500">
        <f t="shared" si="11"/>
        <v>1</v>
      </c>
      <c r="BB33" s="497">
        <f t="shared" si="29"/>
        <v>48</v>
      </c>
      <c r="BC33" s="492">
        <v>0</v>
      </c>
      <c r="BD33" s="493">
        <v>1</v>
      </c>
      <c r="BE33" s="501">
        <f t="shared" si="12"/>
        <v>48</v>
      </c>
      <c r="BF33" s="502">
        <f t="shared" si="30"/>
        <v>0</v>
      </c>
      <c r="BG33" s="492">
        <v>2</v>
      </c>
      <c r="BH33" s="492" t="s">
        <v>91</v>
      </c>
      <c r="BI33" s="500">
        <f t="shared" si="31"/>
        <v>1</v>
      </c>
      <c r="BJ33" s="497">
        <f t="shared" si="32"/>
        <v>48</v>
      </c>
      <c r="BK33" s="502">
        <f t="shared" si="33"/>
        <v>0</v>
      </c>
      <c r="BL33" s="493">
        <v>1</v>
      </c>
      <c r="BM33" s="497">
        <f t="shared" si="34"/>
        <v>48</v>
      </c>
      <c r="BN33" s="492">
        <v>3</v>
      </c>
      <c r="BO33" s="500">
        <f t="shared" si="13"/>
        <v>1</v>
      </c>
      <c r="BP33" s="502">
        <f t="shared" si="14"/>
        <v>0</v>
      </c>
      <c r="BQ33" s="568">
        <v>1</v>
      </c>
      <c r="BR33" s="580"/>
      <c r="BS33" s="594">
        <v>42053</v>
      </c>
      <c r="BT33" s="503">
        <f t="shared" si="15"/>
        <v>42418</v>
      </c>
      <c r="BU33" s="546">
        <v>12</v>
      </c>
      <c r="BV33" s="546">
        <v>3</v>
      </c>
      <c r="BW33" s="504">
        <f t="shared" si="16"/>
        <v>0</v>
      </c>
      <c r="BX33" s="505">
        <f t="shared" si="17"/>
        <v>1</v>
      </c>
      <c r="BY33" s="497">
        <f t="shared" si="18"/>
        <v>48</v>
      </c>
      <c r="BZ33" s="595">
        <f t="shared" si="19"/>
        <v>0</v>
      </c>
      <c r="CA33" s="537"/>
      <c r="CB33" s="568">
        <v>0.8</v>
      </c>
      <c r="CC33" s="605">
        <f t="shared" si="35"/>
        <v>38.400000000000006</v>
      </c>
      <c r="CD33" s="537">
        <v>1</v>
      </c>
      <c r="CE33" s="506" t="str">
        <f t="shared" si="36"/>
        <v>Excellent coverage</v>
      </c>
      <c r="CF33" s="492">
        <v>0</v>
      </c>
      <c r="CG33" s="538" t="s">
        <v>302</v>
      </c>
      <c r="CH33" s="580"/>
    </row>
    <row r="34" spans="2:86" s="40" customFormat="1" ht="30" customHeight="1" x14ac:dyDescent="0.2">
      <c r="B34" s="527" t="s">
        <v>225</v>
      </c>
      <c r="C34" s="488" t="s">
        <v>631</v>
      </c>
      <c r="D34" s="117" t="s">
        <v>266</v>
      </c>
      <c r="E34" s="488" t="s">
        <v>132</v>
      </c>
      <c r="F34" s="117">
        <v>96.948740000000001</v>
      </c>
      <c r="G34" s="117">
        <v>25.30442</v>
      </c>
      <c r="H34" s="117" t="s">
        <v>509</v>
      </c>
      <c r="I34" s="117" t="s">
        <v>218</v>
      </c>
      <c r="J34" s="546">
        <v>15</v>
      </c>
      <c r="K34" s="546">
        <v>47</v>
      </c>
      <c r="L34" s="546">
        <v>47</v>
      </c>
      <c r="M34" s="490" t="str">
        <f t="shared" si="0"/>
        <v>1. Small</v>
      </c>
      <c r="N34" s="528" t="s">
        <v>239</v>
      </c>
      <c r="O34" s="553" t="s">
        <v>239</v>
      </c>
      <c r="P34" s="545" t="str">
        <f t="shared" si="20"/>
        <v>Covered</v>
      </c>
      <c r="Q34" s="491">
        <v>42185</v>
      </c>
      <c r="R34" s="489" t="s">
        <v>240</v>
      </c>
      <c r="S34" s="491">
        <v>42185</v>
      </c>
      <c r="T34" s="528" t="s">
        <v>260</v>
      </c>
      <c r="U34" s="533" t="str">
        <f t="shared" si="21"/>
        <v>Documented</v>
      </c>
      <c r="V34" s="537">
        <v>0</v>
      </c>
      <c r="W34" s="492">
        <v>0</v>
      </c>
      <c r="X34" s="538" t="s">
        <v>19</v>
      </c>
      <c r="Y34" s="537">
        <v>1</v>
      </c>
      <c r="Z34" s="492">
        <v>2</v>
      </c>
      <c r="AA34" s="538">
        <v>3600</v>
      </c>
      <c r="AB34" s="567">
        <v>0</v>
      </c>
      <c r="AC34" s="568">
        <v>1</v>
      </c>
      <c r="AD34" s="574">
        <f t="shared" si="1"/>
        <v>1</v>
      </c>
      <c r="AE34" s="495">
        <f t="shared" si="22"/>
        <v>47</v>
      </c>
      <c r="AF34" s="496">
        <f t="shared" si="2"/>
        <v>1</v>
      </c>
      <c r="AG34" s="497">
        <f t="shared" si="23"/>
        <v>47</v>
      </c>
      <c r="AH34" s="494">
        <f t="shared" si="3"/>
        <v>1</v>
      </c>
      <c r="AI34" s="497">
        <f t="shared" si="24"/>
        <v>47</v>
      </c>
      <c r="AJ34" s="498" t="str">
        <f t="shared" si="4"/>
        <v>80-100%</v>
      </c>
      <c r="AK34" s="494">
        <f t="shared" si="5"/>
        <v>0</v>
      </c>
      <c r="AL34" s="499">
        <f t="shared" si="6"/>
        <v>0</v>
      </c>
      <c r="AM34" s="497">
        <f t="shared" si="7"/>
        <v>0</v>
      </c>
      <c r="AN34" s="497">
        <f t="shared" si="8"/>
        <v>15</v>
      </c>
      <c r="AO34" s="497">
        <f t="shared" si="25"/>
        <v>0</v>
      </c>
      <c r="AP34" s="568">
        <v>1</v>
      </c>
      <c r="AQ34" s="577">
        <f t="shared" si="26"/>
        <v>47</v>
      </c>
      <c r="AR34" s="581"/>
      <c r="AS34" s="537">
        <v>0</v>
      </c>
      <c r="AT34" s="492">
        <v>0</v>
      </c>
      <c r="AU34" s="492">
        <v>3</v>
      </c>
      <c r="AV34" s="492" t="s">
        <v>299</v>
      </c>
      <c r="AW34" s="500">
        <f t="shared" si="9"/>
        <v>1</v>
      </c>
      <c r="AX34" s="497">
        <f t="shared" si="27"/>
        <v>47</v>
      </c>
      <c r="AY34" s="500">
        <f t="shared" si="10"/>
        <v>0</v>
      </c>
      <c r="AZ34" s="497">
        <f t="shared" si="28"/>
        <v>0</v>
      </c>
      <c r="BA34" s="500">
        <f t="shared" si="11"/>
        <v>1</v>
      </c>
      <c r="BB34" s="497">
        <f t="shared" si="29"/>
        <v>47</v>
      </c>
      <c r="BC34" s="492">
        <v>0</v>
      </c>
      <c r="BD34" s="493">
        <v>1</v>
      </c>
      <c r="BE34" s="501">
        <f t="shared" si="12"/>
        <v>47</v>
      </c>
      <c r="BF34" s="502">
        <f t="shared" si="30"/>
        <v>0</v>
      </c>
      <c r="BG34" s="492">
        <v>2</v>
      </c>
      <c r="BH34" s="492" t="s">
        <v>300</v>
      </c>
      <c r="BI34" s="500">
        <f t="shared" si="31"/>
        <v>1</v>
      </c>
      <c r="BJ34" s="497">
        <f t="shared" si="32"/>
        <v>47</v>
      </c>
      <c r="BK34" s="502">
        <f t="shared" si="33"/>
        <v>0</v>
      </c>
      <c r="BL34" s="493">
        <v>1</v>
      </c>
      <c r="BM34" s="497">
        <f t="shared" si="34"/>
        <v>47</v>
      </c>
      <c r="BN34" s="492">
        <v>6</v>
      </c>
      <c r="BO34" s="500">
        <f t="shared" si="13"/>
        <v>1</v>
      </c>
      <c r="BP34" s="502">
        <f t="shared" si="14"/>
        <v>0</v>
      </c>
      <c r="BQ34" s="568">
        <v>1</v>
      </c>
      <c r="BR34" s="580"/>
      <c r="BS34" s="594">
        <v>42053</v>
      </c>
      <c r="BT34" s="503">
        <f t="shared" si="15"/>
        <v>42418</v>
      </c>
      <c r="BU34" s="546">
        <v>15</v>
      </c>
      <c r="BV34" s="546">
        <v>3</v>
      </c>
      <c r="BW34" s="504">
        <f t="shared" si="16"/>
        <v>0</v>
      </c>
      <c r="BX34" s="505">
        <f t="shared" si="17"/>
        <v>1</v>
      </c>
      <c r="BY34" s="497">
        <f t="shared" si="18"/>
        <v>47</v>
      </c>
      <c r="BZ34" s="595">
        <f t="shared" si="19"/>
        <v>0</v>
      </c>
      <c r="CA34" s="537"/>
      <c r="CB34" s="568">
        <v>0.8</v>
      </c>
      <c r="CC34" s="605">
        <f t="shared" si="35"/>
        <v>37.6</v>
      </c>
      <c r="CD34" s="537">
        <v>1</v>
      </c>
      <c r="CE34" s="506" t="str">
        <f t="shared" si="36"/>
        <v>Excellent coverage</v>
      </c>
      <c r="CF34" s="492">
        <v>0</v>
      </c>
      <c r="CG34" s="538" t="s">
        <v>302</v>
      </c>
      <c r="CH34" s="580"/>
    </row>
    <row r="35" spans="2:86" s="40" customFormat="1" ht="30" customHeight="1" x14ac:dyDescent="0.2">
      <c r="B35" s="527" t="s">
        <v>133</v>
      </c>
      <c r="C35" s="488" t="s">
        <v>634</v>
      </c>
      <c r="D35" s="117" t="s">
        <v>266</v>
      </c>
      <c r="E35" s="488" t="s">
        <v>324</v>
      </c>
      <c r="F35" s="117">
        <v>96.364949999999993</v>
      </c>
      <c r="G35" s="117">
        <v>24.998349999999999</v>
      </c>
      <c r="H35" s="117" t="s">
        <v>509</v>
      </c>
      <c r="I35" s="117" t="s">
        <v>218</v>
      </c>
      <c r="J35" s="546">
        <v>19</v>
      </c>
      <c r="K35" s="546">
        <v>84</v>
      </c>
      <c r="L35" s="546">
        <v>104</v>
      </c>
      <c r="M35" s="490" t="str">
        <f t="shared" si="0"/>
        <v>1. Small</v>
      </c>
      <c r="N35" s="528" t="s">
        <v>239</v>
      </c>
      <c r="O35" s="553" t="s">
        <v>239</v>
      </c>
      <c r="P35" s="545" t="str">
        <f t="shared" si="20"/>
        <v>Covered</v>
      </c>
      <c r="Q35" s="491">
        <v>42185</v>
      </c>
      <c r="R35" s="489" t="s">
        <v>240</v>
      </c>
      <c r="S35" s="491">
        <v>42185</v>
      </c>
      <c r="T35" s="528" t="s">
        <v>260</v>
      </c>
      <c r="U35" s="533" t="str">
        <f t="shared" si="21"/>
        <v>Documented</v>
      </c>
      <c r="V35" s="537">
        <v>0</v>
      </c>
      <c r="W35" s="492">
        <v>0</v>
      </c>
      <c r="X35" s="538" t="s">
        <v>19</v>
      </c>
      <c r="Y35" s="537">
        <v>0</v>
      </c>
      <c r="Z35" s="492">
        <v>1</v>
      </c>
      <c r="AA35" s="538">
        <v>7200</v>
      </c>
      <c r="AB35" s="567">
        <v>0</v>
      </c>
      <c r="AC35" s="568">
        <v>1</v>
      </c>
      <c r="AD35" s="574">
        <f t="shared" si="1"/>
        <v>1</v>
      </c>
      <c r="AE35" s="495">
        <f t="shared" si="22"/>
        <v>104</v>
      </c>
      <c r="AF35" s="496">
        <f t="shared" si="2"/>
        <v>1</v>
      </c>
      <c r="AG35" s="497">
        <f t="shared" si="23"/>
        <v>104</v>
      </c>
      <c r="AH35" s="494">
        <f t="shared" si="3"/>
        <v>1</v>
      </c>
      <c r="AI35" s="497">
        <f t="shared" si="24"/>
        <v>104</v>
      </c>
      <c r="AJ35" s="498" t="str">
        <f t="shared" si="4"/>
        <v>80-100%</v>
      </c>
      <c r="AK35" s="494">
        <f t="shared" si="5"/>
        <v>0</v>
      </c>
      <c r="AL35" s="499">
        <f t="shared" si="6"/>
        <v>0</v>
      </c>
      <c r="AM35" s="497">
        <f t="shared" si="7"/>
        <v>0</v>
      </c>
      <c r="AN35" s="497">
        <f t="shared" si="8"/>
        <v>19</v>
      </c>
      <c r="AO35" s="497">
        <f t="shared" si="25"/>
        <v>0</v>
      </c>
      <c r="AP35" s="568">
        <v>1</v>
      </c>
      <c r="AQ35" s="577">
        <f t="shared" si="26"/>
        <v>104</v>
      </c>
      <c r="AR35" s="581"/>
      <c r="AS35" s="537">
        <v>0</v>
      </c>
      <c r="AT35" s="492">
        <v>0</v>
      </c>
      <c r="AU35" s="492">
        <v>5</v>
      </c>
      <c r="AV35" s="492" t="s">
        <v>299</v>
      </c>
      <c r="AW35" s="500">
        <f t="shared" si="9"/>
        <v>0.96153846153846156</v>
      </c>
      <c r="AX35" s="497">
        <f t="shared" si="27"/>
        <v>100</v>
      </c>
      <c r="AY35" s="500">
        <f t="shared" si="10"/>
        <v>0</v>
      </c>
      <c r="AZ35" s="497">
        <f t="shared" si="28"/>
        <v>0</v>
      </c>
      <c r="BA35" s="500">
        <f t="shared" si="11"/>
        <v>0.96153846153846156</v>
      </c>
      <c r="BB35" s="497">
        <f t="shared" si="29"/>
        <v>100</v>
      </c>
      <c r="BC35" s="492">
        <v>0</v>
      </c>
      <c r="BD35" s="493">
        <v>0.96</v>
      </c>
      <c r="BE35" s="501">
        <f t="shared" si="12"/>
        <v>99.84</v>
      </c>
      <c r="BF35" s="502">
        <f t="shared" si="30"/>
        <v>0.20000000000000018</v>
      </c>
      <c r="BG35" s="492">
        <v>2</v>
      </c>
      <c r="BH35" s="492" t="s">
        <v>300</v>
      </c>
      <c r="BI35" s="500">
        <f t="shared" si="31"/>
        <v>1</v>
      </c>
      <c r="BJ35" s="497">
        <f t="shared" si="32"/>
        <v>104</v>
      </c>
      <c r="BK35" s="502">
        <f t="shared" si="33"/>
        <v>0</v>
      </c>
      <c r="BL35" s="493">
        <v>1</v>
      </c>
      <c r="BM35" s="497">
        <f t="shared" si="34"/>
        <v>104</v>
      </c>
      <c r="BN35" s="492">
        <v>2</v>
      </c>
      <c r="BO35" s="500">
        <f t="shared" si="13"/>
        <v>1</v>
      </c>
      <c r="BP35" s="502">
        <f t="shared" si="14"/>
        <v>0</v>
      </c>
      <c r="BQ35" s="568">
        <v>1</v>
      </c>
      <c r="BR35" s="580" t="s">
        <v>906</v>
      </c>
      <c r="BS35" s="594">
        <v>42053</v>
      </c>
      <c r="BT35" s="503">
        <f t="shared" si="15"/>
        <v>42418</v>
      </c>
      <c r="BU35" s="546">
        <v>19</v>
      </c>
      <c r="BV35" s="546">
        <v>3</v>
      </c>
      <c r="BW35" s="504">
        <f t="shared" si="16"/>
        <v>0</v>
      </c>
      <c r="BX35" s="505">
        <f t="shared" si="17"/>
        <v>1</v>
      </c>
      <c r="BY35" s="497">
        <f t="shared" si="18"/>
        <v>104</v>
      </c>
      <c r="BZ35" s="595">
        <f t="shared" si="19"/>
        <v>0</v>
      </c>
      <c r="CA35" s="537"/>
      <c r="CB35" s="568">
        <v>0.8</v>
      </c>
      <c r="CC35" s="605">
        <f t="shared" si="35"/>
        <v>83.2</v>
      </c>
      <c r="CD35" s="537">
        <v>1</v>
      </c>
      <c r="CE35" s="506" t="str">
        <f t="shared" si="36"/>
        <v>Excellent coverage</v>
      </c>
      <c r="CF35" s="492">
        <v>0</v>
      </c>
      <c r="CG35" s="538" t="s">
        <v>302</v>
      </c>
      <c r="CH35" s="580"/>
    </row>
    <row r="36" spans="2:86" s="40" customFormat="1" ht="30" customHeight="1" x14ac:dyDescent="0.2">
      <c r="B36" s="527" t="s">
        <v>133</v>
      </c>
      <c r="C36" s="488" t="s">
        <v>633</v>
      </c>
      <c r="D36" s="117" t="s">
        <v>266</v>
      </c>
      <c r="E36" s="488" t="s">
        <v>134</v>
      </c>
      <c r="F36" s="117">
        <v>96.367059999999995</v>
      </c>
      <c r="G36" s="117">
        <v>24.764800000000001</v>
      </c>
      <c r="H36" s="117" t="s">
        <v>509</v>
      </c>
      <c r="I36" s="117" t="s">
        <v>218</v>
      </c>
      <c r="J36" s="546">
        <v>12</v>
      </c>
      <c r="K36" s="546">
        <v>51</v>
      </c>
      <c r="L36" s="546">
        <v>51</v>
      </c>
      <c r="M36" s="490" t="str">
        <f t="shared" si="0"/>
        <v>1. Small</v>
      </c>
      <c r="N36" s="528" t="s">
        <v>235</v>
      </c>
      <c r="O36" s="553" t="s">
        <v>235</v>
      </c>
      <c r="P36" s="545" t="str">
        <f t="shared" si="20"/>
        <v>Covered</v>
      </c>
      <c r="Q36" s="491" t="s">
        <v>708</v>
      </c>
      <c r="R36" s="489"/>
      <c r="S36" s="491"/>
      <c r="T36" s="528" t="s">
        <v>260</v>
      </c>
      <c r="U36" s="533" t="str">
        <f t="shared" si="21"/>
        <v>Documented</v>
      </c>
      <c r="V36" s="537">
        <v>0</v>
      </c>
      <c r="W36" s="492">
        <v>0</v>
      </c>
      <c r="X36" s="538" t="s">
        <v>19</v>
      </c>
      <c r="Y36" s="537">
        <v>1</v>
      </c>
      <c r="Z36" s="492">
        <v>0</v>
      </c>
      <c r="AA36" s="538">
        <v>3000</v>
      </c>
      <c r="AB36" s="567">
        <v>0</v>
      </c>
      <c r="AC36" s="568">
        <v>0</v>
      </c>
      <c r="AD36" s="574">
        <f t="shared" si="1"/>
        <v>1</v>
      </c>
      <c r="AE36" s="495">
        <f t="shared" si="22"/>
        <v>51</v>
      </c>
      <c r="AF36" s="496">
        <f t="shared" si="2"/>
        <v>1</v>
      </c>
      <c r="AG36" s="497">
        <f t="shared" si="23"/>
        <v>51</v>
      </c>
      <c r="AH36" s="494">
        <f t="shared" si="3"/>
        <v>1</v>
      </c>
      <c r="AI36" s="497">
        <f t="shared" si="24"/>
        <v>51</v>
      </c>
      <c r="AJ36" s="498" t="str">
        <f t="shared" si="4"/>
        <v>80-100%</v>
      </c>
      <c r="AK36" s="494">
        <f t="shared" si="5"/>
        <v>0</v>
      </c>
      <c r="AL36" s="499">
        <f t="shared" si="6"/>
        <v>0</v>
      </c>
      <c r="AM36" s="497">
        <f t="shared" si="7"/>
        <v>0</v>
      </c>
      <c r="AN36" s="497">
        <f t="shared" si="8"/>
        <v>0</v>
      </c>
      <c r="AO36" s="497">
        <f t="shared" si="25"/>
        <v>0</v>
      </c>
      <c r="AP36" s="568">
        <v>1</v>
      </c>
      <c r="AQ36" s="577">
        <f t="shared" si="26"/>
        <v>51</v>
      </c>
      <c r="AR36" s="581"/>
      <c r="AS36" s="537">
        <v>11</v>
      </c>
      <c r="AT36" s="492">
        <v>0</v>
      </c>
      <c r="AU36" s="492">
        <v>3</v>
      </c>
      <c r="AV36" s="492" t="s">
        <v>300</v>
      </c>
      <c r="AW36" s="500">
        <f t="shared" si="9"/>
        <v>1</v>
      </c>
      <c r="AX36" s="497">
        <f t="shared" si="27"/>
        <v>51</v>
      </c>
      <c r="AY36" s="500">
        <f t="shared" si="10"/>
        <v>0</v>
      </c>
      <c r="AZ36" s="497">
        <f t="shared" si="28"/>
        <v>0</v>
      </c>
      <c r="BA36" s="500">
        <f t="shared" si="11"/>
        <v>1</v>
      </c>
      <c r="BB36" s="497">
        <f t="shared" si="29"/>
        <v>51</v>
      </c>
      <c r="BC36" s="492">
        <v>0</v>
      </c>
      <c r="BD36" s="493">
        <v>1</v>
      </c>
      <c r="BE36" s="501">
        <f t="shared" si="12"/>
        <v>51</v>
      </c>
      <c r="BF36" s="502">
        <f t="shared" si="30"/>
        <v>0</v>
      </c>
      <c r="BG36" s="492">
        <v>2</v>
      </c>
      <c r="BH36" s="492" t="s">
        <v>300</v>
      </c>
      <c r="BI36" s="500">
        <f t="shared" si="31"/>
        <v>1</v>
      </c>
      <c r="BJ36" s="497">
        <f t="shared" si="32"/>
        <v>51</v>
      </c>
      <c r="BK36" s="502">
        <f t="shared" si="33"/>
        <v>0</v>
      </c>
      <c r="BL36" s="493">
        <v>1</v>
      </c>
      <c r="BM36" s="497">
        <f t="shared" si="34"/>
        <v>51</v>
      </c>
      <c r="BN36" s="492">
        <v>1</v>
      </c>
      <c r="BO36" s="500">
        <f t="shared" si="13"/>
        <v>1</v>
      </c>
      <c r="BP36" s="502">
        <f t="shared" si="14"/>
        <v>0</v>
      </c>
      <c r="BQ36" s="568">
        <v>1</v>
      </c>
      <c r="BR36" s="580"/>
      <c r="BS36" s="594">
        <v>41817</v>
      </c>
      <c r="BT36" s="503">
        <f t="shared" si="15"/>
        <v>42182</v>
      </c>
      <c r="BU36" s="546">
        <v>12</v>
      </c>
      <c r="BV36" s="546">
        <v>2</v>
      </c>
      <c r="BW36" s="504">
        <f t="shared" si="16"/>
        <v>0</v>
      </c>
      <c r="BX36" s="505">
        <f t="shared" si="17"/>
        <v>1</v>
      </c>
      <c r="BY36" s="497">
        <f t="shared" si="18"/>
        <v>51</v>
      </c>
      <c r="BZ36" s="595">
        <f t="shared" si="19"/>
        <v>7</v>
      </c>
      <c r="CA36" s="537"/>
      <c r="CB36" s="568">
        <v>0</v>
      </c>
      <c r="CC36" s="605">
        <f t="shared" si="35"/>
        <v>0</v>
      </c>
      <c r="CD36" s="537">
        <v>0</v>
      </c>
      <c r="CE36" s="506" t="str">
        <f t="shared" si="36"/>
        <v>No coverage</v>
      </c>
      <c r="CF36" s="492">
        <v>0</v>
      </c>
      <c r="CG36" s="538" t="s">
        <v>302</v>
      </c>
      <c r="CH36" s="580"/>
    </row>
    <row r="37" spans="2:86" s="40" customFormat="1" ht="30" customHeight="1" x14ac:dyDescent="0.2">
      <c r="B37" s="527" t="s">
        <v>188</v>
      </c>
      <c r="C37" s="488" t="s">
        <v>635</v>
      </c>
      <c r="D37" s="117" t="s">
        <v>273</v>
      </c>
      <c r="E37" s="488" t="s">
        <v>189</v>
      </c>
      <c r="F37" s="117">
        <v>97.537099999999995</v>
      </c>
      <c r="G37" s="117">
        <v>24.461033</v>
      </c>
      <c r="H37" s="117" t="s">
        <v>509</v>
      </c>
      <c r="I37" s="117" t="s">
        <v>226</v>
      </c>
      <c r="J37" s="546">
        <v>117</v>
      </c>
      <c r="K37" s="546">
        <v>620</v>
      </c>
      <c r="L37" s="546">
        <v>620</v>
      </c>
      <c r="M37" s="490" t="str">
        <f t="shared" ref="M37:M67" si="37">IF(J37&gt;50,IF(J37&gt;250,IF(J37&gt;500,IF(J37&gt;1000,"5. Massive","4. Big"),"3. Large"),"2. Medium"),"1. Small")</f>
        <v>2. Medium</v>
      </c>
      <c r="N37" s="528" t="s">
        <v>285</v>
      </c>
      <c r="O37" s="553" t="s">
        <v>235</v>
      </c>
      <c r="P37" s="545" t="str">
        <f t="shared" si="20"/>
        <v>Covered</v>
      </c>
      <c r="Q37" s="491" t="s">
        <v>708</v>
      </c>
      <c r="R37" s="489"/>
      <c r="S37" s="491"/>
      <c r="T37" s="528" t="s">
        <v>260</v>
      </c>
      <c r="U37" s="533" t="str">
        <f t="shared" si="21"/>
        <v>Documented</v>
      </c>
      <c r="V37" s="537">
        <v>0</v>
      </c>
      <c r="W37" s="492">
        <v>0</v>
      </c>
      <c r="X37" s="538" t="s">
        <v>19</v>
      </c>
      <c r="Y37" s="537">
        <v>0</v>
      </c>
      <c r="Z37" s="492">
        <v>0</v>
      </c>
      <c r="AA37" s="538">
        <v>14568</v>
      </c>
      <c r="AB37" s="567">
        <v>0</v>
      </c>
      <c r="AC37" s="568">
        <v>1</v>
      </c>
      <c r="AD37" s="574">
        <f t="shared" si="1"/>
        <v>1</v>
      </c>
      <c r="AE37" s="495">
        <f t="shared" si="22"/>
        <v>620</v>
      </c>
      <c r="AF37" s="496">
        <f t="shared" ref="AF37:AF67" si="38">IF(((Y37*400+Z37*500+(AA37/15))/L37)&gt;1,1,(Y37*400+Z37*500+(AA37/15))/L37)</f>
        <v>1</v>
      </c>
      <c r="AG37" s="497">
        <f t="shared" si="23"/>
        <v>620</v>
      </c>
      <c r="AH37" s="494">
        <f t="shared" ref="AH37:AH67" si="39">IF(AC37=0,AD37,IF(AC37&lt;AD37,AD37,AC37))</f>
        <v>1</v>
      </c>
      <c r="AI37" s="497">
        <f t="shared" si="24"/>
        <v>620</v>
      </c>
      <c r="AJ37" s="498" t="str">
        <f t="shared" ref="AJ37:AJ67" si="40">IF(AD37&gt;0.15,IF(AD37&gt;0.3,IF(AD37&gt;0.45,IF(AD37&gt;0.6,IF(AD37&gt;0.8,"80-100%","60-80%"),"45-60%"),"30-45%"),"15-30%"),"0-10%")</f>
        <v>80-100%</v>
      </c>
      <c r="AK37" s="494">
        <f t="shared" ref="AK37:AK67" si="41">IF((AD37-AF37)&lt; 0, 0, AD37-AF37)</f>
        <v>0</v>
      </c>
      <c r="AL37" s="499">
        <f t="shared" ref="AL37:AL67" si="42">AK37*L37</f>
        <v>0</v>
      </c>
      <c r="AM37" s="497">
        <f t="shared" ref="AM37:AM67" si="43">IF(L37/400-(Y37+Z37)&lt;0,0,L37/400-(Y37+Z37))</f>
        <v>1.55</v>
      </c>
      <c r="AN37" s="497">
        <f t="shared" ref="AN37:AN67" si="44">AC37*J37</f>
        <v>117</v>
      </c>
      <c r="AO37" s="497">
        <f t="shared" si="25"/>
        <v>0</v>
      </c>
      <c r="AP37" s="568">
        <v>1</v>
      </c>
      <c r="AQ37" s="577">
        <f t="shared" si="26"/>
        <v>620</v>
      </c>
      <c r="AR37" s="581" t="s">
        <v>897</v>
      </c>
      <c r="AS37" s="537">
        <v>62</v>
      </c>
      <c r="AT37" s="492">
        <v>60</v>
      </c>
      <c r="AU37" s="492">
        <v>37</v>
      </c>
      <c r="AV37" s="492" t="s">
        <v>301</v>
      </c>
      <c r="AW37" s="500">
        <f t="shared" ref="AW37:AW67" si="45">IF((((AT37+AU37)*20)/L37)&gt;1,1,(((AT37+AU37)*20)/L37))</f>
        <v>1</v>
      </c>
      <c r="AX37" s="497">
        <f t="shared" si="27"/>
        <v>620</v>
      </c>
      <c r="AY37" s="500">
        <f t="shared" ref="AY37:AY67" si="46">AW37-BA37</f>
        <v>0</v>
      </c>
      <c r="AZ37" s="497">
        <f t="shared" si="28"/>
        <v>0</v>
      </c>
      <c r="BA37" s="500">
        <f t="shared" ref="BA37:BA67" si="47">IF(((AU37*20)/L37)&gt;1,1,((AU37*20)/L37))</f>
        <v>1</v>
      </c>
      <c r="BB37" s="497">
        <f t="shared" si="29"/>
        <v>620</v>
      </c>
      <c r="BC37" s="492">
        <v>0</v>
      </c>
      <c r="BD37" s="493">
        <v>1</v>
      </c>
      <c r="BE37" s="501">
        <f t="shared" ref="BE37:BE67" si="48">BD37*L37</f>
        <v>620</v>
      </c>
      <c r="BF37" s="502">
        <f t="shared" si="30"/>
        <v>0</v>
      </c>
      <c r="BG37" s="492">
        <v>4</v>
      </c>
      <c r="BH37" s="492" t="s">
        <v>300</v>
      </c>
      <c r="BI37" s="500">
        <f t="shared" si="31"/>
        <v>0.64516129032258063</v>
      </c>
      <c r="BJ37" s="497">
        <f t="shared" si="32"/>
        <v>400</v>
      </c>
      <c r="BK37" s="502">
        <f t="shared" si="33"/>
        <v>2.2000000000000002</v>
      </c>
      <c r="BL37" s="493">
        <v>0.66</v>
      </c>
      <c r="BM37" s="497">
        <f t="shared" si="34"/>
        <v>409.20000000000005</v>
      </c>
      <c r="BN37" s="492">
        <v>7</v>
      </c>
      <c r="BO37" s="500">
        <f t="shared" ref="BO37:BO67" si="49">IF((BN37*100/L37)&gt;1,1,(BN37*100/L37))</f>
        <v>1</v>
      </c>
      <c r="BP37" s="502">
        <f t="shared" ref="BP37:BP67" si="50">IF(K37/100-BN37&lt;0,0,K37/100-BN37)</f>
        <v>0</v>
      </c>
      <c r="BQ37" s="568">
        <v>1</v>
      </c>
      <c r="BR37" s="580"/>
      <c r="BS37" s="594">
        <v>42065</v>
      </c>
      <c r="BT37" s="503">
        <f t="shared" si="15"/>
        <v>42430</v>
      </c>
      <c r="BU37" s="546">
        <v>117</v>
      </c>
      <c r="BV37" s="546">
        <v>3</v>
      </c>
      <c r="BW37" s="504">
        <f t="shared" si="16"/>
        <v>0</v>
      </c>
      <c r="BX37" s="505">
        <f t="shared" ref="BX37:BX67" si="51">IF(BW37=0,1,(J37-BW37)/J37)</f>
        <v>1</v>
      </c>
      <c r="BY37" s="497">
        <f t="shared" ref="BY37:BY67" si="52">BX37*L37</f>
        <v>620</v>
      </c>
      <c r="BZ37" s="595">
        <f t="shared" si="19"/>
        <v>0</v>
      </c>
      <c r="CA37" s="537"/>
      <c r="CB37" s="568">
        <v>0</v>
      </c>
      <c r="CC37" s="605">
        <f t="shared" si="35"/>
        <v>0</v>
      </c>
      <c r="CD37" s="537">
        <v>0</v>
      </c>
      <c r="CE37" s="506" t="str">
        <f t="shared" si="36"/>
        <v>No coverage</v>
      </c>
      <c r="CF37" s="492">
        <v>0</v>
      </c>
      <c r="CG37" s="538" t="s">
        <v>302</v>
      </c>
      <c r="CH37" s="580"/>
    </row>
    <row r="38" spans="2:86" s="40" customFormat="1" ht="30" customHeight="1" x14ac:dyDescent="0.2">
      <c r="B38" s="527" t="s">
        <v>188</v>
      </c>
      <c r="C38" s="488" t="s">
        <v>637</v>
      </c>
      <c r="D38" s="117" t="s">
        <v>268</v>
      </c>
      <c r="E38" s="488" t="s">
        <v>190</v>
      </c>
      <c r="F38" s="117">
        <v>97.573166999999998</v>
      </c>
      <c r="G38" s="117">
        <v>24.661466999999998</v>
      </c>
      <c r="H38" s="117" t="s">
        <v>509</v>
      </c>
      <c r="I38" s="117" t="s">
        <v>226</v>
      </c>
      <c r="J38" s="546">
        <v>479</v>
      </c>
      <c r="K38" s="546">
        <v>2288</v>
      </c>
      <c r="L38" s="546">
        <v>2288</v>
      </c>
      <c r="M38" s="490" t="str">
        <f t="shared" si="37"/>
        <v>3. Large</v>
      </c>
      <c r="N38" s="528" t="s">
        <v>235</v>
      </c>
      <c r="O38" s="553" t="s">
        <v>237</v>
      </c>
      <c r="P38" s="545" t="str">
        <f t="shared" si="20"/>
        <v>Covered</v>
      </c>
      <c r="Q38" s="491">
        <v>42124</v>
      </c>
      <c r="R38" s="489"/>
      <c r="S38" s="491"/>
      <c r="T38" s="528" t="s">
        <v>260</v>
      </c>
      <c r="U38" s="533" t="str">
        <f t="shared" si="21"/>
        <v>Documented</v>
      </c>
      <c r="V38" s="537">
        <v>0</v>
      </c>
      <c r="W38" s="492">
        <v>0</v>
      </c>
      <c r="X38" s="538" t="s">
        <v>19</v>
      </c>
      <c r="Y38" s="537">
        <v>3</v>
      </c>
      <c r="Z38" s="492">
        <v>0</v>
      </c>
      <c r="AA38" s="538">
        <v>34155</v>
      </c>
      <c r="AB38" s="567">
        <v>0</v>
      </c>
      <c r="AC38" s="568">
        <v>1</v>
      </c>
      <c r="AD38" s="574">
        <f t="shared" si="1"/>
        <v>1</v>
      </c>
      <c r="AE38" s="495">
        <f t="shared" si="22"/>
        <v>2288</v>
      </c>
      <c r="AF38" s="496">
        <f t="shared" si="38"/>
        <v>1</v>
      </c>
      <c r="AG38" s="497">
        <f t="shared" si="23"/>
        <v>2288</v>
      </c>
      <c r="AH38" s="494">
        <f t="shared" si="39"/>
        <v>1</v>
      </c>
      <c r="AI38" s="497">
        <f t="shared" si="24"/>
        <v>2288</v>
      </c>
      <c r="AJ38" s="498" t="str">
        <f t="shared" si="40"/>
        <v>80-100%</v>
      </c>
      <c r="AK38" s="494">
        <f t="shared" si="41"/>
        <v>0</v>
      </c>
      <c r="AL38" s="499">
        <f t="shared" si="42"/>
        <v>0</v>
      </c>
      <c r="AM38" s="497">
        <f t="shared" si="43"/>
        <v>2.7199999999999998</v>
      </c>
      <c r="AN38" s="497">
        <f t="shared" si="44"/>
        <v>479</v>
      </c>
      <c r="AO38" s="497">
        <f t="shared" si="25"/>
        <v>0</v>
      </c>
      <c r="AP38" s="568">
        <v>1</v>
      </c>
      <c r="AQ38" s="577">
        <f t="shared" si="26"/>
        <v>2288</v>
      </c>
      <c r="AR38" s="581"/>
      <c r="AS38" s="537">
        <v>0</v>
      </c>
      <c r="AT38" s="492">
        <v>70</v>
      </c>
      <c r="AU38" s="492">
        <v>148</v>
      </c>
      <c r="AV38" s="492" t="s">
        <v>91</v>
      </c>
      <c r="AW38" s="500">
        <f t="shared" si="45"/>
        <v>1</v>
      </c>
      <c r="AX38" s="497">
        <f t="shared" si="27"/>
        <v>2288</v>
      </c>
      <c r="AY38" s="500">
        <f t="shared" si="46"/>
        <v>0</v>
      </c>
      <c r="AZ38" s="497">
        <f t="shared" si="28"/>
        <v>0</v>
      </c>
      <c r="BA38" s="500">
        <f t="shared" si="47"/>
        <v>1</v>
      </c>
      <c r="BB38" s="497">
        <f t="shared" si="29"/>
        <v>2288</v>
      </c>
      <c r="BC38" s="492">
        <v>0</v>
      </c>
      <c r="BD38" s="493">
        <v>1</v>
      </c>
      <c r="BE38" s="501">
        <f t="shared" si="48"/>
        <v>2288</v>
      </c>
      <c r="BF38" s="502">
        <f t="shared" si="30"/>
        <v>0</v>
      </c>
      <c r="BG38" s="492">
        <v>6</v>
      </c>
      <c r="BH38" s="492" t="s">
        <v>91</v>
      </c>
      <c r="BI38" s="500">
        <f t="shared" si="31"/>
        <v>0.26223776223776224</v>
      </c>
      <c r="BJ38" s="497">
        <f t="shared" si="32"/>
        <v>600</v>
      </c>
      <c r="BK38" s="502">
        <f t="shared" si="33"/>
        <v>16.88</v>
      </c>
      <c r="BL38" s="493">
        <v>0.26</v>
      </c>
      <c r="BM38" s="497">
        <f t="shared" si="34"/>
        <v>594.88</v>
      </c>
      <c r="BN38" s="492">
        <v>28</v>
      </c>
      <c r="BO38" s="500">
        <f t="shared" si="49"/>
        <v>1</v>
      </c>
      <c r="BP38" s="502">
        <f t="shared" si="50"/>
        <v>0</v>
      </c>
      <c r="BQ38" s="568">
        <v>1</v>
      </c>
      <c r="BR38" s="580"/>
      <c r="BS38" s="594">
        <v>41559</v>
      </c>
      <c r="BT38" s="503" t="str">
        <f t="shared" si="15"/>
        <v>To be realised</v>
      </c>
      <c r="BU38" s="546">
        <v>479</v>
      </c>
      <c r="BV38" s="546">
        <v>18</v>
      </c>
      <c r="BW38" s="504">
        <f t="shared" si="16"/>
        <v>479</v>
      </c>
      <c r="BX38" s="505">
        <f t="shared" si="51"/>
        <v>0</v>
      </c>
      <c r="BY38" s="497">
        <f t="shared" si="52"/>
        <v>0</v>
      </c>
      <c r="BZ38" s="595">
        <f t="shared" si="19"/>
        <v>0</v>
      </c>
      <c r="CA38" s="537" t="s">
        <v>918</v>
      </c>
      <c r="CB38" s="568">
        <v>0.5</v>
      </c>
      <c r="CC38" s="605">
        <f t="shared" si="35"/>
        <v>1144</v>
      </c>
      <c r="CD38" s="537">
        <v>2</v>
      </c>
      <c r="CE38" s="506" t="str">
        <f t="shared" si="36"/>
        <v>Low coverage</v>
      </c>
      <c r="CF38" s="492">
        <v>1</v>
      </c>
      <c r="CG38" s="538" t="s">
        <v>65</v>
      </c>
      <c r="CH38" s="580"/>
    </row>
    <row r="39" spans="2:86" s="40" customFormat="1" ht="30" customHeight="1" x14ac:dyDescent="0.2">
      <c r="B39" s="527" t="s">
        <v>135</v>
      </c>
      <c r="C39" s="488" t="s">
        <v>566</v>
      </c>
      <c r="D39" s="117" t="s">
        <v>265</v>
      </c>
      <c r="E39" s="488" t="s">
        <v>136</v>
      </c>
      <c r="F39" s="117">
        <v>97.385101000000006</v>
      </c>
      <c r="G39" s="117">
        <v>25.399795999999998</v>
      </c>
      <c r="H39" s="117" t="s">
        <v>509</v>
      </c>
      <c r="I39" s="117" t="s">
        <v>218</v>
      </c>
      <c r="J39" s="546">
        <v>6</v>
      </c>
      <c r="K39" s="546">
        <v>27</v>
      </c>
      <c r="L39" s="546">
        <v>27</v>
      </c>
      <c r="M39" s="490" t="str">
        <f t="shared" si="37"/>
        <v>1. Small</v>
      </c>
      <c r="N39" s="528" t="s">
        <v>239</v>
      </c>
      <c r="O39" s="553" t="s">
        <v>239</v>
      </c>
      <c r="P39" s="545" t="str">
        <f t="shared" si="20"/>
        <v>Covered</v>
      </c>
      <c r="Q39" s="491">
        <v>42185</v>
      </c>
      <c r="R39" s="489" t="s">
        <v>240</v>
      </c>
      <c r="S39" s="491">
        <v>42185</v>
      </c>
      <c r="T39" s="528" t="s">
        <v>260</v>
      </c>
      <c r="U39" s="533" t="str">
        <f t="shared" si="21"/>
        <v>Documented</v>
      </c>
      <c r="V39" s="537">
        <v>0</v>
      </c>
      <c r="W39" s="492">
        <v>0</v>
      </c>
      <c r="X39" s="538" t="s">
        <v>19</v>
      </c>
      <c r="Y39" s="537">
        <v>0</v>
      </c>
      <c r="Z39" s="492">
        <v>1</v>
      </c>
      <c r="AA39" s="538">
        <v>0</v>
      </c>
      <c r="AB39" s="567">
        <v>0</v>
      </c>
      <c r="AC39" s="568">
        <v>1</v>
      </c>
      <c r="AD39" s="574">
        <f t="shared" si="1"/>
        <v>1</v>
      </c>
      <c r="AE39" s="495">
        <f t="shared" si="22"/>
        <v>27</v>
      </c>
      <c r="AF39" s="496">
        <f t="shared" si="38"/>
        <v>1</v>
      </c>
      <c r="AG39" s="497">
        <f t="shared" si="23"/>
        <v>27</v>
      </c>
      <c r="AH39" s="494">
        <f t="shared" si="39"/>
        <v>1</v>
      </c>
      <c r="AI39" s="497">
        <f t="shared" si="24"/>
        <v>27</v>
      </c>
      <c r="AJ39" s="498" t="str">
        <f t="shared" si="40"/>
        <v>80-100%</v>
      </c>
      <c r="AK39" s="494">
        <f t="shared" si="41"/>
        <v>0</v>
      </c>
      <c r="AL39" s="499">
        <f t="shared" si="42"/>
        <v>0</v>
      </c>
      <c r="AM39" s="497">
        <f t="shared" si="43"/>
        <v>0</v>
      </c>
      <c r="AN39" s="497">
        <f t="shared" si="44"/>
        <v>6</v>
      </c>
      <c r="AO39" s="497">
        <f t="shared" si="25"/>
        <v>0</v>
      </c>
      <c r="AP39" s="568">
        <v>1</v>
      </c>
      <c r="AQ39" s="577">
        <f t="shared" si="26"/>
        <v>27</v>
      </c>
      <c r="AR39" s="581"/>
      <c r="AS39" s="537">
        <v>0</v>
      </c>
      <c r="AT39" s="492">
        <v>0</v>
      </c>
      <c r="AU39" s="492">
        <v>1</v>
      </c>
      <c r="AV39" s="492" t="s">
        <v>299</v>
      </c>
      <c r="AW39" s="500">
        <f t="shared" si="45"/>
        <v>0.7407407407407407</v>
      </c>
      <c r="AX39" s="497">
        <f t="shared" si="27"/>
        <v>20</v>
      </c>
      <c r="AY39" s="500">
        <f t="shared" si="46"/>
        <v>0</v>
      </c>
      <c r="AZ39" s="497">
        <f t="shared" si="28"/>
        <v>0</v>
      </c>
      <c r="BA39" s="500">
        <f t="shared" si="47"/>
        <v>0.7407407407407407</v>
      </c>
      <c r="BB39" s="497">
        <f t="shared" si="29"/>
        <v>20</v>
      </c>
      <c r="BC39" s="492">
        <v>0</v>
      </c>
      <c r="BD39" s="493">
        <v>0.74</v>
      </c>
      <c r="BE39" s="501">
        <f t="shared" si="48"/>
        <v>19.98</v>
      </c>
      <c r="BF39" s="502">
        <f t="shared" si="30"/>
        <v>0.35000000000000009</v>
      </c>
      <c r="BG39" s="492">
        <v>1</v>
      </c>
      <c r="BH39" s="492" t="s">
        <v>91</v>
      </c>
      <c r="BI39" s="500">
        <f t="shared" si="31"/>
        <v>1</v>
      </c>
      <c r="BJ39" s="497">
        <f t="shared" si="32"/>
        <v>27</v>
      </c>
      <c r="BK39" s="502">
        <f t="shared" si="33"/>
        <v>0</v>
      </c>
      <c r="BL39" s="493">
        <v>1</v>
      </c>
      <c r="BM39" s="497">
        <f t="shared" si="34"/>
        <v>27</v>
      </c>
      <c r="BN39" s="492">
        <v>2</v>
      </c>
      <c r="BO39" s="500">
        <f t="shared" si="49"/>
        <v>1</v>
      </c>
      <c r="BP39" s="502">
        <f t="shared" si="50"/>
        <v>0</v>
      </c>
      <c r="BQ39" s="568">
        <v>1</v>
      </c>
      <c r="BR39" s="580" t="s">
        <v>867</v>
      </c>
      <c r="BS39" s="594">
        <v>42053</v>
      </c>
      <c r="BT39" s="503">
        <f t="shared" si="15"/>
        <v>42418</v>
      </c>
      <c r="BU39" s="546">
        <v>6</v>
      </c>
      <c r="BV39" s="546">
        <v>3</v>
      </c>
      <c r="BW39" s="504">
        <f t="shared" si="16"/>
        <v>0</v>
      </c>
      <c r="BX39" s="505">
        <f t="shared" si="51"/>
        <v>1</v>
      </c>
      <c r="BY39" s="497">
        <f t="shared" si="52"/>
        <v>27</v>
      </c>
      <c r="BZ39" s="595">
        <f t="shared" si="19"/>
        <v>0</v>
      </c>
      <c r="CA39" s="537"/>
      <c r="CB39" s="568">
        <v>0.8</v>
      </c>
      <c r="CC39" s="605">
        <f t="shared" si="35"/>
        <v>21.6</v>
      </c>
      <c r="CD39" s="537">
        <v>1</v>
      </c>
      <c r="CE39" s="506" t="str">
        <f t="shared" si="36"/>
        <v>Excellent coverage</v>
      </c>
      <c r="CF39" s="492">
        <v>0</v>
      </c>
      <c r="CG39" s="538" t="s">
        <v>302</v>
      </c>
      <c r="CH39" s="580"/>
    </row>
    <row r="40" spans="2:86" s="40" customFormat="1" ht="30" customHeight="1" x14ac:dyDescent="0.2">
      <c r="B40" s="527" t="s">
        <v>135</v>
      </c>
      <c r="C40" s="488" t="s">
        <v>564</v>
      </c>
      <c r="D40" s="117" t="s">
        <v>265</v>
      </c>
      <c r="E40" s="488" t="s">
        <v>137</v>
      </c>
      <c r="F40" s="117">
        <v>97.383056999999994</v>
      </c>
      <c r="G40" s="117">
        <v>25.395994000000002</v>
      </c>
      <c r="H40" s="117" t="s">
        <v>509</v>
      </c>
      <c r="I40" s="117" t="s">
        <v>218</v>
      </c>
      <c r="J40" s="546">
        <v>6</v>
      </c>
      <c r="K40" s="546">
        <v>35</v>
      </c>
      <c r="L40" s="546">
        <v>35</v>
      </c>
      <c r="M40" s="490" t="str">
        <f t="shared" si="37"/>
        <v>1. Small</v>
      </c>
      <c r="N40" s="528" t="s">
        <v>239</v>
      </c>
      <c r="O40" s="553" t="s">
        <v>239</v>
      </c>
      <c r="P40" s="545" t="str">
        <f t="shared" si="20"/>
        <v>Covered</v>
      </c>
      <c r="Q40" s="491">
        <v>42185</v>
      </c>
      <c r="R40" s="489" t="s">
        <v>240</v>
      </c>
      <c r="S40" s="491">
        <v>42185</v>
      </c>
      <c r="T40" s="528" t="s">
        <v>260</v>
      </c>
      <c r="U40" s="533" t="str">
        <f t="shared" si="21"/>
        <v>Documented</v>
      </c>
      <c r="V40" s="537">
        <v>0</v>
      </c>
      <c r="W40" s="492">
        <v>0</v>
      </c>
      <c r="X40" s="538" t="s">
        <v>19</v>
      </c>
      <c r="Y40" s="537">
        <v>0</v>
      </c>
      <c r="Z40" s="492">
        <v>1</v>
      </c>
      <c r="AA40" s="538">
        <v>0</v>
      </c>
      <c r="AB40" s="567">
        <v>0</v>
      </c>
      <c r="AC40" s="568">
        <v>1</v>
      </c>
      <c r="AD40" s="574">
        <f t="shared" si="1"/>
        <v>1</v>
      </c>
      <c r="AE40" s="495">
        <f t="shared" si="22"/>
        <v>35</v>
      </c>
      <c r="AF40" s="496">
        <f t="shared" si="38"/>
        <v>1</v>
      </c>
      <c r="AG40" s="497">
        <f t="shared" si="23"/>
        <v>35</v>
      </c>
      <c r="AH40" s="494">
        <f t="shared" si="39"/>
        <v>1</v>
      </c>
      <c r="AI40" s="497">
        <f t="shared" si="24"/>
        <v>35</v>
      </c>
      <c r="AJ40" s="498" t="str">
        <f t="shared" si="40"/>
        <v>80-100%</v>
      </c>
      <c r="AK40" s="494">
        <f t="shared" si="41"/>
        <v>0</v>
      </c>
      <c r="AL40" s="499">
        <f t="shared" si="42"/>
        <v>0</v>
      </c>
      <c r="AM40" s="497">
        <f t="shared" si="43"/>
        <v>0</v>
      </c>
      <c r="AN40" s="497">
        <f t="shared" si="44"/>
        <v>6</v>
      </c>
      <c r="AO40" s="497">
        <f t="shared" si="25"/>
        <v>0</v>
      </c>
      <c r="AP40" s="568">
        <v>1</v>
      </c>
      <c r="AQ40" s="577">
        <f t="shared" si="26"/>
        <v>35</v>
      </c>
      <c r="AR40" s="581"/>
      <c r="AS40" s="537">
        <v>0</v>
      </c>
      <c r="AT40" s="492">
        <v>0</v>
      </c>
      <c r="AU40" s="492">
        <v>3</v>
      </c>
      <c r="AV40" s="492" t="s">
        <v>299</v>
      </c>
      <c r="AW40" s="500">
        <f t="shared" si="45"/>
        <v>1</v>
      </c>
      <c r="AX40" s="497">
        <f t="shared" si="27"/>
        <v>35</v>
      </c>
      <c r="AY40" s="500">
        <f t="shared" si="46"/>
        <v>0</v>
      </c>
      <c r="AZ40" s="497">
        <f t="shared" si="28"/>
        <v>0</v>
      </c>
      <c r="BA40" s="500">
        <f t="shared" si="47"/>
        <v>1</v>
      </c>
      <c r="BB40" s="497">
        <f t="shared" si="29"/>
        <v>35</v>
      </c>
      <c r="BC40" s="492">
        <v>0</v>
      </c>
      <c r="BD40" s="493">
        <v>1</v>
      </c>
      <c r="BE40" s="501">
        <f t="shared" si="48"/>
        <v>35</v>
      </c>
      <c r="BF40" s="502">
        <f t="shared" si="30"/>
        <v>0</v>
      </c>
      <c r="BG40" s="492">
        <v>1</v>
      </c>
      <c r="BH40" s="492" t="s">
        <v>91</v>
      </c>
      <c r="BI40" s="500">
        <f t="shared" si="31"/>
        <v>1</v>
      </c>
      <c r="BJ40" s="497">
        <f t="shared" si="32"/>
        <v>35</v>
      </c>
      <c r="BK40" s="502">
        <f t="shared" si="33"/>
        <v>0</v>
      </c>
      <c r="BL40" s="493">
        <v>1</v>
      </c>
      <c r="BM40" s="497">
        <f t="shared" si="34"/>
        <v>35</v>
      </c>
      <c r="BN40" s="492">
        <v>3</v>
      </c>
      <c r="BO40" s="500">
        <f t="shared" si="49"/>
        <v>1</v>
      </c>
      <c r="BP40" s="502">
        <f t="shared" si="50"/>
        <v>0</v>
      </c>
      <c r="BQ40" s="568">
        <v>1</v>
      </c>
      <c r="BR40" s="580" t="s">
        <v>722</v>
      </c>
      <c r="BS40" s="594">
        <v>42053</v>
      </c>
      <c r="BT40" s="503">
        <f t="shared" si="15"/>
        <v>42418</v>
      </c>
      <c r="BU40" s="546">
        <v>6</v>
      </c>
      <c r="BV40" s="546">
        <v>3</v>
      </c>
      <c r="BW40" s="504">
        <f t="shared" si="16"/>
        <v>0</v>
      </c>
      <c r="BX40" s="505">
        <f t="shared" si="51"/>
        <v>1</v>
      </c>
      <c r="BY40" s="497">
        <f t="shared" si="52"/>
        <v>35</v>
      </c>
      <c r="BZ40" s="595">
        <f t="shared" si="19"/>
        <v>0</v>
      </c>
      <c r="CA40" s="537"/>
      <c r="CB40" s="568">
        <v>0.8</v>
      </c>
      <c r="CC40" s="605">
        <f t="shared" si="35"/>
        <v>28</v>
      </c>
      <c r="CD40" s="537">
        <v>1</v>
      </c>
      <c r="CE40" s="506" t="str">
        <f t="shared" si="36"/>
        <v>Excellent coverage</v>
      </c>
      <c r="CF40" s="492">
        <v>0</v>
      </c>
      <c r="CG40" s="538" t="s">
        <v>302</v>
      </c>
      <c r="CH40" s="580"/>
    </row>
    <row r="41" spans="2:86" s="40" customFormat="1" ht="30" customHeight="1" x14ac:dyDescent="0.2">
      <c r="B41" s="527" t="s">
        <v>135</v>
      </c>
      <c r="C41" s="488" t="s">
        <v>565</v>
      </c>
      <c r="D41" s="117" t="s">
        <v>265</v>
      </c>
      <c r="E41" s="488" t="s">
        <v>138</v>
      </c>
      <c r="F41" s="117">
        <v>97.381195000000005</v>
      </c>
      <c r="G41" s="117">
        <v>25.396363999999998</v>
      </c>
      <c r="H41" s="117" t="s">
        <v>509</v>
      </c>
      <c r="I41" s="117" t="s">
        <v>218</v>
      </c>
      <c r="J41" s="546">
        <v>8</v>
      </c>
      <c r="K41" s="546">
        <v>26</v>
      </c>
      <c r="L41" s="546">
        <v>26</v>
      </c>
      <c r="M41" s="490" t="str">
        <f t="shared" si="37"/>
        <v>1. Small</v>
      </c>
      <c r="N41" s="528" t="s">
        <v>239</v>
      </c>
      <c r="O41" s="553" t="s">
        <v>239</v>
      </c>
      <c r="P41" s="545" t="str">
        <f t="shared" si="20"/>
        <v>Covered</v>
      </c>
      <c r="Q41" s="491">
        <v>42185</v>
      </c>
      <c r="R41" s="489" t="s">
        <v>240</v>
      </c>
      <c r="S41" s="491">
        <v>42185</v>
      </c>
      <c r="T41" s="528" t="s">
        <v>260</v>
      </c>
      <c r="U41" s="533" t="str">
        <f t="shared" si="21"/>
        <v>Documented</v>
      </c>
      <c r="V41" s="537">
        <v>0</v>
      </c>
      <c r="W41" s="492">
        <v>0</v>
      </c>
      <c r="X41" s="538" t="s">
        <v>19</v>
      </c>
      <c r="Y41" s="537">
        <v>0</v>
      </c>
      <c r="Z41" s="492">
        <v>1</v>
      </c>
      <c r="AA41" s="538">
        <v>0</v>
      </c>
      <c r="AB41" s="567">
        <v>0</v>
      </c>
      <c r="AC41" s="568">
        <v>1</v>
      </c>
      <c r="AD41" s="574">
        <f t="shared" si="1"/>
        <v>1</v>
      </c>
      <c r="AE41" s="495">
        <f t="shared" si="22"/>
        <v>26</v>
      </c>
      <c r="AF41" s="496">
        <f t="shared" si="38"/>
        <v>1</v>
      </c>
      <c r="AG41" s="497">
        <f t="shared" si="23"/>
        <v>26</v>
      </c>
      <c r="AH41" s="494">
        <f t="shared" si="39"/>
        <v>1</v>
      </c>
      <c r="AI41" s="497">
        <f t="shared" si="24"/>
        <v>26</v>
      </c>
      <c r="AJ41" s="498" t="str">
        <f t="shared" si="40"/>
        <v>80-100%</v>
      </c>
      <c r="AK41" s="494">
        <f t="shared" si="41"/>
        <v>0</v>
      </c>
      <c r="AL41" s="499">
        <f t="shared" si="42"/>
        <v>0</v>
      </c>
      <c r="AM41" s="497">
        <f t="shared" si="43"/>
        <v>0</v>
      </c>
      <c r="AN41" s="497">
        <f t="shared" si="44"/>
        <v>8</v>
      </c>
      <c r="AO41" s="497">
        <f t="shared" si="25"/>
        <v>0</v>
      </c>
      <c r="AP41" s="568">
        <v>1</v>
      </c>
      <c r="AQ41" s="577">
        <f t="shared" si="26"/>
        <v>26</v>
      </c>
      <c r="AR41" s="581"/>
      <c r="AS41" s="537">
        <v>0</v>
      </c>
      <c r="AT41" s="492">
        <v>0</v>
      </c>
      <c r="AU41" s="492">
        <v>1</v>
      </c>
      <c r="AV41" s="492" t="s">
        <v>299</v>
      </c>
      <c r="AW41" s="500">
        <f t="shared" si="45"/>
        <v>0.76923076923076927</v>
      </c>
      <c r="AX41" s="497">
        <f t="shared" si="27"/>
        <v>20</v>
      </c>
      <c r="AY41" s="500">
        <f t="shared" si="46"/>
        <v>0</v>
      </c>
      <c r="AZ41" s="497">
        <f t="shared" si="28"/>
        <v>0</v>
      </c>
      <c r="BA41" s="500">
        <f t="shared" si="47"/>
        <v>0.76923076923076927</v>
      </c>
      <c r="BB41" s="497">
        <f t="shared" si="29"/>
        <v>20</v>
      </c>
      <c r="BC41" s="492">
        <v>0</v>
      </c>
      <c r="BD41" s="493">
        <v>0.77</v>
      </c>
      <c r="BE41" s="501">
        <f t="shared" si="48"/>
        <v>20.02</v>
      </c>
      <c r="BF41" s="502">
        <f t="shared" si="30"/>
        <v>0.30000000000000004</v>
      </c>
      <c r="BG41" s="492">
        <v>1</v>
      </c>
      <c r="BH41" s="492" t="s">
        <v>91</v>
      </c>
      <c r="BI41" s="500">
        <f t="shared" si="31"/>
        <v>1</v>
      </c>
      <c r="BJ41" s="497">
        <f t="shared" si="32"/>
        <v>26</v>
      </c>
      <c r="BK41" s="502">
        <f t="shared" si="33"/>
        <v>0</v>
      </c>
      <c r="BL41" s="493">
        <v>1</v>
      </c>
      <c r="BM41" s="497">
        <f t="shared" si="34"/>
        <v>26</v>
      </c>
      <c r="BN41" s="492">
        <v>3</v>
      </c>
      <c r="BO41" s="500">
        <f t="shared" si="49"/>
        <v>1</v>
      </c>
      <c r="BP41" s="502">
        <f t="shared" si="50"/>
        <v>0</v>
      </c>
      <c r="BQ41" s="568">
        <v>1</v>
      </c>
      <c r="BR41" s="580" t="s">
        <v>868</v>
      </c>
      <c r="BS41" s="594">
        <v>42053</v>
      </c>
      <c r="BT41" s="503">
        <f t="shared" si="15"/>
        <v>42418</v>
      </c>
      <c r="BU41" s="546">
        <v>8</v>
      </c>
      <c r="BV41" s="546">
        <v>3</v>
      </c>
      <c r="BW41" s="504">
        <f t="shared" si="16"/>
        <v>0</v>
      </c>
      <c r="BX41" s="505">
        <f t="shared" si="51"/>
        <v>1</v>
      </c>
      <c r="BY41" s="497">
        <f t="shared" si="52"/>
        <v>26</v>
      </c>
      <c r="BZ41" s="595">
        <f t="shared" si="19"/>
        <v>0</v>
      </c>
      <c r="CA41" s="537"/>
      <c r="CB41" s="568">
        <v>0.8</v>
      </c>
      <c r="CC41" s="605">
        <f t="shared" si="35"/>
        <v>20.8</v>
      </c>
      <c r="CD41" s="537">
        <v>1</v>
      </c>
      <c r="CE41" s="506" t="str">
        <f t="shared" si="36"/>
        <v>Excellent coverage</v>
      </c>
      <c r="CF41" s="492">
        <v>0</v>
      </c>
      <c r="CG41" s="538" t="s">
        <v>302</v>
      </c>
      <c r="CH41" s="580"/>
    </row>
    <row r="42" spans="2:86" s="40" customFormat="1" ht="30" customHeight="1" x14ac:dyDescent="0.2">
      <c r="B42" s="527" t="s">
        <v>135</v>
      </c>
      <c r="C42" s="488" t="s">
        <v>571</v>
      </c>
      <c r="D42" s="117" t="s">
        <v>265</v>
      </c>
      <c r="E42" s="488" t="s">
        <v>139</v>
      </c>
      <c r="F42" s="117">
        <v>97.389778000000007</v>
      </c>
      <c r="G42" s="117">
        <v>25.417733999999999</v>
      </c>
      <c r="H42" s="117" t="s">
        <v>509</v>
      </c>
      <c r="I42" s="117" t="s">
        <v>218</v>
      </c>
      <c r="J42" s="546">
        <v>189</v>
      </c>
      <c r="K42" s="546">
        <v>974</v>
      </c>
      <c r="L42" s="546">
        <v>974</v>
      </c>
      <c r="M42" s="490" t="str">
        <f t="shared" si="37"/>
        <v>2. Medium</v>
      </c>
      <c r="N42" s="528" t="s">
        <v>239</v>
      </c>
      <c r="O42" s="553" t="s">
        <v>239</v>
      </c>
      <c r="P42" s="545" t="str">
        <f t="shared" si="20"/>
        <v>Covered</v>
      </c>
      <c r="Q42" s="491">
        <v>42185</v>
      </c>
      <c r="R42" s="489" t="s">
        <v>240</v>
      </c>
      <c r="S42" s="491">
        <v>42185</v>
      </c>
      <c r="T42" s="528" t="s">
        <v>260</v>
      </c>
      <c r="U42" s="533" t="str">
        <f t="shared" si="21"/>
        <v>Documented</v>
      </c>
      <c r="V42" s="537">
        <v>0</v>
      </c>
      <c r="W42" s="492">
        <v>0</v>
      </c>
      <c r="X42" s="538" t="s">
        <v>19</v>
      </c>
      <c r="Y42" s="537">
        <v>1</v>
      </c>
      <c r="Z42" s="492">
        <v>9</v>
      </c>
      <c r="AA42" s="538">
        <v>3000</v>
      </c>
      <c r="AB42" s="567">
        <v>0</v>
      </c>
      <c r="AC42" s="568">
        <v>1</v>
      </c>
      <c r="AD42" s="574">
        <f t="shared" si="1"/>
        <v>1</v>
      </c>
      <c r="AE42" s="495">
        <f t="shared" si="22"/>
        <v>974</v>
      </c>
      <c r="AF42" s="496">
        <f t="shared" si="38"/>
        <v>1</v>
      </c>
      <c r="AG42" s="497">
        <f t="shared" si="23"/>
        <v>974</v>
      </c>
      <c r="AH42" s="494">
        <f t="shared" si="39"/>
        <v>1</v>
      </c>
      <c r="AI42" s="497">
        <f t="shared" si="24"/>
        <v>974</v>
      </c>
      <c r="AJ42" s="498" t="str">
        <f t="shared" si="40"/>
        <v>80-100%</v>
      </c>
      <c r="AK42" s="494">
        <f t="shared" si="41"/>
        <v>0</v>
      </c>
      <c r="AL42" s="499">
        <f t="shared" si="42"/>
        <v>0</v>
      </c>
      <c r="AM42" s="497">
        <f t="shared" si="43"/>
        <v>0</v>
      </c>
      <c r="AN42" s="497">
        <f t="shared" si="44"/>
        <v>189</v>
      </c>
      <c r="AO42" s="497">
        <f t="shared" si="25"/>
        <v>0</v>
      </c>
      <c r="AP42" s="568">
        <v>1</v>
      </c>
      <c r="AQ42" s="577">
        <f t="shared" si="26"/>
        <v>974</v>
      </c>
      <c r="AR42" s="581"/>
      <c r="AS42" s="537">
        <v>0</v>
      </c>
      <c r="AT42" s="492">
        <v>0</v>
      </c>
      <c r="AU42" s="492">
        <v>51</v>
      </c>
      <c r="AV42" s="492" t="s">
        <v>299</v>
      </c>
      <c r="AW42" s="500">
        <f t="shared" si="45"/>
        <v>1</v>
      </c>
      <c r="AX42" s="497">
        <f t="shared" si="27"/>
        <v>974</v>
      </c>
      <c r="AY42" s="500">
        <f t="shared" si="46"/>
        <v>0</v>
      </c>
      <c r="AZ42" s="497">
        <f t="shared" si="28"/>
        <v>0</v>
      </c>
      <c r="BA42" s="500">
        <f t="shared" si="47"/>
        <v>1</v>
      </c>
      <c r="BB42" s="497">
        <f t="shared" si="29"/>
        <v>974</v>
      </c>
      <c r="BC42" s="492">
        <v>0</v>
      </c>
      <c r="BD42" s="493">
        <v>1</v>
      </c>
      <c r="BE42" s="501">
        <f t="shared" si="48"/>
        <v>974</v>
      </c>
      <c r="BF42" s="502">
        <f t="shared" si="30"/>
        <v>0</v>
      </c>
      <c r="BG42" s="492">
        <v>4</v>
      </c>
      <c r="BH42" s="492" t="s">
        <v>301</v>
      </c>
      <c r="BI42" s="500">
        <f t="shared" si="31"/>
        <v>0.41067761806981518</v>
      </c>
      <c r="BJ42" s="497">
        <f t="shared" si="32"/>
        <v>400</v>
      </c>
      <c r="BK42" s="502">
        <f t="shared" si="33"/>
        <v>5.74</v>
      </c>
      <c r="BL42" s="493">
        <v>0.41</v>
      </c>
      <c r="BM42" s="497">
        <f t="shared" si="34"/>
        <v>399.34</v>
      </c>
      <c r="BN42" s="492">
        <v>15</v>
      </c>
      <c r="BO42" s="500">
        <f t="shared" si="49"/>
        <v>1</v>
      </c>
      <c r="BP42" s="502">
        <f t="shared" si="50"/>
        <v>0</v>
      </c>
      <c r="BQ42" s="568">
        <v>1</v>
      </c>
      <c r="BR42" s="580" t="s">
        <v>907</v>
      </c>
      <c r="BS42" s="594">
        <v>42053</v>
      </c>
      <c r="BT42" s="503">
        <f t="shared" si="15"/>
        <v>42418</v>
      </c>
      <c r="BU42" s="546">
        <v>189</v>
      </c>
      <c r="BV42" s="546">
        <v>3</v>
      </c>
      <c r="BW42" s="504">
        <f t="shared" si="16"/>
        <v>0</v>
      </c>
      <c r="BX42" s="505">
        <f t="shared" si="51"/>
        <v>1</v>
      </c>
      <c r="BY42" s="497">
        <f t="shared" si="52"/>
        <v>974</v>
      </c>
      <c r="BZ42" s="595">
        <f t="shared" si="19"/>
        <v>0</v>
      </c>
      <c r="CA42" s="537"/>
      <c r="CB42" s="568">
        <v>0.8</v>
      </c>
      <c r="CC42" s="605">
        <f t="shared" si="35"/>
        <v>779.2</v>
      </c>
      <c r="CD42" s="537">
        <v>3</v>
      </c>
      <c r="CE42" s="506" t="str">
        <f t="shared" si="36"/>
        <v>Excellent coverage</v>
      </c>
      <c r="CF42" s="492">
        <v>0</v>
      </c>
      <c r="CG42" s="538" t="s">
        <v>302</v>
      </c>
      <c r="CH42" s="580"/>
    </row>
    <row r="43" spans="2:86" s="40" customFormat="1" ht="30" customHeight="1" x14ac:dyDescent="0.2">
      <c r="B43" s="527" t="s">
        <v>135</v>
      </c>
      <c r="C43" s="488" t="s">
        <v>572</v>
      </c>
      <c r="D43" s="117" t="s">
        <v>265</v>
      </c>
      <c r="E43" s="488" t="s">
        <v>140</v>
      </c>
      <c r="F43" s="117">
        <v>97.373361000000003</v>
      </c>
      <c r="G43" s="117">
        <v>25.403476999999999</v>
      </c>
      <c r="H43" s="117" t="s">
        <v>509</v>
      </c>
      <c r="I43" s="117" t="s">
        <v>218</v>
      </c>
      <c r="J43" s="546">
        <v>106</v>
      </c>
      <c r="K43" s="546">
        <v>468</v>
      </c>
      <c r="L43" s="546">
        <v>468</v>
      </c>
      <c r="M43" s="490" t="str">
        <f t="shared" si="37"/>
        <v>2. Medium</v>
      </c>
      <c r="N43" s="528" t="s">
        <v>235</v>
      </c>
      <c r="O43" s="553" t="s">
        <v>235</v>
      </c>
      <c r="P43" s="545" t="str">
        <f t="shared" si="20"/>
        <v>Covered</v>
      </c>
      <c r="Q43" s="491" t="s">
        <v>708</v>
      </c>
      <c r="R43" s="489"/>
      <c r="S43" s="491"/>
      <c r="T43" s="528" t="s">
        <v>260</v>
      </c>
      <c r="U43" s="533" t="str">
        <f t="shared" si="21"/>
        <v>Documented</v>
      </c>
      <c r="V43" s="537">
        <v>0</v>
      </c>
      <c r="W43" s="492">
        <v>0</v>
      </c>
      <c r="X43" s="538" t="s">
        <v>19</v>
      </c>
      <c r="Y43" s="537">
        <v>1</v>
      </c>
      <c r="Z43" s="492">
        <v>3</v>
      </c>
      <c r="AA43" s="538">
        <v>3000</v>
      </c>
      <c r="AB43" s="567">
        <v>0</v>
      </c>
      <c r="AC43" s="568">
        <v>1</v>
      </c>
      <c r="AD43" s="574">
        <f t="shared" si="1"/>
        <v>1</v>
      </c>
      <c r="AE43" s="495">
        <f t="shared" si="22"/>
        <v>468</v>
      </c>
      <c r="AF43" s="496">
        <f t="shared" si="38"/>
        <v>1</v>
      </c>
      <c r="AG43" s="497">
        <f t="shared" si="23"/>
        <v>468</v>
      </c>
      <c r="AH43" s="494">
        <f t="shared" si="39"/>
        <v>1</v>
      </c>
      <c r="AI43" s="497">
        <f t="shared" si="24"/>
        <v>468</v>
      </c>
      <c r="AJ43" s="498" t="str">
        <f t="shared" si="40"/>
        <v>80-100%</v>
      </c>
      <c r="AK43" s="494">
        <f t="shared" si="41"/>
        <v>0</v>
      </c>
      <c r="AL43" s="499">
        <f t="shared" si="42"/>
        <v>0</v>
      </c>
      <c r="AM43" s="497">
        <f t="shared" si="43"/>
        <v>0</v>
      </c>
      <c r="AN43" s="497">
        <f t="shared" si="44"/>
        <v>106</v>
      </c>
      <c r="AO43" s="497">
        <f t="shared" si="25"/>
        <v>0</v>
      </c>
      <c r="AP43" s="568">
        <v>1</v>
      </c>
      <c r="AQ43" s="577">
        <f t="shared" si="26"/>
        <v>468</v>
      </c>
      <c r="AR43" s="581" t="s">
        <v>835</v>
      </c>
      <c r="AS43" s="537">
        <v>27</v>
      </c>
      <c r="AT43" s="492">
        <v>0</v>
      </c>
      <c r="AU43" s="492">
        <v>20</v>
      </c>
      <c r="AV43" s="492" t="s">
        <v>299</v>
      </c>
      <c r="AW43" s="500">
        <f t="shared" si="45"/>
        <v>0.85470085470085466</v>
      </c>
      <c r="AX43" s="497">
        <f t="shared" si="27"/>
        <v>400</v>
      </c>
      <c r="AY43" s="500">
        <f t="shared" si="46"/>
        <v>0</v>
      </c>
      <c r="AZ43" s="497">
        <f t="shared" si="28"/>
        <v>0</v>
      </c>
      <c r="BA43" s="500">
        <f t="shared" si="47"/>
        <v>0.85470085470085466</v>
      </c>
      <c r="BB43" s="497">
        <f t="shared" si="29"/>
        <v>400</v>
      </c>
      <c r="BC43" s="492">
        <v>0</v>
      </c>
      <c r="BD43" s="493">
        <v>0.85</v>
      </c>
      <c r="BE43" s="501">
        <f t="shared" si="48"/>
        <v>397.8</v>
      </c>
      <c r="BF43" s="502">
        <f t="shared" si="30"/>
        <v>3.3999999999999986</v>
      </c>
      <c r="BG43" s="492">
        <v>1</v>
      </c>
      <c r="BH43" s="492" t="s">
        <v>91</v>
      </c>
      <c r="BI43" s="500">
        <f t="shared" si="31"/>
        <v>0.21367521367521367</v>
      </c>
      <c r="BJ43" s="497">
        <f t="shared" si="32"/>
        <v>100</v>
      </c>
      <c r="BK43" s="502">
        <f t="shared" si="33"/>
        <v>3.6799999999999997</v>
      </c>
      <c r="BL43" s="493">
        <v>0.21</v>
      </c>
      <c r="BM43" s="497">
        <f t="shared" si="34"/>
        <v>98.28</v>
      </c>
      <c r="BN43" s="492">
        <v>4</v>
      </c>
      <c r="BO43" s="500">
        <f t="shared" si="49"/>
        <v>0.85470085470085466</v>
      </c>
      <c r="BP43" s="502">
        <f t="shared" si="50"/>
        <v>0.67999999999999972</v>
      </c>
      <c r="BQ43" s="568">
        <v>0.85</v>
      </c>
      <c r="BR43" s="580" t="s">
        <v>841</v>
      </c>
      <c r="BS43" s="594">
        <v>41781</v>
      </c>
      <c r="BT43" s="503">
        <f t="shared" si="15"/>
        <v>42146</v>
      </c>
      <c r="BU43" s="546">
        <v>106</v>
      </c>
      <c r="BV43" s="546">
        <v>2</v>
      </c>
      <c r="BW43" s="504">
        <f t="shared" si="16"/>
        <v>0</v>
      </c>
      <c r="BX43" s="505">
        <f t="shared" si="51"/>
        <v>1</v>
      </c>
      <c r="BY43" s="497">
        <f t="shared" si="52"/>
        <v>468</v>
      </c>
      <c r="BZ43" s="595">
        <f t="shared" si="19"/>
        <v>8</v>
      </c>
      <c r="CA43" s="537"/>
      <c r="CB43" s="568">
        <v>0.5</v>
      </c>
      <c r="CC43" s="605">
        <f t="shared" si="35"/>
        <v>234</v>
      </c>
      <c r="CD43" s="537">
        <v>0</v>
      </c>
      <c r="CE43" s="506" t="str">
        <f t="shared" si="36"/>
        <v>No coverage</v>
      </c>
      <c r="CF43" s="492">
        <v>0</v>
      </c>
      <c r="CG43" s="538" t="s">
        <v>302</v>
      </c>
      <c r="CH43" s="580"/>
    </row>
    <row r="44" spans="2:86" s="40" customFormat="1" ht="30" customHeight="1" x14ac:dyDescent="0.2">
      <c r="B44" s="527" t="s">
        <v>135</v>
      </c>
      <c r="C44" s="488" t="s">
        <v>567</v>
      </c>
      <c r="D44" s="117" t="s">
        <v>265</v>
      </c>
      <c r="E44" s="488" t="s">
        <v>141</v>
      </c>
      <c r="F44" s="117">
        <v>97.405120999999994</v>
      </c>
      <c r="G44" s="117">
        <v>25.365891000000001</v>
      </c>
      <c r="H44" s="117" t="s">
        <v>509</v>
      </c>
      <c r="I44" s="117" t="s">
        <v>218</v>
      </c>
      <c r="J44" s="546">
        <v>44</v>
      </c>
      <c r="K44" s="546">
        <v>180</v>
      </c>
      <c r="L44" s="546">
        <v>180</v>
      </c>
      <c r="M44" s="490" t="str">
        <f t="shared" si="37"/>
        <v>1. Small</v>
      </c>
      <c r="N44" s="528" t="s">
        <v>239</v>
      </c>
      <c r="O44" s="553" t="s">
        <v>239</v>
      </c>
      <c r="P44" s="545" t="str">
        <f t="shared" si="20"/>
        <v>Covered</v>
      </c>
      <c r="Q44" s="491">
        <v>42185</v>
      </c>
      <c r="R44" s="489" t="s">
        <v>240</v>
      </c>
      <c r="S44" s="491">
        <v>42185</v>
      </c>
      <c r="T44" s="528" t="s">
        <v>260</v>
      </c>
      <c r="U44" s="533" t="str">
        <f t="shared" si="21"/>
        <v>Documented</v>
      </c>
      <c r="V44" s="537">
        <v>0</v>
      </c>
      <c r="W44" s="492">
        <v>0</v>
      </c>
      <c r="X44" s="538" t="s">
        <v>19</v>
      </c>
      <c r="Y44" s="537">
        <v>1</v>
      </c>
      <c r="Z44" s="492">
        <v>1</v>
      </c>
      <c r="AA44" s="538">
        <v>0</v>
      </c>
      <c r="AB44" s="567">
        <v>0</v>
      </c>
      <c r="AC44" s="568">
        <v>1</v>
      </c>
      <c r="AD44" s="574">
        <f t="shared" si="1"/>
        <v>1</v>
      </c>
      <c r="AE44" s="495">
        <f t="shared" si="22"/>
        <v>180</v>
      </c>
      <c r="AF44" s="496">
        <f t="shared" si="38"/>
        <v>1</v>
      </c>
      <c r="AG44" s="497">
        <f t="shared" si="23"/>
        <v>180</v>
      </c>
      <c r="AH44" s="494">
        <f t="shared" si="39"/>
        <v>1</v>
      </c>
      <c r="AI44" s="497">
        <f t="shared" si="24"/>
        <v>180</v>
      </c>
      <c r="AJ44" s="498" t="str">
        <f t="shared" si="40"/>
        <v>80-100%</v>
      </c>
      <c r="AK44" s="494">
        <f t="shared" si="41"/>
        <v>0</v>
      </c>
      <c r="AL44" s="499">
        <f t="shared" si="42"/>
        <v>0</v>
      </c>
      <c r="AM44" s="497">
        <f t="shared" si="43"/>
        <v>0</v>
      </c>
      <c r="AN44" s="497">
        <f t="shared" si="44"/>
        <v>44</v>
      </c>
      <c r="AO44" s="497">
        <f t="shared" si="25"/>
        <v>0</v>
      </c>
      <c r="AP44" s="568">
        <v>1</v>
      </c>
      <c r="AQ44" s="577">
        <f t="shared" si="26"/>
        <v>180</v>
      </c>
      <c r="AR44" s="581"/>
      <c r="AS44" s="537">
        <v>0</v>
      </c>
      <c r="AT44" s="492">
        <v>0</v>
      </c>
      <c r="AU44" s="492">
        <v>8</v>
      </c>
      <c r="AV44" s="492" t="s">
        <v>299</v>
      </c>
      <c r="AW44" s="500">
        <f t="shared" si="45"/>
        <v>0.88888888888888884</v>
      </c>
      <c r="AX44" s="497">
        <f t="shared" si="27"/>
        <v>160</v>
      </c>
      <c r="AY44" s="500">
        <f t="shared" si="46"/>
        <v>0</v>
      </c>
      <c r="AZ44" s="497">
        <f t="shared" si="28"/>
        <v>0</v>
      </c>
      <c r="BA44" s="500">
        <f t="shared" si="47"/>
        <v>0.88888888888888884</v>
      </c>
      <c r="BB44" s="497">
        <f t="shared" si="29"/>
        <v>160</v>
      </c>
      <c r="BC44" s="492">
        <v>0</v>
      </c>
      <c r="BD44" s="493">
        <v>0.89</v>
      </c>
      <c r="BE44" s="501">
        <f t="shared" si="48"/>
        <v>160.19999999999999</v>
      </c>
      <c r="BF44" s="502">
        <f t="shared" si="30"/>
        <v>1</v>
      </c>
      <c r="BG44" s="492">
        <v>2</v>
      </c>
      <c r="BH44" s="492" t="s">
        <v>91</v>
      </c>
      <c r="BI44" s="500">
        <f t="shared" si="31"/>
        <v>1</v>
      </c>
      <c r="BJ44" s="497">
        <f t="shared" si="32"/>
        <v>180</v>
      </c>
      <c r="BK44" s="502">
        <f t="shared" si="33"/>
        <v>0</v>
      </c>
      <c r="BL44" s="493">
        <v>1</v>
      </c>
      <c r="BM44" s="497">
        <f t="shared" si="34"/>
        <v>180</v>
      </c>
      <c r="BN44" s="492">
        <v>3</v>
      </c>
      <c r="BO44" s="500">
        <f t="shared" si="49"/>
        <v>1</v>
      </c>
      <c r="BP44" s="502">
        <f t="shared" si="50"/>
        <v>0</v>
      </c>
      <c r="BQ44" s="568">
        <v>1</v>
      </c>
      <c r="BR44" s="580" t="s">
        <v>811</v>
      </c>
      <c r="BS44" s="594">
        <v>42053</v>
      </c>
      <c r="BT44" s="503">
        <f t="shared" si="15"/>
        <v>42418</v>
      </c>
      <c r="BU44" s="546">
        <v>44</v>
      </c>
      <c r="BV44" s="546">
        <v>3</v>
      </c>
      <c r="BW44" s="504">
        <f t="shared" si="16"/>
        <v>0</v>
      </c>
      <c r="BX44" s="505">
        <f t="shared" si="51"/>
        <v>1</v>
      </c>
      <c r="BY44" s="497">
        <f t="shared" si="52"/>
        <v>180</v>
      </c>
      <c r="BZ44" s="595">
        <f t="shared" si="19"/>
        <v>0</v>
      </c>
      <c r="CA44" s="537"/>
      <c r="CB44" s="568">
        <v>0.8</v>
      </c>
      <c r="CC44" s="605">
        <f t="shared" si="35"/>
        <v>144</v>
      </c>
      <c r="CD44" s="537">
        <v>1</v>
      </c>
      <c r="CE44" s="506" t="str">
        <f t="shared" si="36"/>
        <v>Excellent coverage</v>
      </c>
      <c r="CF44" s="492">
        <v>0</v>
      </c>
      <c r="CG44" s="538" t="s">
        <v>302</v>
      </c>
      <c r="CH44" s="580"/>
    </row>
    <row r="45" spans="2:86" s="40" customFormat="1" ht="30" customHeight="1" x14ac:dyDescent="0.2">
      <c r="B45" s="527" t="s">
        <v>135</v>
      </c>
      <c r="C45" s="488" t="s">
        <v>788</v>
      </c>
      <c r="D45" s="117" t="s">
        <v>265</v>
      </c>
      <c r="E45" s="488" t="s">
        <v>200</v>
      </c>
      <c r="F45" s="117" t="s">
        <v>543</v>
      </c>
      <c r="G45" s="117" t="s">
        <v>543</v>
      </c>
      <c r="H45" s="117" t="s">
        <v>530</v>
      </c>
      <c r="I45" s="117" t="s">
        <v>226</v>
      </c>
      <c r="J45" s="546">
        <v>375</v>
      </c>
      <c r="K45" s="546">
        <v>1691</v>
      </c>
      <c r="L45" s="546">
        <v>1691</v>
      </c>
      <c r="M45" s="490" t="str">
        <f t="shared" si="37"/>
        <v>3. Large</v>
      </c>
      <c r="N45" s="528"/>
      <c r="O45" s="553" t="s">
        <v>309</v>
      </c>
      <c r="P45" s="545" t="str">
        <f t="shared" si="20"/>
        <v>Not covered</v>
      </c>
      <c r="Q45" s="491"/>
      <c r="R45" s="489"/>
      <c r="S45" s="491"/>
      <c r="T45" s="528" t="s">
        <v>262</v>
      </c>
      <c r="U45" s="533" t="str">
        <f t="shared" si="21"/>
        <v>Not documented</v>
      </c>
      <c r="V45" s="537">
        <v>0</v>
      </c>
      <c r="W45" s="492">
        <v>0</v>
      </c>
      <c r="X45" s="538" t="s">
        <v>19</v>
      </c>
      <c r="Y45" s="537">
        <v>0</v>
      </c>
      <c r="Z45" s="492">
        <v>0</v>
      </c>
      <c r="AA45" s="538">
        <v>0</v>
      </c>
      <c r="AB45" s="567">
        <v>0</v>
      </c>
      <c r="AC45" s="568">
        <v>0</v>
      </c>
      <c r="AD45" s="574">
        <f t="shared" si="1"/>
        <v>0</v>
      </c>
      <c r="AE45" s="495">
        <f t="shared" si="22"/>
        <v>0</v>
      </c>
      <c r="AF45" s="496">
        <f t="shared" si="38"/>
        <v>0</v>
      </c>
      <c r="AG45" s="497">
        <f t="shared" si="23"/>
        <v>0</v>
      </c>
      <c r="AH45" s="494">
        <f t="shared" si="39"/>
        <v>0</v>
      </c>
      <c r="AI45" s="497">
        <f t="shared" si="24"/>
        <v>0</v>
      </c>
      <c r="AJ45" s="498" t="str">
        <f t="shared" si="40"/>
        <v>0-10%</v>
      </c>
      <c r="AK45" s="494">
        <f t="shared" si="41"/>
        <v>0</v>
      </c>
      <c r="AL45" s="499">
        <f t="shared" si="42"/>
        <v>0</v>
      </c>
      <c r="AM45" s="497">
        <f t="shared" si="43"/>
        <v>4.2275</v>
      </c>
      <c r="AN45" s="497">
        <f t="shared" si="44"/>
        <v>0</v>
      </c>
      <c r="AO45" s="497">
        <f t="shared" si="25"/>
        <v>0</v>
      </c>
      <c r="AP45" s="568">
        <v>0</v>
      </c>
      <c r="AQ45" s="577">
        <f t="shared" si="26"/>
        <v>0</v>
      </c>
      <c r="AR45" s="581" t="s">
        <v>806</v>
      </c>
      <c r="AS45" s="537">
        <v>0</v>
      </c>
      <c r="AT45" s="492">
        <v>0</v>
      </c>
      <c r="AU45" s="492">
        <v>0</v>
      </c>
      <c r="AV45" s="492" t="s">
        <v>91</v>
      </c>
      <c r="AW45" s="500">
        <f t="shared" si="45"/>
        <v>0</v>
      </c>
      <c r="AX45" s="497">
        <f t="shared" si="27"/>
        <v>0</v>
      </c>
      <c r="AY45" s="500">
        <f t="shared" si="46"/>
        <v>0</v>
      </c>
      <c r="AZ45" s="497">
        <f t="shared" si="28"/>
        <v>0</v>
      </c>
      <c r="BA45" s="500">
        <f t="shared" si="47"/>
        <v>0</v>
      </c>
      <c r="BB45" s="497">
        <f t="shared" si="29"/>
        <v>0</v>
      </c>
      <c r="BC45" s="492">
        <v>0</v>
      </c>
      <c r="BD45" s="493">
        <v>0</v>
      </c>
      <c r="BE45" s="501">
        <f t="shared" si="48"/>
        <v>0</v>
      </c>
      <c r="BF45" s="502">
        <f t="shared" si="30"/>
        <v>84.55</v>
      </c>
      <c r="BG45" s="492">
        <v>0</v>
      </c>
      <c r="BH45" s="492" t="s">
        <v>91</v>
      </c>
      <c r="BI45" s="500">
        <f t="shared" si="31"/>
        <v>0</v>
      </c>
      <c r="BJ45" s="497">
        <f t="shared" si="32"/>
        <v>0</v>
      </c>
      <c r="BK45" s="502">
        <f t="shared" si="33"/>
        <v>16.91</v>
      </c>
      <c r="BL45" s="493">
        <v>0</v>
      </c>
      <c r="BM45" s="497">
        <f t="shared" si="34"/>
        <v>0</v>
      </c>
      <c r="BN45" s="492">
        <v>0</v>
      </c>
      <c r="BO45" s="500">
        <f t="shared" si="49"/>
        <v>0</v>
      </c>
      <c r="BP45" s="502">
        <f t="shared" si="50"/>
        <v>16.91</v>
      </c>
      <c r="BQ45" s="568">
        <v>0</v>
      </c>
      <c r="BR45" s="580" t="s">
        <v>810</v>
      </c>
      <c r="BS45" s="594"/>
      <c r="BT45" s="503" t="str">
        <f t="shared" si="15"/>
        <v>To be realised</v>
      </c>
      <c r="BU45" s="546">
        <v>0</v>
      </c>
      <c r="BV45" s="546">
        <v>0</v>
      </c>
      <c r="BW45" s="504">
        <f t="shared" si="16"/>
        <v>375</v>
      </c>
      <c r="BX45" s="505">
        <f t="shared" si="51"/>
        <v>0</v>
      </c>
      <c r="BY45" s="497">
        <f t="shared" si="52"/>
        <v>0</v>
      </c>
      <c r="BZ45" s="595" t="str">
        <f t="shared" si="19"/>
        <v>Column BN to be completed</v>
      </c>
      <c r="CA45" s="537"/>
      <c r="CB45" s="568">
        <v>0</v>
      </c>
      <c r="CC45" s="605">
        <f t="shared" si="35"/>
        <v>0</v>
      </c>
      <c r="CD45" s="537">
        <v>0</v>
      </c>
      <c r="CE45" s="506" t="str">
        <f t="shared" si="36"/>
        <v>No coverage</v>
      </c>
      <c r="CF45" s="492">
        <v>0</v>
      </c>
      <c r="CG45" s="538" t="s">
        <v>543</v>
      </c>
      <c r="CH45" s="580" t="s">
        <v>734</v>
      </c>
    </row>
    <row r="46" spans="2:86" s="40" customFormat="1" ht="30" customHeight="1" x14ac:dyDescent="0.2">
      <c r="B46" s="527" t="s">
        <v>135</v>
      </c>
      <c r="C46" s="488" t="s">
        <v>569</v>
      </c>
      <c r="D46" s="117" t="s">
        <v>265</v>
      </c>
      <c r="E46" s="488" t="s">
        <v>142</v>
      </c>
      <c r="F46" s="117">
        <v>97.409317000000001</v>
      </c>
      <c r="G46" s="117">
        <v>25.362189999999998</v>
      </c>
      <c r="H46" s="117" t="s">
        <v>509</v>
      </c>
      <c r="I46" s="117" t="s">
        <v>218</v>
      </c>
      <c r="J46" s="546">
        <v>105</v>
      </c>
      <c r="K46" s="546">
        <v>563</v>
      </c>
      <c r="L46" s="546">
        <v>328</v>
      </c>
      <c r="M46" s="490" t="str">
        <f t="shared" si="37"/>
        <v>2. Medium</v>
      </c>
      <c r="N46" s="528" t="s">
        <v>239</v>
      </c>
      <c r="O46" s="553" t="s">
        <v>239</v>
      </c>
      <c r="P46" s="545" t="str">
        <f t="shared" si="20"/>
        <v>Covered</v>
      </c>
      <c r="Q46" s="491">
        <v>42185</v>
      </c>
      <c r="R46" s="489" t="s">
        <v>240</v>
      </c>
      <c r="S46" s="491">
        <v>42185</v>
      </c>
      <c r="T46" s="528" t="s">
        <v>260</v>
      </c>
      <c r="U46" s="533" t="str">
        <f t="shared" si="21"/>
        <v>Documented</v>
      </c>
      <c r="V46" s="537">
        <v>0</v>
      </c>
      <c r="W46" s="492">
        <v>0</v>
      </c>
      <c r="X46" s="538" t="s">
        <v>19</v>
      </c>
      <c r="Y46" s="537">
        <v>1</v>
      </c>
      <c r="Z46" s="492">
        <v>0</v>
      </c>
      <c r="AA46" s="538">
        <v>0</v>
      </c>
      <c r="AB46" s="567">
        <v>0</v>
      </c>
      <c r="AC46" s="568">
        <v>1</v>
      </c>
      <c r="AD46" s="574">
        <f t="shared" si="1"/>
        <v>1</v>
      </c>
      <c r="AE46" s="495">
        <f t="shared" si="22"/>
        <v>328</v>
      </c>
      <c r="AF46" s="496">
        <f t="shared" si="38"/>
        <v>1</v>
      </c>
      <c r="AG46" s="497">
        <f t="shared" si="23"/>
        <v>328</v>
      </c>
      <c r="AH46" s="494">
        <f t="shared" si="39"/>
        <v>1</v>
      </c>
      <c r="AI46" s="497">
        <f t="shared" si="24"/>
        <v>328</v>
      </c>
      <c r="AJ46" s="498" t="str">
        <f t="shared" si="40"/>
        <v>80-100%</v>
      </c>
      <c r="AK46" s="494">
        <f t="shared" si="41"/>
        <v>0</v>
      </c>
      <c r="AL46" s="499">
        <f t="shared" si="42"/>
        <v>0</v>
      </c>
      <c r="AM46" s="497">
        <f t="shared" si="43"/>
        <v>0</v>
      </c>
      <c r="AN46" s="497">
        <f t="shared" si="44"/>
        <v>105</v>
      </c>
      <c r="AO46" s="497">
        <f t="shared" si="25"/>
        <v>0</v>
      </c>
      <c r="AP46" s="568">
        <v>1</v>
      </c>
      <c r="AQ46" s="577">
        <f t="shared" si="26"/>
        <v>328</v>
      </c>
      <c r="AR46" s="581" t="s">
        <v>898</v>
      </c>
      <c r="AS46" s="537">
        <v>0</v>
      </c>
      <c r="AT46" s="492">
        <v>0</v>
      </c>
      <c r="AU46" s="492">
        <v>10</v>
      </c>
      <c r="AV46" s="492" t="s">
        <v>299</v>
      </c>
      <c r="AW46" s="500">
        <f t="shared" si="45"/>
        <v>0.6097560975609756</v>
      </c>
      <c r="AX46" s="497">
        <f t="shared" si="27"/>
        <v>200</v>
      </c>
      <c r="AY46" s="500">
        <f t="shared" si="46"/>
        <v>0</v>
      </c>
      <c r="AZ46" s="497">
        <f t="shared" si="28"/>
        <v>0</v>
      </c>
      <c r="BA46" s="500">
        <f t="shared" si="47"/>
        <v>0.6097560975609756</v>
      </c>
      <c r="BB46" s="497">
        <f t="shared" si="29"/>
        <v>200</v>
      </c>
      <c r="BC46" s="492">
        <v>0</v>
      </c>
      <c r="BD46" s="493">
        <v>0.61</v>
      </c>
      <c r="BE46" s="501">
        <f t="shared" si="48"/>
        <v>200.07999999999998</v>
      </c>
      <c r="BF46" s="502">
        <f t="shared" si="30"/>
        <v>6.3999999999999986</v>
      </c>
      <c r="BG46" s="492">
        <v>1</v>
      </c>
      <c r="BH46" s="492" t="s">
        <v>91</v>
      </c>
      <c r="BI46" s="500">
        <f t="shared" si="31"/>
        <v>0.3048780487804878</v>
      </c>
      <c r="BJ46" s="497">
        <f t="shared" si="32"/>
        <v>100</v>
      </c>
      <c r="BK46" s="502">
        <f t="shared" si="33"/>
        <v>4.63</v>
      </c>
      <c r="BL46" s="493">
        <v>0.3</v>
      </c>
      <c r="BM46" s="497">
        <f t="shared" si="34"/>
        <v>98.399999999999991</v>
      </c>
      <c r="BN46" s="492">
        <v>3</v>
      </c>
      <c r="BO46" s="500">
        <f t="shared" si="49"/>
        <v>0.91463414634146345</v>
      </c>
      <c r="BP46" s="502">
        <f t="shared" si="50"/>
        <v>2.63</v>
      </c>
      <c r="BQ46" s="568">
        <v>0.91</v>
      </c>
      <c r="BR46" s="580" t="s">
        <v>908</v>
      </c>
      <c r="BS46" s="594">
        <v>42053</v>
      </c>
      <c r="BT46" s="503">
        <f t="shared" si="15"/>
        <v>42418</v>
      </c>
      <c r="BU46" s="546">
        <v>105</v>
      </c>
      <c r="BV46" s="546">
        <v>3</v>
      </c>
      <c r="BW46" s="504">
        <f t="shared" si="16"/>
        <v>0</v>
      </c>
      <c r="BX46" s="505">
        <f t="shared" si="51"/>
        <v>1</v>
      </c>
      <c r="BY46" s="497">
        <f t="shared" si="52"/>
        <v>328</v>
      </c>
      <c r="BZ46" s="595">
        <f t="shared" si="19"/>
        <v>0</v>
      </c>
      <c r="CA46" s="537"/>
      <c r="CB46" s="568">
        <v>0.8</v>
      </c>
      <c r="CC46" s="605">
        <f t="shared" si="35"/>
        <v>262.40000000000003</v>
      </c>
      <c r="CD46" s="537">
        <v>1</v>
      </c>
      <c r="CE46" s="506" t="str">
        <f t="shared" si="36"/>
        <v>Excellent coverage</v>
      </c>
      <c r="CF46" s="492">
        <v>3</v>
      </c>
      <c r="CG46" s="538" t="s">
        <v>302</v>
      </c>
      <c r="CH46" s="580"/>
    </row>
    <row r="47" spans="2:86" s="40" customFormat="1" ht="30" customHeight="1" x14ac:dyDescent="0.2">
      <c r="B47" s="527" t="s">
        <v>135</v>
      </c>
      <c r="C47" s="488" t="s">
        <v>568</v>
      </c>
      <c r="D47" s="117" t="s">
        <v>265</v>
      </c>
      <c r="E47" s="488" t="s">
        <v>143</v>
      </c>
      <c r="F47" s="117">
        <v>97.408919999999995</v>
      </c>
      <c r="G47" s="117">
        <v>25.355983999999999</v>
      </c>
      <c r="H47" s="117" t="s">
        <v>509</v>
      </c>
      <c r="I47" s="117" t="s">
        <v>218</v>
      </c>
      <c r="J47" s="546">
        <v>143</v>
      </c>
      <c r="K47" s="546">
        <v>462</v>
      </c>
      <c r="L47" s="546">
        <v>717</v>
      </c>
      <c r="M47" s="490" t="str">
        <f t="shared" si="37"/>
        <v>2. Medium</v>
      </c>
      <c r="N47" s="528" t="s">
        <v>239</v>
      </c>
      <c r="O47" s="553" t="s">
        <v>239</v>
      </c>
      <c r="P47" s="545" t="str">
        <f t="shared" si="20"/>
        <v>Covered</v>
      </c>
      <c r="Q47" s="491">
        <v>42185</v>
      </c>
      <c r="R47" s="489" t="s">
        <v>240</v>
      </c>
      <c r="S47" s="491">
        <v>42185</v>
      </c>
      <c r="T47" s="528" t="s">
        <v>260</v>
      </c>
      <c r="U47" s="533" t="str">
        <f t="shared" si="21"/>
        <v>Documented</v>
      </c>
      <c r="V47" s="537">
        <v>0</v>
      </c>
      <c r="W47" s="492">
        <v>0</v>
      </c>
      <c r="X47" s="538" t="s">
        <v>19</v>
      </c>
      <c r="Y47" s="537">
        <v>0</v>
      </c>
      <c r="Z47" s="492">
        <v>3</v>
      </c>
      <c r="AA47" s="538">
        <v>5600</v>
      </c>
      <c r="AB47" s="567">
        <v>0</v>
      </c>
      <c r="AC47" s="568">
        <v>1</v>
      </c>
      <c r="AD47" s="574">
        <f t="shared" si="1"/>
        <v>1</v>
      </c>
      <c r="AE47" s="495">
        <f t="shared" si="22"/>
        <v>717</v>
      </c>
      <c r="AF47" s="496">
        <f t="shared" si="38"/>
        <v>1</v>
      </c>
      <c r="AG47" s="497">
        <f t="shared" si="23"/>
        <v>717</v>
      </c>
      <c r="AH47" s="494">
        <f t="shared" si="39"/>
        <v>1</v>
      </c>
      <c r="AI47" s="497">
        <f t="shared" si="24"/>
        <v>717</v>
      </c>
      <c r="AJ47" s="498" t="str">
        <f t="shared" si="40"/>
        <v>80-100%</v>
      </c>
      <c r="AK47" s="494">
        <f t="shared" si="41"/>
        <v>0</v>
      </c>
      <c r="AL47" s="499">
        <f t="shared" si="42"/>
        <v>0</v>
      </c>
      <c r="AM47" s="497">
        <f t="shared" si="43"/>
        <v>0</v>
      </c>
      <c r="AN47" s="497">
        <f t="shared" si="44"/>
        <v>143</v>
      </c>
      <c r="AO47" s="497">
        <f t="shared" si="25"/>
        <v>0</v>
      </c>
      <c r="AP47" s="568">
        <v>1</v>
      </c>
      <c r="AQ47" s="577">
        <f t="shared" si="26"/>
        <v>717</v>
      </c>
      <c r="AR47" s="581"/>
      <c r="AS47" s="537">
        <v>0</v>
      </c>
      <c r="AT47" s="492">
        <v>0</v>
      </c>
      <c r="AU47" s="492">
        <v>34</v>
      </c>
      <c r="AV47" s="492" t="s">
        <v>299</v>
      </c>
      <c r="AW47" s="500">
        <f t="shared" si="45"/>
        <v>0.94839609483960952</v>
      </c>
      <c r="AX47" s="497">
        <f t="shared" si="27"/>
        <v>680</v>
      </c>
      <c r="AY47" s="500">
        <f t="shared" si="46"/>
        <v>0</v>
      </c>
      <c r="AZ47" s="497">
        <f t="shared" si="28"/>
        <v>0</v>
      </c>
      <c r="BA47" s="500">
        <f t="shared" si="47"/>
        <v>0.94839609483960952</v>
      </c>
      <c r="BB47" s="497">
        <f t="shared" si="29"/>
        <v>680</v>
      </c>
      <c r="BC47" s="492">
        <v>0</v>
      </c>
      <c r="BD47" s="493">
        <v>0.95</v>
      </c>
      <c r="BE47" s="501">
        <f t="shared" si="48"/>
        <v>681.15</v>
      </c>
      <c r="BF47" s="502">
        <f t="shared" si="30"/>
        <v>1.8500000000000014</v>
      </c>
      <c r="BG47" s="492">
        <v>2</v>
      </c>
      <c r="BH47" s="492" t="s">
        <v>300</v>
      </c>
      <c r="BI47" s="500">
        <f t="shared" si="31"/>
        <v>0.2789400278940028</v>
      </c>
      <c r="BJ47" s="497">
        <f t="shared" si="32"/>
        <v>200</v>
      </c>
      <c r="BK47" s="502">
        <f t="shared" si="33"/>
        <v>2.62</v>
      </c>
      <c r="BL47" s="493">
        <v>0.28000000000000003</v>
      </c>
      <c r="BM47" s="497">
        <f t="shared" si="34"/>
        <v>200.76000000000002</v>
      </c>
      <c r="BN47" s="492">
        <v>9</v>
      </c>
      <c r="BO47" s="500">
        <f t="shared" si="49"/>
        <v>1</v>
      </c>
      <c r="BP47" s="502">
        <f t="shared" si="50"/>
        <v>0</v>
      </c>
      <c r="BQ47" s="568">
        <v>1</v>
      </c>
      <c r="BR47" s="580" t="s">
        <v>723</v>
      </c>
      <c r="BS47" s="594">
        <v>42053</v>
      </c>
      <c r="BT47" s="503">
        <f t="shared" si="15"/>
        <v>42418</v>
      </c>
      <c r="BU47" s="546">
        <v>143</v>
      </c>
      <c r="BV47" s="546">
        <v>3</v>
      </c>
      <c r="BW47" s="504">
        <f t="shared" si="16"/>
        <v>0</v>
      </c>
      <c r="BX47" s="505">
        <f t="shared" si="51"/>
        <v>1</v>
      </c>
      <c r="BY47" s="497">
        <f t="shared" si="52"/>
        <v>717</v>
      </c>
      <c r="BZ47" s="595">
        <f t="shared" si="19"/>
        <v>0</v>
      </c>
      <c r="CA47" s="537"/>
      <c r="CB47" s="568">
        <v>0.8</v>
      </c>
      <c r="CC47" s="605">
        <f t="shared" si="35"/>
        <v>573.6</v>
      </c>
      <c r="CD47" s="537">
        <v>2</v>
      </c>
      <c r="CE47" s="506" t="str">
        <f t="shared" si="36"/>
        <v>Excellent coverage</v>
      </c>
      <c r="CF47" s="492">
        <v>0</v>
      </c>
      <c r="CG47" s="538" t="s">
        <v>302</v>
      </c>
      <c r="CH47" s="580"/>
    </row>
    <row r="48" spans="2:86" s="40" customFormat="1" ht="30" customHeight="1" x14ac:dyDescent="0.2">
      <c r="B48" s="527" t="s">
        <v>135</v>
      </c>
      <c r="C48" s="488" t="s">
        <v>570</v>
      </c>
      <c r="D48" s="117" t="s">
        <v>265</v>
      </c>
      <c r="E48" s="488" t="s">
        <v>144</v>
      </c>
      <c r="F48" s="117">
        <v>97.411606000000006</v>
      </c>
      <c r="G48" s="117">
        <v>25.360475999999998</v>
      </c>
      <c r="H48" s="117" t="s">
        <v>509</v>
      </c>
      <c r="I48" s="117" t="s">
        <v>218</v>
      </c>
      <c r="J48" s="546">
        <v>71</v>
      </c>
      <c r="K48" s="546">
        <v>319</v>
      </c>
      <c r="L48" s="546">
        <v>319</v>
      </c>
      <c r="M48" s="490" t="str">
        <f t="shared" si="37"/>
        <v>2. Medium</v>
      </c>
      <c r="N48" s="528" t="s">
        <v>239</v>
      </c>
      <c r="O48" s="553" t="s">
        <v>239</v>
      </c>
      <c r="P48" s="545" t="str">
        <f t="shared" si="20"/>
        <v>Covered</v>
      </c>
      <c r="Q48" s="491">
        <v>42185</v>
      </c>
      <c r="R48" s="489" t="s">
        <v>240</v>
      </c>
      <c r="S48" s="491">
        <v>42185</v>
      </c>
      <c r="T48" s="528" t="s">
        <v>260</v>
      </c>
      <c r="U48" s="533" t="str">
        <f t="shared" si="21"/>
        <v>Documented</v>
      </c>
      <c r="V48" s="537">
        <v>0</v>
      </c>
      <c r="W48" s="492">
        <v>0</v>
      </c>
      <c r="X48" s="538" t="s">
        <v>19</v>
      </c>
      <c r="Y48" s="537">
        <v>1</v>
      </c>
      <c r="Z48" s="492">
        <v>1</v>
      </c>
      <c r="AA48" s="538">
        <v>1600</v>
      </c>
      <c r="AB48" s="567">
        <v>0</v>
      </c>
      <c r="AC48" s="568">
        <v>1</v>
      </c>
      <c r="AD48" s="574">
        <f t="shared" si="1"/>
        <v>1</v>
      </c>
      <c r="AE48" s="495">
        <f t="shared" si="22"/>
        <v>319</v>
      </c>
      <c r="AF48" s="496">
        <f t="shared" si="38"/>
        <v>1</v>
      </c>
      <c r="AG48" s="497">
        <f t="shared" si="23"/>
        <v>319</v>
      </c>
      <c r="AH48" s="494">
        <f t="shared" si="39"/>
        <v>1</v>
      </c>
      <c r="AI48" s="497">
        <f t="shared" si="24"/>
        <v>319</v>
      </c>
      <c r="AJ48" s="498" t="str">
        <f t="shared" si="40"/>
        <v>80-100%</v>
      </c>
      <c r="AK48" s="494">
        <f t="shared" si="41"/>
        <v>0</v>
      </c>
      <c r="AL48" s="499">
        <f t="shared" si="42"/>
        <v>0</v>
      </c>
      <c r="AM48" s="497">
        <f t="shared" si="43"/>
        <v>0</v>
      </c>
      <c r="AN48" s="497">
        <f t="shared" si="44"/>
        <v>71</v>
      </c>
      <c r="AO48" s="497">
        <f t="shared" si="25"/>
        <v>0</v>
      </c>
      <c r="AP48" s="568">
        <v>1</v>
      </c>
      <c r="AQ48" s="577">
        <f t="shared" si="26"/>
        <v>319</v>
      </c>
      <c r="AR48" s="581"/>
      <c r="AS48" s="537">
        <v>0</v>
      </c>
      <c r="AT48" s="492">
        <v>0</v>
      </c>
      <c r="AU48" s="492">
        <v>12</v>
      </c>
      <c r="AV48" s="492" t="s">
        <v>299</v>
      </c>
      <c r="AW48" s="500">
        <f t="shared" si="45"/>
        <v>0.75235109717868343</v>
      </c>
      <c r="AX48" s="497">
        <f t="shared" si="27"/>
        <v>240</v>
      </c>
      <c r="AY48" s="500">
        <f t="shared" si="46"/>
        <v>0</v>
      </c>
      <c r="AZ48" s="497">
        <f t="shared" si="28"/>
        <v>0</v>
      </c>
      <c r="BA48" s="500">
        <f t="shared" si="47"/>
        <v>0.75235109717868343</v>
      </c>
      <c r="BB48" s="497">
        <f t="shared" si="29"/>
        <v>240</v>
      </c>
      <c r="BC48" s="492">
        <v>0</v>
      </c>
      <c r="BD48" s="493">
        <v>0.75</v>
      </c>
      <c r="BE48" s="501">
        <f t="shared" si="48"/>
        <v>239.25</v>
      </c>
      <c r="BF48" s="502">
        <f t="shared" si="30"/>
        <v>3.9499999999999993</v>
      </c>
      <c r="BG48" s="492">
        <v>2</v>
      </c>
      <c r="BH48" s="492" t="s">
        <v>91</v>
      </c>
      <c r="BI48" s="500">
        <f t="shared" si="31"/>
        <v>0.62695924764890287</v>
      </c>
      <c r="BJ48" s="497">
        <f t="shared" si="32"/>
        <v>200.00000000000003</v>
      </c>
      <c r="BK48" s="502">
        <f t="shared" si="33"/>
        <v>1.19</v>
      </c>
      <c r="BL48" s="493">
        <v>0.63</v>
      </c>
      <c r="BM48" s="497">
        <f t="shared" si="34"/>
        <v>200.97</v>
      </c>
      <c r="BN48" s="492">
        <v>3</v>
      </c>
      <c r="BO48" s="500">
        <f t="shared" si="49"/>
        <v>0.94043887147335425</v>
      </c>
      <c r="BP48" s="502">
        <f t="shared" si="50"/>
        <v>0.18999999999999995</v>
      </c>
      <c r="BQ48" s="568">
        <v>0.94</v>
      </c>
      <c r="BR48" s="580" t="s">
        <v>842</v>
      </c>
      <c r="BS48" s="594">
        <v>42053</v>
      </c>
      <c r="BT48" s="503">
        <f t="shared" si="15"/>
        <v>42418</v>
      </c>
      <c r="BU48" s="546">
        <v>71</v>
      </c>
      <c r="BV48" s="546">
        <v>3</v>
      </c>
      <c r="BW48" s="504">
        <f t="shared" si="16"/>
        <v>0</v>
      </c>
      <c r="BX48" s="505">
        <f t="shared" si="51"/>
        <v>1</v>
      </c>
      <c r="BY48" s="497">
        <f t="shared" si="52"/>
        <v>319</v>
      </c>
      <c r="BZ48" s="595">
        <f t="shared" si="19"/>
        <v>0</v>
      </c>
      <c r="CA48" s="537"/>
      <c r="CB48" s="568">
        <v>0.8</v>
      </c>
      <c r="CC48" s="605">
        <f t="shared" si="35"/>
        <v>255.20000000000002</v>
      </c>
      <c r="CD48" s="537">
        <v>1</v>
      </c>
      <c r="CE48" s="506" t="str">
        <f t="shared" si="36"/>
        <v>Excellent coverage</v>
      </c>
      <c r="CF48" s="492">
        <v>2</v>
      </c>
      <c r="CG48" s="538" t="s">
        <v>302</v>
      </c>
      <c r="CH48" s="580"/>
    </row>
    <row r="49" spans="2:86" s="40" customFormat="1" ht="30" customHeight="1" x14ac:dyDescent="0.2">
      <c r="B49" s="527" t="s">
        <v>135</v>
      </c>
      <c r="C49" s="488" t="s">
        <v>563</v>
      </c>
      <c r="D49" s="117" t="s">
        <v>265</v>
      </c>
      <c r="E49" s="488" t="s">
        <v>145</v>
      </c>
      <c r="F49" s="117">
        <v>97.418694000000002</v>
      </c>
      <c r="G49" s="117">
        <v>25.428910999999999</v>
      </c>
      <c r="H49" s="117" t="s">
        <v>509</v>
      </c>
      <c r="I49" s="117" t="s">
        <v>218</v>
      </c>
      <c r="J49" s="546">
        <v>87</v>
      </c>
      <c r="K49" s="546">
        <v>452</v>
      </c>
      <c r="L49" s="546">
        <v>452</v>
      </c>
      <c r="M49" s="490" t="str">
        <f t="shared" si="37"/>
        <v>2. Medium</v>
      </c>
      <c r="N49" s="528" t="s">
        <v>239</v>
      </c>
      <c r="O49" s="553" t="s">
        <v>239</v>
      </c>
      <c r="P49" s="545" t="str">
        <f t="shared" si="20"/>
        <v>Covered</v>
      </c>
      <c r="Q49" s="491">
        <v>42185</v>
      </c>
      <c r="R49" s="489" t="s">
        <v>240</v>
      </c>
      <c r="S49" s="491">
        <v>42185</v>
      </c>
      <c r="T49" s="528" t="s">
        <v>260</v>
      </c>
      <c r="U49" s="533" t="str">
        <f t="shared" si="21"/>
        <v>Documented</v>
      </c>
      <c r="V49" s="537">
        <v>0</v>
      </c>
      <c r="W49" s="492">
        <v>0</v>
      </c>
      <c r="X49" s="538" t="s">
        <v>19</v>
      </c>
      <c r="Y49" s="537">
        <v>2</v>
      </c>
      <c r="Z49" s="492">
        <v>0</v>
      </c>
      <c r="AA49" s="538">
        <v>1000</v>
      </c>
      <c r="AB49" s="567">
        <v>0</v>
      </c>
      <c r="AC49" s="568">
        <v>1</v>
      </c>
      <c r="AD49" s="574">
        <f t="shared" si="1"/>
        <v>1</v>
      </c>
      <c r="AE49" s="495">
        <f t="shared" si="22"/>
        <v>452</v>
      </c>
      <c r="AF49" s="496">
        <f t="shared" si="38"/>
        <v>1</v>
      </c>
      <c r="AG49" s="497">
        <f t="shared" si="23"/>
        <v>452</v>
      </c>
      <c r="AH49" s="494">
        <f t="shared" si="39"/>
        <v>1</v>
      </c>
      <c r="AI49" s="497">
        <f t="shared" si="24"/>
        <v>452</v>
      </c>
      <c r="AJ49" s="498" t="str">
        <f t="shared" si="40"/>
        <v>80-100%</v>
      </c>
      <c r="AK49" s="494">
        <f t="shared" si="41"/>
        <v>0</v>
      </c>
      <c r="AL49" s="499">
        <f t="shared" si="42"/>
        <v>0</v>
      </c>
      <c r="AM49" s="497">
        <f t="shared" si="43"/>
        <v>0</v>
      </c>
      <c r="AN49" s="497">
        <f t="shared" si="44"/>
        <v>87</v>
      </c>
      <c r="AO49" s="497">
        <f t="shared" si="25"/>
        <v>0</v>
      </c>
      <c r="AP49" s="568">
        <v>1</v>
      </c>
      <c r="AQ49" s="577">
        <f t="shared" si="26"/>
        <v>452</v>
      </c>
      <c r="AR49" s="581"/>
      <c r="AS49" s="537">
        <v>0</v>
      </c>
      <c r="AT49" s="492">
        <v>0</v>
      </c>
      <c r="AU49" s="492">
        <v>24</v>
      </c>
      <c r="AV49" s="492" t="s">
        <v>299</v>
      </c>
      <c r="AW49" s="500">
        <f t="shared" si="45"/>
        <v>1</v>
      </c>
      <c r="AX49" s="497">
        <f t="shared" si="27"/>
        <v>452</v>
      </c>
      <c r="AY49" s="500">
        <f t="shared" si="46"/>
        <v>0</v>
      </c>
      <c r="AZ49" s="497">
        <f t="shared" si="28"/>
        <v>0</v>
      </c>
      <c r="BA49" s="500">
        <f t="shared" si="47"/>
        <v>1</v>
      </c>
      <c r="BB49" s="497">
        <f t="shared" si="29"/>
        <v>452</v>
      </c>
      <c r="BC49" s="492">
        <v>0</v>
      </c>
      <c r="BD49" s="493">
        <v>1</v>
      </c>
      <c r="BE49" s="501">
        <f t="shared" si="48"/>
        <v>452</v>
      </c>
      <c r="BF49" s="502">
        <f t="shared" si="30"/>
        <v>0</v>
      </c>
      <c r="BG49" s="492">
        <v>1</v>
      </c>
      <c r="BH49" s="492" t="s">
        <v>91</v>
      </c>
      <c r="BI49" s="500">
        <f t="shared" si="31"/>
        <v>0.22123893805309736</v>
      </c>
      <c r="BJ49" s="497">
        <f t="shared" si="32"/>
        <v>100</v>
      </c>
      <c r="BK49" s="502">
        <f t="shared" si="33"/>
        <v>3.5199999999999996</v>
      </c>
      <c r="BL49" s="493">
        <v>0.22</v>
      </c>
      <c r="BM49" s="497">
        <f t="shared" si="34"/>
        <v>99.44</v>
      </c>
      <c r="BN49" s="492">
        <v>12</v>
      </c>
      <c r="BO49" s="500">
        <f t="shared" si="49"/>
        <v>1</v>
      </c>
      <c r="BP49" s="502">
        <f t="shared" si="50"/>
        <v>0</v>
      </c>
      <c r="BQ49" s="568">
        <v>1</v>
      </c>
      <c r="BR49" s="580"/>
      <c r="BS49" s="594">
        <v>42053</v>
      </c>
      <c r="BT49" s="503">
        <f t="shared" si="15"/>
        <v>42418</v>
      </c>
      <c r="BU49" s="546">
        <v>87</v>
      </c>
      <c r="BV49" s="546">
        <v>3</v>
      </c>
      <c r="BW49" s="504">
        <f t="shared" si="16"/>
        <v>0</v>
      </c>
      <c r="BX49" s="505">
        <f t="shared" si="51"/>
        <v>1</v>
      </c>
      <c r="BY49" s="497">
        <f t="shared" si="52"/>
        <v>452</v>
      </c>
      <c r="BZ49" s="595">
        <f t="shared" si="19"/>
        <v>0</v>
      </c>
      <c r="CA49" s="537"/>
      <c r="CB49" s="568">
        <v>0.75</v>
      </c>
      <c r="CC49" s="605">
        <f t="shared" si="35"/>
        <v>339</v>
      </c>
      <c r="CD49" s="537">
        <v>1</v>
      </c>
      <c r="CE49" s="506" t="str">
        <f t="shared" si="36"/>
        <v>Excellent coverage</v>
      </c>
      <c r="CF49" s="492">
        <v>1</v>
      </c>
      <c r="CG49" s="538" t="s">
        <v>302</v>
      </c>
      <c r="CH49" s="580" t="s">
        <v>849</v>
      </c>
    </row>
    <row r="50" spans="2:86" s="40" customFormat="1" ht="30" customHeight="1" x14ac:dyDescent="0.2">
      <c r="B50" s="527" t="s">
        <v>135</v>
      </c>
      <c r="C50" s="488" t="s">
        <v>573</v>
      </c>
      <c r="D50" s="117" t="s">
        <v>265</v>
      </c>
      <c r="E50" s="488" t="s">
        <v>146</v>
      </c>
      <c r="F50" s="117">
        <v>97.284729999999996</v>
      </c>
      <c r="G50" s="117">
        <v>25.374020000000002</v>
      </c>
      <c r="H50" s="117" t="s">
        <v>509</v>
      </c>
      <c r="I50" s="117" t="s">
        <v>218</v>
      </c>
      <c r="J50" s="546">
        <v>22</v>
      </c>
      <c r="K50" s="546">
        <v>100</v>
      </c>
      <c r="L50" s="546">
        <v>100</v>
      </c>
      <c r="M50" s="490" t="str">
        <f t="shared" si="37"/>
        <v>1. Small</v>
      </c>
      <c r="N50" s="528" t="s">
        <v>284</v>
      </c>
      <c r="O50" s="553" t="s">
        <v>284</v>
      </c>
      <c r="P50" s="545" t="str">
        <f t="shared" si="20"/>
        <v>Covered</v>
      </c>
      <c r="Q50" s="491">
        <v>42155</v>
      </c>
      <c r="R50" s="489"/>
      <c r="S50" s="491"/>
      <c r="T50" s="528" t="s">
        <v>260</v>
      </c>
      <c r="U50" s="533" t="str">
        <f t="shared" si="21"/>
        <v>Documented</v>
      </c>
      <c r="V50" s="537">
        <v>0</v>
      </c>
      <c r="W50" s="492">
        <v>0</v>
      </c>
      <c r="X50" s="538" t="s">
        <v>19</v>
      </c>
      <c r="Y50" s="537">
        <v>1</v>
      </c>
      <c r="Z50" s="492">
        <v>1</v>
      </c>
      <c r="AA50" s="538">
        <v>3000</v>
      </c>
      <c r="AB50" s="567">
        <v>0</v>
      </c>
      <c r="AC50" s="568">
        <v>0</v>
      </c>
      <c r="AD50" s="574">
        <f t="shared" si="1"/>
        <v>1</v>
      </c>
      <c r="AE50" s="495">
        <f t="shared" si="22"/>
        <v>100</v>
      </c>
      <c r="AF50" s="496">
        <f t="shared" si="38"/>
        <v>1</v>
      </c>
      <c r="AG50" s="497">
        <f t="shared" si="23"/>
        <v>100</v>
      </c>
      <c r="AH50" s="494">
        <f t="shared" si="39"/>
        <v>1</v>
      </c>
      <c r="AI50" s="497">
        <f t="shared" si="24"/>
        <v>100</v>
      </c>
      <c r="AJ50" s="498" t="str">
        <f t="shared" si="40"/>
        <v>80-100%</v>
      </c>
      <c r="AK50" s="494">
        <f t="shared" si="41"/>
        <v>0</v>
      </c>
      <c r="AL50" s="499">
        <f t="shared" si="42"/>
        <v>0</v>
      </c>
      <c r="AM50" s="497">
        <f t="shared" si="43"/>
        <v>0</v>
      </c>
      <c r="AN50" s="497">
        <f t="shared" si="44"/>
        <v>0</v>
      </c>
      <c r="AO50" s="497">
        <f t="shared" si="25"/>
        <v>0</v>
      </c>
      <c r="AP50" s="568">
        <v>1</v>
      </c>
      <c r="AQ50" s="577">
        <f t="shared" si="26"/>
        <v>100</v>
      </c>
      <c r="AR50" s="581"/>
      <c r="AS50" s="537">
        <v>0</v>
      </c>
      <c r="AT50" s="492">
        <v>0</v>
      </c>
      <c r="AU50" s="492">
        <v>6</v>
      </c>
      <c r="AV50" s="492" t="s">
        <v>299</v>
      </c>
      <c r="AW50" s="500">
        <f t="shared" si="45"/>
        <v>1</v>
      </c>
      <c r="AX50" s="497">
        <f t="shared" si="27"/>
        <v>100</v>
      </c>
      <c r="AY50" s="500">
        <f t="shared" si="46"/>
        <v>0</v>
      </c>
      <c r="AZ50" s="497">
        <f t="shared" si="28"/>
        <v>0</v>
      </c>
      <c r="BA50" s="500">
        <f t="shared" si="47"/>
        <v>1</v>
      </c>
      <c r="BB50" s="497">
        <f t="shared" si="29"/>
        <v>100</v>
      </c>
      <c r="BC50" s="492">
        <v>0</v>
      </c>
      <c r="BD50" s="493">
        <v>1</v>
      </c>
      <c r="BE50" s="501">
        <f t="shared" si="48"/>
        <v>100</v>
      </c>
      <c r="BF50" s="502">
        <f t="shared" si="30"/>
        <v>0</v>
      </c>
      <c r="BG50" s="492">
        <v>2</v>
      </c>
      <c r="BH50" s="492" t="s">
        <v>299</v>
      </c>
      <c r="BI50" s="500">
        <f t="shared" si="31"/>
        <v>1</v>
      </c>
      <c r="BJ50" s="497">
        <f t="shared" si="32"/>
        <v>100</v>
      </c>
      <c r="BK50" s="502">
        <f t="shared" si="33"/>
        <v>0</v>
      </c>
      <c r="BL50" s="493">
        <v>1</v>
      </c>
      <c r="BM50" s="497">
        <f t="shared" si="34"/>
        <v>100</v>
      </c>
      <c r="BN50" s="492">
        <v>3</v>
      </c>
      <c r="BO50" s="500">
        <f t="shared" si="49"/>
        <v>1</v>
      </c>
      <c r="BP50" s="502">
        <f t="shared" si="50"/>
        <v>0</v>
      </c>
      <c r="BQ50" s="568">
        <v>1</v>
      </c>
      <c r="BR50" s="580"/>
      <c r="BS50" s="594">
        <v>42048</v>
      </c>
      <c r="BT50" s="503">
        <f t="shared" si="15"/>
        <v>42413</v>
      </c>
      <c r="BU50" s="546">
        <v>22</v>
      </c>
      <c r="BV50" s="546">
        <v>2</v>
      </c>
      <c r="BW50" s="504">
        <f t="shared" si="16"/>
        <v>0</v>
      </c>
      <c r="BX50" s="505">
        <f t="shared" si="51"/>
        <v>1</v>
      </c>
      <c r="BY50" s="497">
        <f t="shared" si="52"/>
        <v>100</v>
      </c>
      <c r="BZ50" s="595">
        <f t="shared" si="19"/>
        <v>0</v>
      </c>
      <c r="CA50" s="537"/>
      <c r="CB50" s="568">
        <v>1</v>
      </c>
      <c r="CC50" s="605">
        <f t="shared" si="35"/>
        <v>100</v>
      </c>
      <c r="CD50" s="537">
        <v>2</v>
      </c>
      <c r="CE50" s="506" t="str">
        <f t="shared" si="36"/>
        <v>Excellent coverage</v>
      </c>
      <c r="CF50" s="492">
        <v>1</v>
      </c>
      <c r="CG50" s="538" t="s">
        <v>65</v>
      </c>
      <c r="CH50" s="580" t="s">
        <v>850</v>
      </c>
    </row>
    <row r="51" spans="2:86" s="40" customFormat="1" ht="30" customHeight="1" x14ac:dyDescent="0.2">
      <c r="B51" s="527" t="s">
        <v>135</v>
      </c>
      <c r="C51" s="488" t="s">
        <v>574</v>
      </c>
      <c r="D51" s="117" t="s">
        <v>265</v>
      </c>
      <c r="E51" s="488" t="s">
        <v>147</v>
      </c>
      <c r="F51" s="117">
        <v>97.291079999999994</v>
      </c>
      <c r="G51" s="117">
        <v>25.371179999999999</v>
      </c>
      <c r="H51" s="117" t="s">
        <v>509</v>
      </c>
      <c r="I51" s="117" t="s">
        <v>218</v>
      </c>
      <c r="J51" s="546">
        <v>14</v>
      </c>
      <c r="K51" s="546">
        <v>73</v>
      </c>
      <c r="L51" s="546">
        <v>73</v>
      </c>
      <c r="M51" s="490" t="str">
        <f t="shared" si="37"/>
        <v>1. Small</v>
      </c>
      <c r="N51" s="528" t="s">
        <v>284</v>
      </c>
      <c r="O51" s="553" t="s">
        <v>284</v>
      </c>
      <c r="P51" s="545" t="str">
        <f t="shared" si="20"/>
        <v>Covered</v>
      </c>
      <c r="Q51" s="491">
        <v>42155</v>
      </c>
      <c r="R51" s="489"/>
      <c r="S51" s="491"/>
      <c r="T51" s="528" t="s">
        <v>260</v>
      </c>
      <c r="U51" s="533" t="str">
        <f t="shared" si="21"/>
        <v>Documented</v>
      </c>
      <c r="V51" s="537">
        <v>0</v>
      </c>
      <c r="W51" s="492">
        <v>0</v>
      </c>
      <c r="X51" s="538" t="s">
        <v>19</v>
      </c>
      <c r="Y51" s="537">
        <v>1</v>
      </c>
      <c r="Z51" s="492">
        <v>0</v>
      </c>
      <c r="AA51" s="538">
        <v>3000</v>
      </c>
      <c r="AB51" s="567">
        <v>0</v>
      </c>
      <c r="AC51" s="568">
        <v>0</v>
      </c>
      <c r="AD51" s="574">
        <f t="shared" si="1"/>
        <v>1</v>
      </c>
      <c r="AE51" s="495">
        <f t="shared" si="22"/>
        <v>73</v>
      </c>
      <c r="AF51" s="496">
        <f t="shared" si="38"/>
        <v>1</v>
      </c>
      <c r="AG51" s="497">
        <f t="shared" si="23"/>
        <v>73</v>
      </c>
      <c r="AH51" s="494">
        <f t="shared" si="39"/>
        <v>1</v>
      </c>
      <c r="AI51" s="497">
        <f t="shared" si="24"/>
        <v>73</v>
      </c>
      <c r="AJ51" s="498" t="str">
        <f t="shared" si="40"/>
        <v>80-100%</v>
      </c>
      <c r="AK51" s="494">
        <f t="shared" si="41"/>
        <v>0</v>
      </c>
      <c r="AL51" s="499">
        <f t="shared" si="42"/>
        <v>0</v>
      </c>
      <c r="AM51" s="497">
        <f t="shared" si="43"/>
        <v>0</v>
      </c>
      <c r="AN51" s="497">
        <f t="shared" si="44"/>
        <v>0</v>
      </c>
      <c r="AO51" s="497">
        <f t="shared" si="25"/>
        <v>0</v>
      </c>
      <c r="AP51" s="568">
        <v>1</v>
      </c>
      <c r="AQ51" s="577">
        <f t="shared" si="26"/>
        <v>73</v>
      </c>
      <c r="AR51" s="581"/>
      <c r="AS51" s="537">
        <v>0</v>
      </c>
      <c r="AT51" s="492">
        <v>2</v>
      </c>
      <c r="AU51" s="492">
        <v>3</v>
      </c>
      <c r="AV51" s="492" t="s">
        <v>299</v>
      </c>
      <c r="AW51" s="500">
        <f t="shared" si="45"/>
        <v>1</v>
      </c>
      <c r="AX51" s="497">
        <f t="shared" si="27"/>
        <v>73</v>
      </c>
      <c r="AY51" s="500">
        <f t="shared" si="46"/>
        <v>0.17808219178082196</v>
      </c>
      <c r="AZ51" s="497">
        <f t="shared" si="28"/>
        <v>13.000000000000004</v>
      </c>
      <c r="BA51" s="500">
        <f t="shared" si="47"/>
        <v>0.82191780821917804</v>
      </c>
      <c r="BB51" s="497">
        <f t="shared" si="29"/>
        <v>60</v>
      </c>
      <c r="BC51" s="492">
        <v>0</v>
      </c>
      <c r="BD51" s="493">
        <v>1</v>
      </c>
      <c r="BE51" s="501">
        <f t="shared" si="48"/>
        <v>73</v>
      </c>
      <c r="BF51" s="502">
        <f t="shared" si="30"/>
        <v>0.64999999999999991</v>
      </c>
      <c r="BG51" s="492">
        <v>2</v>
      </c>
      <c r="BH51" s="492" t="s">
        <v>300</v>
      </c>
      <c r="BI51" s="500">
        <f t="shared" si="31"/>
        <v>1</v>
      </c>
      <c r="BJ51" s="497">
        <f t="shared" si="32"/>
        <v>73</v>
      </c>
      <c r="BK51" s="502">
        <f t="shared" si="33"/>
        <v>0</v>
      </c>
      <c r="BL51" s="493">
        <v>1</v>
      </c>
      <c r="BM51" s="497">
        <f t="shared" si="34"/>
        <v>73</v>
      </c>
      <c r="BN51" s="492">
        <v>3</v>
      </c>
      <c r="BO51" s="500">
        <f t="shared" si="49"/>
        <v>1</v>
      </c>
      <c r="BP51" s="502">
        <f t="shared" si="50"/>
        <v>0</v>
      </c>
      <c r="BQ51" s="568">
        <v>1</v>
      </c>
      <c r="BR51" s="580"/>
      <c r="BS51" s="594">
        <v>42048</v>
      </c>
      <c r="BT51" s="503">
        <f t="shared" si="15"/>
        <v>42413</v>
      </c>
      <c r="BU51" s="546">
        <v>14</v>
      </c>
      <c r="BV51" s="546">
        <v>2</v>
      </c>
      <c r="BW51" s="504">
        <f t="shared" si="16"/>
        <v>0</v>
      </c>
      <c r="BX51" s="505">
        <f t="shared" si="51"/>
        <v>1</v>
      </c>
      <c r="BY51" s="497">
        <f t="shared" si="52"/>
        <v>73</v>
      </c>
      <c r="BZ51" s="595">
        <f t="shared" si="19"/>
        <v>0</v>
      </c>
      <c r="CA51" s="537"/>
      <c r="CB51" s="568">
        <v>1</v>
      </c>
      <c r="CC51" s="605">
        <f t="shared" si="35"/>
        <v>73</v>
      </c>
      <c r="CD51" s="537">
        <v>2</v>
      </c>
      <c r="CE51" s="506" t="str">
        <f t="shared" si="36"/>
        <v>Excellent coverage</v>
      </c>
      <c r="CF51" s="492">
        <v>0</v>
      </c>
      <c r="CG51" s="538" t="s">
        <v>65</v>
      </c>
      <c r="CH51" s="580"/>
    </row>
    <row r="52" spans="2:86" s="40" customFormat="1" ht="30" customHeight="1" x14ac:dyDescent="0.2">
      <c r="B52" s="527" t="s">
        <v>135</v>
      </c>
      <c r="C52" s="488" t="s">
        <v>577</v>
      </c>
      <c r="D52" s="117" t="s">
        <v>265</v>
      </c>
      <c r="E52" s="488" t="s">
        <v>220</v>
      </c>
      <c r="F52" s="117">
        <v>97.359380000000002</v>
      </c>
      <c r="G52" s="117">
        <v>25.411770000000001</v>
      </c>
      <c r="H52" s="117" t="s">
        <v>509</v>
      </c>
      <c r="I52" s="117" t="s">
        <v>218</v>
      </c>
      <c r="J52" s="546">
        <v>72</v>
      </c>
      <c r="K52" s="546">
        <v>308</v>
      </c>
      <c r="L52" s="546">
        <v>308</v>
      </c>
      <c r="M52" s="490" t="str">
        <f t="shared" si="37"/>
        <v>2. Medium</v>
      </c>
      <c r="N52" s="528" t="s">
        <v>235</v>
      </c>
      <c r="O52" s="553" t="s">
        <v>235</v>
      </c>
      <c r="P52" s="545" t="str">
        <f t="shared" si="20"/>
        <v>Covered</v>
      </c>
      <c r="Q52" s="491" t="s">
        <v>708</v>
      </c>
      <c r="R52" s="489"/>
      <c r="S52" s="491"/>
      <c r="T52" s="528" t="s">
        <v>260</v>
      </c>
      <c r="U52" s="533" t="str">
        <f t="shared" si="21"/>
        <v>Documented</v>
      </c>
      <c r="V52" s="537">
        <v>0</v>
      </c>
      <c r="W52" s="492">
        <v>0</v>
      </c>
      <c r="X52" s="538" t="s">
        <v>19</v>
      </c>
      <c r="Y52" s="537">
        <v>0</v>
      </c>
      <c r="Z52" s="492">
        <v>4</v>
      </c>
      <c r="AA52" s="538">
        <v>8000</v>
      </c>
      <c r="AB52" s="567">
        <v>0</v>
      </c>
      <c r="AC52" s="568">
        <v>1</v>
      </c>
      <c r="AD52" s="574">
        <f t="shared" si="1"/>
        <v>1</v>
      </c>
      <c r="AE52" s="495">
        <f t="shared" si="22"/>
        <v>308</v>
      </c>
      <c r="AF52" s="496">
        <f t="shared" si="38"/>
        <v>1</v>
      </c>
      <c r="AG52" s="497">
        <f t="shared" si="23"/>
        <v>308</v>
      </c>
      <c r="AH52" s="494">
        <f t="shared" si="39"/>
        <v>1</v>
      </c>
      <c r="AI52" s="497">
        <f t="shared" si="24"/>
        <v>308</v>
      </c>
      <c r="AJ52" s="498" t="str">
        <f t="shared" si="40"/>
        <v>80-100%</v>
      </c>
      <c r="AK52" s="494">
        <f t="shared" si="41"/>
        <v>0</v>
      </c>
      <c r="AL52" s="499">
        <f t="shared" si="42"/>
        <v>0</v>
      </c>
      <c r="AM52" s="497">
        <f t="shared" si="43"/>
        <v>0</v>
      </c>
      <c r="AN52" s="497">
        <f t="shared" si="44"/>
        <v>72</v>
      </c>
      <c r="AO52" s="497">
        <f t="shared" si="25"/>
        <v>0</v>
      </c>
      <c r="AP52" s="568">
        <v>1</v>
      </c>
      <c r="AQ52" s="577">
        <f t="shared" si="26"/>
        <v>308</v>
      </c>
      <c r="AR52" s="581" t="s">
        <v>836</v>
      </c>
      <c r="AS52" s="537">
        <v>33</v>
      </c>
      <c r="AT52" s="492">
        <v>17</v>
      </c>
      <c r="AU52" s="492">
        <v>6</v>
      </c>
      <c r="AV52" s="492" t="s">
        <v>300</v>
      </c>
      <c r="AW52" s="500">
        <f t="shared" si="45"/>
        <v>1</v>
      </c>
      <c r="AX52" s="497">
        <f t="shared" si="27"/>
        <v>308</v>
      </c>
      <c r="AY52" s="500">
        <f t="shared" si="46"/>
        <v>0.61038961038961037</v>
      </c>
      <c r="AZ52" s="497">
        <f t="shared" si="28"/>
        <v>188</v>
      </c>
      <c r="BA52" s="500">
        <f t="shared" si="47"/>
        <v>0.38961038961038963</v>
      </c>
      <c r="BB52" s="497">
        <f t="shared" si="29"/>
        <v>120</v>
      </c>
      <c r="BC52" s="492">
        <v>0</v>
      </c>
      <c r="BD52" s="493">
        <v>1</v>
      </c>
      <c r="BE52" s="501">
        <f t="shared" si="48"/>
        <v>308</v>
      </c>
      <c r="BF52" s="502">
        <f t="shared" si="30"/>
        <v>9.4</v>
      </c>
      <c r="BG52" s="492">
        <v>3</v>
      </c>
      <c r="BH52" s="492" t="s">
        <v>300</v>
      </c>
      <c r="BI52" s="500">
        <f t="shared" si="31"/>
        <v>0.97402597402597402</v>
      </c>
      <c r="BJ52" s="497">
        <f t="shared" si="32"/>
        <v>300</v>
      </c>
      <c r="BK52" s="502">
        <f t="shared" si="33"/>
        <v>8.0000000000000071E-2</v>
      </c>
      <c r="BL52" s="493">
        <v>0.97</v>
      </c>
      <c r="BM52" s="497">
        <f t="shared" si="34"/>
        <v>298.76</v>
      </c>
      <c r="BN52" s="492">
        <v>4</v>
      </c>
      <c r="BO52" s="500">
        <f t="shared" si="49"/>
        <v>1</v>
      </c>
      <c r="BP52" s="502">
        <f t="shared" si="50"/>
        <v>0</v>
      </c>
      <c r="BQ52" s="568">
        <v>1</v>
      </c>
      <c r="BR52" s="580" t="s">
        <v>724</v>
      </c>
      <c r="BS52" s="594">
        <v>41781</v>
      </c>
      <c r="BT52" s="503">
        <f t="shared" si="15"/>
        <v>42146</v>
      </c>
      <c r="BU52" s="546">
        <v>72</v>
      </c>
      <c r="BV52" s="546">
        <v>2</v>
      </c>
      <c r="BW52" s="504">
        <f t="shared" si="16"/>
        <v>0</v>
      </c>
      <c r="BX52" s="505">
        <f t="shared" si="51"/>
        <v>1</v>
      </c>
      <c r="BY52" s="497">
        <f t="shared" si="52"/>
        <v>308</v>
      </c>
      <c r="BZ52" s="595">
        <f t="shared" si="19"/>
        <v>8</v>
      </c>
      <c r="CA52" s="537"/>
      <c r="CB52" s="568">
        <v>0.5</v>
      </c>
      <c r="CC52" s="605">
        <f t="shared" si="35"/>
        <v>154</v>
      </c>
      <c r="CD52" s="537">
        <v>0</v>
      </c>
      <c r="CE52" s="506" t="str">
        <f t="shared" si="36"/>
        <v>No coverage</v>
      </c>
      <c r="CF52" s="492">
        <v>0</v>
      </c>
      <c r="CG52" s="538" t="s">
        <v>302</v>
      </c>
      <c r="CH52" s="580"/>
    </row>
    <row r="53" spans="2:86" s="40" customFormat="1" ht="30" customHeight="1" x14ac:dyDescent="0.2">
      <c r="B53" s="527" t="s">
        <v>135</v>
      </c>
      <c r="C53" s="488" t="s">
        <v>556</v>
      </c>
      <c r="D53" s="117" t="s">
        <v>265</v>
      </c>
      <c r="E53" s="488" t="s">
        <v>219</v>
      </c>
      <c r="F53" s="117">
        <v>97.394547000000003</v>
      </c>
      <c r="G53" s="117">
        <v>25.422194000000001</v>
      </c>
      <c r="H53" s="117" t="s">
        <v>509</v>
      </c>
      <c r="I53" s="117" t="s">
        <v>218</v>
      </c>
      <c r="J53" s="546">
        <v>55</v>
      </c>
      <c r="K53" s="546">
        <v>229</v>
      </c>
      <c r="L53" s="546">
        <v>229</v>
      </c>
      <c r="M53" s="490" t="str">
        <f t="shared" si="37"/>
        <v>2. Medium</v>
      </c>
      <c r="N53" s="528" t="s">
        <v>239</v>
      </c>
      <c r="O53" s="553" t="s">
        <v>239</v>
      </c>
      <c r="P53" s="545" t="str">
        <f t="shared" si="20"/>
        <v>Covered</v>
      </c>
      <c r="Q53" s="491">
        <v>42185</v>
      </c>
      <c r="R53" s="489" t="s">
        <v>240</v>
      </c>
      <c r="S53" s="491">
        <v>42185</v>
      </c>
      <c r="T53" s="528" t="s">
        <v>260</v>
      </c>
      <c r="U53" s="533" t="str">
        <f t="shared" si="21"/>
        <v>Documented</v>
      </c>
      <c r="V53" s="537">
        <v>0</v>
      </c>
      <c r="W53" s="492">
        <v>0</v>
      </c>
      <c r="X53" s="538" t="s">
        <v>19</v>
      </c>
      <c r="Y53" s="537">
        <v>2</v>
      </c>
      <c r="Z53" s="492">
        <v>2</v>
      </c>
      <c r="AA53" s="538">
        <v>0</v>
      </c>
      <c r="AB53" s="567">
        <v>0</v>
      </c>
      <c r="AC53" s="568">
        <v>1</v>
      </c>
      <c r="AD53" s="574">
        <f t="shared" si="1"/>
        <v>1</v>
      </c>
      <c r="AE53" s="495">
        <f t="shared" si="22"/>
        <v>229</v>
      </c>
      <c r="AF53" s="496">
        <f t="shared" si="38"/>
        <v>1</v>
      </c>
      <c r="AG53" s="497">
        <f t="shared" si="23"/>
        <v>229</v>
      </c>
      <c r="AH53" s="494">
        <f t="shared" si="39"/>
        <v>1</v>
      </c>
      <c r="AI53" s="497">
        <f t="shared" si="24"/>
        <v>229</v>
      </c>
      <c r="AJ53" s="498" t="str">
        <f t="shared" si="40"/>
        <v>80-100%</v>
      </c>
      <c r="AK53" s="494">
        <f t="shared" si="41"/>
        <v>0</v>
      </c>
      <c r="AL53" s="499">
        <f t="shared" si="42"/>
        <v>0</v>
      </c>
      <c r="AM53" s="497">
        <f t="shared" si="43"/>
        <v>0</v>
      </c>
      <c r="AN53" s="497">
        <f t="shared" si="44"/>
        <v>55</v>
      </c>
      <c r="AO53" s="497">
        <f t="shared" si="25"/>
        <v>0</v>
      </c>
      <c r="AP53" s="568">
        <v>1</v>
      </c>
      <c r="AQ53" s="577">
        <f t="shared" si="26"/>
        <v>229</v>
      </c>
      <c r="AR53" s="581"/>
      <c r="AS53" s="537">
        <v>0</v>
      </c>
      <c r="AT53" s="492">
        <v>0</v>
      </c>
      <c r="AU53" s="492">
        <v>8</v>
      </c>
      <c r="AV53" s="492" t="s">
        <v>299</v>
      </c>
      <c r="AW53" s="500">
        <f t="shared" si="45"/>
        <v>0.69868995633187769</v>
      </c>
      <c r="AX53" s="497">
        <f t="shared" si="27"/>
        <v>160</v>
      </c>
      <c r="AY53" s="500">
        <f t="shared" si="46"/>
        <v>0</v>
      </c>
      <c r="AZ53" s="497">
        <f t="shared" si="28"/>
        <v>0</v>
      </c>
      <c r="BA53" s="500">
        <f t="shared" si="47"/>
        <v>0.69868995633187769</v>
      </c>
      <c r="BB53" s="497">
        <f t="shared" si="29"/>
        <v>160</v>
      </c>
      <c r="BC53" s="492">
        <v>0</v>
      </c>
      <c r="BD53" s="493">
        <v>0.7</v>
      </c>
      <c r="BE53" s="501">
        <f t="shared" si="48"/>
        <v>160.29999999999998</v>
      </c>
      <c r="BF53" s="502">
        <f t="shared" si="30"/>
        <v>3.4499999999999993</v>
      </c>
      <c r="BG53" s="492">
        <v>2</v>
      </c>
      <c r="BH53" s="492" t="s">
        <v>300</v>
      </c>
      <c r="BI53" s="500">
        <f t="shared" si="31"/>
        <v>0.8733624454148472</v>
      </c>
      <c r="BJ53" s="497">
        <f t="shared" si="32"/>
        <v>200</v>
      </c>
      <c r="BK53" s="502">
        <f t="shared" si="33"/>
        <v>0.29000000000000004</v>
      </c>
      <c r="BL53" s="493">
        <v>0.87</v>
      </c>
      <c r="BM53" s="497">
        <f t="shared" si="34"/>
        <v>199.23</v>
      </c>
      <c r="BN53" s="492">
        <v>6</v>
      </c>
      <c r="BO53" s="500">
        <f t="shared" si="49"/>
        <v>1</v>
      </c>
      <c r="BP53" s="502">
        <f t="shared" si="50"/>
        <v>0</v>
      </c>
      <c r="BQ53" s="568">
        <v>1</v>
      </c>
      <c r="BR53" s="580" t="s">
        <v>843</v>
      </c>
      <c r="BS53" s="594">
        <v>42053</v>
      </c>
      <c r="BT53" s="503">
        <f t="shared" si="15"/>
        <v>42418</v>
      </c>
      <c r="BU53" s="546">
        <v>55</v>
      </c>
      <c r="BV53" s="546">
        <v>3</v>
      </c>
      <c r="BW53" s="504">
        <f t="shared" si="16"/>
        <v>0</v>
      </c>
      <c r="BX53" s="505">
        <f t="shared" si="51"/>
        <v>1</v>
      </c>
      <c r="BY53" s="497">
        <f t="shared" si="52"/>
        <v>229</v>
      </c>
      <c r="BZ53" s="595">
        <f t="shared" si="19"/>
        <v>0</v>
      </c>
      <c r="CA53" s="537"/>
      <c r="CB53" s="568">
        <v>0.8</v>
      </c>
      <c r="CC53" s="605">
        <f t="shared" si="35"/>
        <v>183.20000000000002</v>
      </c>
      <c r="CD53" s="537">
        <v>1</v>
      </c>
      <c r="CE53" s="506" t="str">
        <f t="shared" si="36"/>
        <v>Excellent coverage</v>
      </c>
      <c r="CF53" s="492">
        <v>0</v>
      </c>
      <c r="CG53" s="538" t="s">
        <v>302</v>
      </c>
      <c r="CH53" s="580"/>
    </row>
    <row r="54" spans="2:86" s="40" customFormat="1" ht="30" customHeight="1" x14ac:dyDescent="0.2">
      <c r="B54" s="527" t="s">
        <v>135</v>
      </c>
      <c r="C54" s="488" t="s">
        <v>578</v>
      </c>
      <c r="D54" s="117" t="s">
        <v>265</v>
      </c>
      <c r="E54" s="488" t="s">
        <v>148</v>
      </c>
      <c r="F54" s="117">
        <v>97.4345</v>
      </c>
      <c r="G54" s="117">
        <v>25.493819999999999</v>
      </c>
      <c r="H54" s="117" t="s">
        <v>509</v>
      </c>
      <c r="I54" s="117" t="s">
        <v>218</v>
      </c>
      <c r="J54" s="546">
        <v>28</v>
      </c>
      <c r="K54" s="546">
        <v>176</v>
      </c>
      <c r="L54" s="546">
        <v>176</v>
      </c>
      <c r="M54" s="490" t="str">
        <f t="shared" si="37"/>
        <v>1. Small</v>
      </c>
      <c r="N54" s="528" t="s">
        <v>235</v>
      </c>
      <c r="O54" s="553" t="s">
        <v>235</v>
      </c>
      <c r="P54" s="545" t="str">
        <f t="shared" si="20"/>
        <v>Covered</v>
      </c>
      <c r="Q54" s="491" t="s">
        <v>708</v>
      </c>
      <c r="R54" s="489"/>
      <c r="S54" s="491"/>
      <c r="T54" s="528" t="s">
        <v>260</v>
      </c>
      <c r="U54" s="533" t="str">
        <f t="shared" si="21"/>
        <v>Documented</v>
      </c>
      <c r="V54" s="537">
        <v>0</v>
      </c>
      <c r="W54" s="492">
        <v>0</v>
      </c>
      <c r="X54" s="538" t="s">
        <v>19</v>
      </c>
      <c r="Y54" s="537">
        <v>1</v>
      </c>
      <c r="Z54" s="492">
        <v>1</v>
      </c>
      <c r="AA54" s="538">
        <v>3000</v>
      </c>
      <c r="AB54" s="567">
        <v>0</v>
      </c>
      <c r="AC54" s="568">
        <v>1</v>
      </c>
      <c r="AD54" s="574">
        <f t="shared" si="1"/>
        <v>1</v>
      </c>
      <c r="AE54" s="495">
        <f t="shared" si="22"/>
        <v>176</v>
      </c>
      <c r="AF54" s="496">
        <f t="shared" si="38"/>
        <v>1</v>
      </c>
      <c r="AG54" s="497">
        <f t="shared" si="23"/>
        <v>176</v>
      </c>
      <c r="AH54" s="494">
        <f t="shared" si="39"/>
        <v>1</v>
      </c>
      <c r="AI54" s="497">
        <f t="shared" si="24"/>
        <v>176</v>
      </c>
      <c r="AJ54" s="498" t="str">
        <f t="shared" si="40"/>
        <v>80-100%</v>
      </c>
      <c r="AK54" s="494">
        <f t="shared" si="41"/>
        <v>0</v>
      </c>
      <c r="AL54" s="499">
        <f t="shared" si="42"/>
        <v>0</v>
      </c>
      <c r="AM54" s="497">
        <f t="shared" si="43"/>
        <v>0</v>
      </c>
      <c r="AN54" s="497">
        <f t="shared" si="44"/>
        <v>28</v>
      </c>
      <c r="AO54" s="497">
        <f t="shared" si="25"/>
        <v>0</v>
      </c>
      <c r="AP54" s="568">
        <v>1</v>
      </c>
      <c r="AQ54" s="577">
        <f t="shared" si="26"/>
        <v>176</v>
      </c>
      <c r="AR54" s="581" t="s">
        <v>837</v>
      </c>
      <c r="AS54" s="537">
        <v>10</v>
      </c>
      <c r="AT54" s="492">
        <v>0</v>
      </c>
      <c r="AU54" s="492">
        <v>10</v>
      </c>
      <c r="AV54" s="492" t="s">
        <v>299</v>
      </c>
      <c r="AW54" s="500">
        <f t="shared" si="45"/>
        <v>1</v>
      </c>
      <c r="AX54" s="497">
        <f t="shared" si="27"/>
        <v>176</v>
      </c>
      <c r="AY54" s="500">
        <f t="shared" si="46"/>
        <v>0</v>
      </c>
      <c r="AZ54" s="497">
        <f t="shared" si="28"/>
        <v>0</v>
      </c>
      <c r="BA54" s="500">
        <f t="shared" si="47"/>
        <v>1</v>
      </c>
      <c r="BB54" s="497">
        <f t="shared" si="29"/>
        <v>176</v>
      </c>
      <c r="BC54" s="492">
        <v>0</v>
      </c>
      <c r="BD54" s="493">
        <v>1</v>
      </c>
      <c r="BE54" s="501">
        <f t="shared" si="48"/>
        <v>176</v>
      </c>
      <c r="BF54" s="502">
        <f t="shared" si="30"/>
        <v>0</v>
      </c>
      <c r="BG54" s="492">
        <v>2</v>
      </c>
      <c r="BH54" s="492" t="s">
        <v>300</v>
      </c>
      <c r="BI54" s="500">
        <f t="shared" si="31"/>
        <v>1</v>
      </c>
      <c r="BJ54" s="497">
        <f t="shared" si="32"/>
        <v>176</v>
      </c>
      <c r="BK54" s="502">
        <f t="shared" si="33"/>
        <v>0</v>
      </c>
      <c r="BL54" s="493">
        <v>1</v>
      </c>
      <c r="BM54" s="497">
        <f t="shared" si="34"/>
        <v>176</v>
      </c>
      <c r="BN54" s="492">
        <v>3</v>
      </c>
      <c r="BO54" s="500">
        <f t="shared" si="49"/>
        <v>1</v>
      </c>
      <c r="BP54" s="502">
        <f t="shared" si="50"/>
        <v>0</v>
      </c>
      <c r="BQ54" s="568">
        <v>1</v>
      </c>
      <c r="BR54" s="580"/>
      <c r="BS54" s="594">
        <v>41781</v>
      </c>
      <c r="BT54" s="503">
        <f t="shared" si="15"/>
        <v>42146</v>
      </c>
      <c r="BU54" s="546">
        <v>28</v>
      </c>
      <c r="BV54" s="546">
        <v>2</v>
      </c>
      <c r="BW54" s="504">
        <f t="shared" si="16"/>
        <v>0</v>
      </c>
      <c r="BX54" s="505">
        <f t="shared" si="51"/>
        <v>1</v>
      </c>
      <c r="BY54" s="497">
        <f t="shared" si="52"/>
        <v>176</v>
      </c>
      <c r="BZ54" s="595">
        <f t="shared" si="19"/>
        <v>8</v>
      </c>
      <c r="CA54" s="537"/>
      <c r="CB54" s="568">
        <v>0.5</v>
      </c>
      <c r="CC54" s="605">
        <f t="shared" si="35"/>
        <v>88</v>
      </c>
      <c r="CD54" s="537">
        <v>0</v>
      </c>
      <c r="CE54" s="506" t="str">
        <f t="shared" si="36"/>
        <v>No coverage</v>
      </c>
      <c r="CF54" s="492">
        <v>0</v>
      </c>
      <c r="CG54" s="538" t="s">
        <v>302</v>
      </c>
      <c r="CH54" s="580"/>
    </row>
    <row r="55" spans="2:86" s="40" customFormat="1" ht="30" customHeight="1" x14ac:dyDescent="0.2">
      <c r="B55" s="527" t="s">
        <v>135</v>
      </c>
      <c r="C55" s="488" t="s">
        <v>560</v>
      </c>
      <c r="D55" s="117" t="s">
        <v>265</v>
      </c>
      <c r="E55" s="488" t="s">
        <v>149</v>
      </c>
      <c r="F55" s="117">
        <v>97.399628000000007</v>
      </c>
      <c r="G55" s="117">
        <v>25.412313000000001</v>
      </c>
      <c r="H55" s="117" t="s">
        <v>509</v>
      </c>
      <c r="I55" s="117" t="s">
        <v>218</v>
      </c>
      <c r="J55" s="546">
        <v>100</v>
      </c>
      <c r="K55" s="546">
        <v>400</v>
      </c>
      <c r="L55" s="546">
        <v>400</v>
      </c>
      <c r="M55" s="490" t="str">
        <f t="shared" si="37"/>
        <v>2. Medium</v>
      </c>
      <c r="N55" s="528" t="s">
        <v>239</v>
      </c>
      <c r="O55" s="553" t="s">
        <v>239</v>
      </c>
      <c r="P55" s="545" t="str">
        <f t="shared" si="20"/>
        <v>Covered</v>
      </c>
      <c r="Q55" s="491">
        <v>42185</v>
      </c>
      <c r="R55" s="489" t="s">
        <v>240</v>
      </c>
      <c r="S55" s="491">
        <v>42185</v>
      </c>
      <c r="T55" s="528" t="s">
        <v>260</v>
      </c>
      <c r="U55" s="533" t="str">
        <f t="shared" si="21"/>
        <v>Documented</v>
      </c>
      <c r="V55" s="537">
        <v>0</v>
      </c>
      <c r="W55" s="492">
        <v>0</v>
      </c>
      <c r="X55" s="538" t="s">
        <v>19</v>
      </c>
      <c r="Y55" s="537">
        <v>2</v>
      </c>
      <c r="Z55" s="492">
        <v>1</v>
      </c>
      <c r="AA55" s="538">
        <v>3000</v>
      </c>
      <c r="AB55" s="567">
        <v>0</v>
      </c>
      <c r="AC55" s="568">
        <v>1</v>
      </c>
      <c r="AD55" s="574">
        <f t="shared" si="1"/>
        <v>1</v>
      </c>
      <c r="AE55" s="495">
        <f t="shared" si="22"/>
        <v>400</v>
      </c>
      <c r="AF55" s="496">
        <f t="shared" si="38"/>
        <v>1</v>
      </c>
      <c r="AG55" s="497">
        <f t="shared" si="23"/>
        <v>400</v>
      </c>
      <c r="AH55" s="494">
        <f t="shared" si="39"/>
        <v>1</v>
      </c>
      <c r="AI55" s="497">
        <f t="shared" si="24"/>
        <v>400</v>
      </c>
      <c r="AJ55" s="498" t="str">
        <f t="shared" si="40"/>
        <v>80-100%</v>
      </c>
      <c r="AK55" s="494">
        <f t="shared" si="41"/>
        <v>0</v>
      </c>
      <c r="AL55" s="499">
        <f t="shared" si="42"/>
        <v>0</v>
      </c>
      <c r="AM55" s="497">
        <f t="shared" si="43"/>
        <v>0</v>
      </c>
      <c r="AN55" s="497">
        <f t="shared" si="44"/>
        <v>100</v>
      </c>
      <c r="AO55" s="497">
        <f t="shared" si="25"/>
        <v>0</v>
      </c>
      <c r="AP55" s="568">
        <v>1</v>
      </c>
      <c r="AQ55" s="577">
        <f t="shared" si="26"/>
        <v>400</v>
      </c>
      <c r="AR55" s="581"/>
      <c r="AS55" s="537">
        <v>0</v>
      </c>
      <c r="AT55" s="492">
        <v>0</v>
      </c>
      <c r="AU55" s="492">
        <v>15</v>
      </c>
      <c r="AV55" s="492" t="s">
        <v>299</v>
      </c>
      <c r="AW55" s="500">
        <f t="shared" si="45"/>
        <v>0.75</v>
      </c>
      <c r="AX55" s="497">
        <f t="shared" si="27"/>
        <v>300</v>
      </c>
      <c r="AY55" s="500">
        <f t="shared" si="46"/>
        <v>0</v>
      </c>
      <c r="AZ55" s="497">
        <f t="shared" si="28"/>
        <v>0</v>
      </c>
      <c r="BA55" s="500">
        <f t="shared" si="47"/>
        <v>0.75</v>
      </c>
      <c r="BB55" s="497">
        <f t="shared" si="29"/>
        <v>300</v>
      </c>
      <c r="BC55" s="492">
        <v>0</v>
      </c>
      <c r="BD55" s="493">
        <v>0.75</v>
      </c>
      <c r="BE55" s="501">
        <f t="shared" si="48"/>
        <v>300</v>
      </c>
      <c r="BF55" s="502">
        <f t="shared" si="30"/>
        <v>5</v>
      </c>
      <c r="BG55" s="492">
        <v>2</v>
      </c>
      <c r="BH55" s="492" t="s">
        <v>91</v>
      </c>
      <c r="BI55" s="500">
        <f t="shared" si="31"/>
        <v>0.5</v>
      </c>
      <c r="BJ55" s="497">
        <f t="shared" si="32"/>
        <v>200</v>
      </c>
      <c r="BK55" s="502">
        <f t="shared" si="33"/>
        <v>2</v>
      </c>
      <c r="BL55" s="493">
        <v>0.51</v>
      </c>
      <c r="BM55" s="497">
        <f t="shared" si="34"/>
        <v>204</v>
      </c>
      <c r="BN55" s="492">
        <v>12</v>
      </c>
      <c r="BO55" s="500">
        <f t="shared" si="49"/>
        <v>1</v>
      </c>
      <c r="BP55" s="502">
        <f t="shared" si="50"/>
        <v>0</v>
      </c>
      <c r="BQ55" s="568">
        <v>1</v>
      </c>
      <c r="BR55" s="580" t="s">
        <v>723</v>
      </c>
      <c r="BS55" s="594">
        <v>42053</v>
      </c>
      <c r="BT55" s="503">
        <f t="shared" si="15"/>
        <v>42418</v>
      </c>
      <c r="BU55" s="546">
        <v>100</v>
      </c>
      <c r="BV55" s="546">
        <v>3</v>
      </c>
      <c r="BW55" s="504">
        <f t="shared" si="16"/>
        <v>0</v>
      </c>
      <c r="BX55" s="505">
        <f t="shared" si="51"/>
        <v>1</v>
      </c>
      <c r="BY55" s="497">
        <f t="shared" si="52"/>
        <v>400</v>
      </c>
      <c r="BZ55" s="595">
        <f t="shared" si="19"/>
        <v>0</v>
      </c>
      <c r="CA55" s="537"/>
      <c r="CB55" s="568">
        <v>0.8</v>
      </c>
      <c r="CC55" s="605">
        <f t="shared" si="35"/>
        <v>320</v>
      </c>
      <c r="CD55" s="537">
        <v>2</v>
      </c>
      <c r="CE55" s="506" t="str">
        <f t="shared" si="36"/>
        <v>Excellent coverage</v>
      </c>
      <c r="CF55" s="492">
        <v>0</v>
      </c>
      <c r="CG55" s="538" t="s">
        <v>302</v>
      </c>
      <c r="CH55" s="580"/>
    </row>
    <row r="56" spans="2:86" s="40" customFormat="1" ht="30" customHeight="1" x14ac:dyDescent="0.2">
      <c r="B56" s="527" t="s">
        <v>135</v>
      </c>
      <c r="C56" s="488" t="s">
        <v>561</v>
      </c>
      <c r="D56" s="117" t="s">
        <v>265</v>
      </c>
      <c r="E56" s="488" t="s">
        <v>150</v>
      </c>
      <c r="F56" s="117">
        <v>97.418004999999994</v>
      </c>
      <c r="G56" s="117">
        <v>25.423817</v>
      </c>
      <c r="H56" s="117" t="s">
        <v>509</v>
      </c>
      <c r="I56" s="117" t="s">
        <v>218</v>
      </c>
      <c r="J56" s="546">
        <v>16</v>
      </c>
      <c r="K56" s="546">
        <v>77</v>
      </c>
      <c r="L56" s="546">
        <v>77</v>
      </c>
      <c r="M56" s="490" t="str">
        <f t="shared" si="37"/>
        <v>1. Small</v>
      </c>
      <c r="N56" s="528" t="s">
        <v>284</v>
      </c>
      <c r="O56" s="553" t="s">
        <v>284</v>
      </c>
      <c r="P56" s="545" t="str">
        <f t="shared" si="20"/>
        <v>Covered</v>
      </c>
      <c r="Q56" s="491">
        <v>42155</v>
      </c>
      <c r="R56" s="489"/>
      <c r="S56" s="491"/>
      <c r="T56" s="528" t="s">
        <v>260</v>
      </c>
      <c r="U56" s="533" t="str">
        <f t="shared" si="21"/>
        <v>Documented</v>
      </c>
      <c r="V56" s="537">
        <v>0</v>
      </c>
      <c r="W56" s="492">
        <v>0</v>
      </c>
      <c r="X56" s="538" t="s">
        <v>19</v>
      </c>
      <c r="Y56" s="537">
        <v>2</v>
      </c>
      <c r="Z56" s="492">
        <v>0</v>
      </c>
      <c r="AA56" s="538">
        <v>0</v>
      </c>
      <c r="AB56" s="567">
        <v>0</v>
      </c>
      <c r="AC56" s="568">
        <v>0</v>
      </c>
      <c r="AD56" s="574">
        <f t="shared" si="1"/>
        <v>1</v>
      </c>
      <c r="AE56" s="495">
        <f t="shared" si="22"/>
        <v>77</v>
      </c>
      <c r="AF56" s="496">
        <f t="shared" si="38"/>
        <v>1</v>
      </c>
      <c r="AG56" s="497">
        <f t="shared" si="23"/>
        <v>77</v>
      </c>
      <c r="AH56" s="494">
        <f t="shared" si="39"/>
        <v>1</v>
      </c>
      <c r="AI56" s="497">
        <f t="shared" si="24"/>
        <v>77</v>
      </c>
      <c r="AJ56" s="498" t="str">
        <f t="shared" si="40"/>
        <v>80-100%</v>
      </c>
      <c r="AK56" s="494">
        <f t="shared" si="41"/>
        <v>0</v>
      </c>
      <c r="AL56" s="499">
        <f t="shared" si="42"/>
        <v>0</v>
      </c>
      <c r="AM56" s="497">
        <f t="shared" si="43"/>
        <v>0</v>
      </c>
      <c r="AN56" s="497">
        <f t="shared" si="44"/>
        <v>0</v>
      </c>
      <c r="AO56" s="497">
        <f t="shared" si="25"/>
        <v>0</v>
      </c>
      <c r="AP56" s="568">
        <v>1</v>
      </c>
      <c r="AQ56" s="577">
        <f t="shared" si="26"/>
        <v>77</v>
      </c>
      <c r="AR56" s="581"/>
      <c r="AS56" s="537">
        <v>0</v>
      </c>
      <c r="AT56" s="492">
        <v>0</v>
      </c>
      <c r="AU56" s="492">
        <v>5</v>
      </c>
      <c r="AV56" s="492" t="s">
        <v>299</v>
      </c>
      <c r="AW56" s="500">
        <f t="shared" si="45"/>
        <v>1</v>
      </c>
      <c r="AX56" s="497">
        <f t="shared" si="27"/>
        <v>77</v>
      </c>
      <c r="AY56" s="500">
        <f t="shared" si="46"/>
        <v>0</v>
      </c>
      <c r="AZ56" s="497">
        <f t="shared" si="28"/>
        <v>0</v>
      </c>
      <c r="BA56" s="500">
        <f t="shared" si="47"/>
        <v>1</v>
      </c>
      <c r="BB56" s="497">
        <f t="shared" si="29"/>
        <v>77</v>
      </c>
      <c r="BC56" s="492">
        <v>0</v>
      </c>
      <c r="BD56" s="493">
        <v>1</v>
      </c>
      <c r="BE56" s="501">
        <f t="shared" si="48"/>
        <v>77</v>
      </c>
      <c r="BF56" s="502">
        <f t="shared" si="30"/>
        <v>0</v>
      </c>
      <c r="BG56" s="492">
        <v>2</v>
      </c>
      <c r="BH56" s="492" t="s">
        <v>300</v>
      </c>
      <c r="BI56" s="500">
        <f t="shared" si="31"/>
        <v>1</v>
      </c>
      <c r="BJ56" s="497">
        <f t="shared" si="32"/>
        <v>77</v>
      </c>
      <c r="BK56" s="502">
        <f t="shared" si="33"/>
        <v>0</v>
      </c>
      <c r="BL56" s="493">
        <v>1</v>
      </c>
      <c r="BM56" s="497">
        <f t="shared" si="34"/>
        <v>77</v>
      </c>
      <c r="BN56" s="492">
        <v>2</v>
      </c>
      <c r="BO56" s="500">
        <f t="shared" si="49"/>
        <v>1</v>
      </c>
      <c r="BP56" s="502">
        <f t="shared" si="50"/>
        <v>0</v>
      </c>
      <c r="BQ56" s="568">
        <v>1</v>
      </c>
      <c r="BR56" s="580"/>
      <c r="BS56" s="594">
        <v>42048</v>
      </c>
      <c r="BT56" s="503">
        <f t="shared" si="15"/>
        <v>42413</v>
      </c>
      <c r="BU56" s="546">
        <v>16</v>
      </c>
      <c r="BV56" s="546">
        <v>2</v>
      </c>
      <c r="BW56" s="504">
        <f t="shared" si="16"/>
        <v>0</v>
      </c>
      <c r="BX56" s="505">
        <f t="shared" si="51"/>
        <v>1</v>
      </c>
      <c r="BY56" s="497">
        <f t="shared" si="52"/>
        <v>77</v>
      </c>
      <c r="BZ56" s="595">
        <f t="shared" si="19"/>
        <v>0</v>
      </c>
      <c r="CA56" s="537"/>
      <c r="CB56" s="568">
        <v>1</v>
      </c>
      <c r="CC56" s="605">
        <f t="shared" si="35"/>
        <v>77</v>
      </c>
      <c r="CD56" s="537">
        <v>2</v>
      </c>
      <c r="CE56" s="506" t="str">
        <f t="shared" si="36"/>
        <v>Excellent coverage</v>
      </c>
      <c r="CF56" s="492">
        <v>0</v>
      </c>
      <c r="CG56" s="538" t="s">
        <v>65</v>
      </c>
      <c r="CH56" s="580"/>
    </row>
    <row r="57" spans="2:86" s="40" customFormat="1" ht="30" customHeight="1" x14ac:dyDescent="0.2">
      <c r="B57" s="527" t="s">
        <v>135</v>
      </c>
      <c r="C57" s="488" t="s">
        <v>562</v>
      </c>
      <c r="D57" s="117" t="s">
        <v>265</v>
      </c>
      <c r="E57" s="488" t="s">
        <v>151</v>
      </c>
      <c r="F57" s="117">
        <v>97.419403000000003</v>
      </c>
      <c r="G57" s="117">
        <v>25.440928</v>
      </c>
      <c r="H57" s="117" t="s">
        <v>509</v>
      </c>
      <c r="I57" s="117" t="s">
        <v>218</v>
      </c>
      <c r="J57" s="546">
        <v>83</v>
      </c>
      <c r="K57" s="546">
        <v>425</v>
      </c>
      <c r="L57" s="546">
        <v>425</v>
      </c>
      <c r="M57" s="490" t="str">
        <f t="shared" si="37"/>
        <v>2. Medium</v>
      </c>
      <c r="N57" s="528" t="s">
        <v>239</v>
      </c>
      <c r="O57" s="553" t="s">
        <v>239</v>
      </c>
      <c r="P57" s="545" t="str">
        <f t="shared" si="20"/>
        <v>Covered</v>
      </c>
      <c r="Q57" s="491">
        <v>42185</v>
      </c>
      <c r="R57" s="489" t="s">
        <v>240</v>
      </c>
      <c r="S57" s="491">
        <v>42185</v>
      </c>
      <c r="T57" s="528" t="s">
        <v>260</v>
      </c>
      <c r="U57" s="533" t="str">
        <f t="shared" si="21"/>
        <v>Documented</v>
      </c>
      <c r="V57" s="537">
        <v>0</v>
      </c>
      <c r="W57" s="492">
        <v>0</v>
      </c>
      <c r="X57" s="538" t="s">
        <v>19</v>
      </c>
      <c r="Y57" s="537">
        <v>2</v>
      </c>
      <c r="Z57" s="492">
        <v>0</v>
      </c>
      <c r="AA57" s="538">
        <v>2000</v>
      </c>
      <c r="AB57" s="567">
        <v>0</v>
      </c>
      <c r="AC57" s="568">
        <v>1</v>
      </c>
      <c r="AD57" s="574">
        <f t="shared" si="1"/>
        <v>1</v>
      </c>
      <c r="AE57" s="495">
        <f t="shared" si="22"/>
        <v>425</v>
      </c>
      <c r="AF57" s="496">
        <f t="shared" si="38"/>
        <v>1</v>
      </c>
      <c r="AG57" s="497">
        <f t="shared" si="23"/>
        <v>425</v>
      </c>
      <c r="AH57" s="494">
        <f t="shared" si="39"/>
        <v>1</v>
      </c>
      <c r="AI57" s="497">
        <f t="shared" si="24"/>
        <v>425</v>
      </c>
      <c r="AJ57" s="498" t="str">
        <f t="shared" si="40"/>
        <v>80-100%</v>
      </c>
      <c r="AK57" s="494">
        <f t="shared" si="41"/>
        <v>0</v>
      </c>
      <c r="AL57" s="499">
        <f t="shared" si="42"/>
        <v>0</v>
      </c>
      <c r="AM57" s="497">
        <f t="shared" si="43"/>
        <v>0</v>
      </c>
      <c r="AN57" s="497">
        <f t="shared" si="44"/>
        <v>83</v>
      </c>
      <c r="AO57" s="497">
        <f t="shared" si="25"/>
        <v>0</v>
      </c>
      <c r="AP57" s="568">
        <v>1</v>
      </c>
      <c r="AQ57" s="577">
        <f t="shared" si="26"/>
        <v>425</v>
      </c>
      <c r="AR57" s="581" t="s">
        <v>869</v>
      </c>
      <c r="AS57" s="537">
        <v>0</v>
      </c>
      <c r="AT57" s="492">
        <v>0</v>
      </c>
      <c r="AU57" s="492">
        <v>16</v>
      </c>
      <c r="AV57" s="492" t="s">
        <v>299</v>
      </c>
      <c r="AW57" s="500">
        <f t="shared" si="45"/>
        <v>0.75294117647058822</v>
      </c>
      <c r="AX57" s="497">
        <f t="shared" si="27"/>
        <v>320</v>
      </c>
      <c r="AY57" s="500">
        <f t="shared" si="46"/>
        <v>0</v>
      </c>
      <c r="AZ57" s="497">
        <f t="shared" si="28"/>
        <v>0</v>
      </c>
      <c r="BA57" s="500">
        <f t="shared" si="47"/>
        <v>0.75294117647058822</v>
      </c>
      <c r="BB57" s="497">
        <f t="shared" si="29"/>
        <v>320</v>
      </c>
      <c r="BC57" s="492">
        <v>0</v>
      </c>
      <c r="BD57" s="493">
        <v>0.75</v>
      </c>
      <c r="BE57" s="501">
        <f t="shared" si="48"/>
        <v>318.75</v>
      </c>
      <c r="BF57" s="502">
        <f t="shared" si="30"/>
        <v>5.25</v>
      </c>
      <c r="BG57" s="492">
        <v>1</v>
      </c>
      <c r="BH57" s="492" t="s">
        <v>91</v>
      </c>
      <c r="BI57" s="500">
        <f t="shared" si="31"/>
        <v>0.23529411764705882</v>
      </c>
      <c r="BJ57" s="497">
        <f t="shared" si="32"/>
        <v>100</v>
      </c>
      <c r="BK57" s="502">
        <f t="shared" si="33"/>
        <v>3.25</v>
      </c>
      <c r="BL57" s="493">
        <v>0.24</v>
      </c>
      <c r="BM57" s="497">
        <f t="shared" si="34"/>
        <v>102</v>
      </c>
      <c r="BN57" s="492">
        <v>6</v>
      </c>
      <c r="BO57" s="500">
        <f t="shared" si="49"/>
        <v>1</v>
      </c>
      <c r="BP57" s="502">
        <f t="shared" si="50"/>
        <v>0</v>
      </c>
      <c r="BQ57" s="568">
        <v>1</v>
      </c>
      <c r="BR57" s="580" t="s">
        <v>870</v>
      </c>
      <c r="BS57" s="594">
        <v>42053</v>
      </c>
      <c r="BT57" s="503">
        <f t="shared" si="15"/>
        <v>42418</v>
      </c>
      <c r="BU57" s="546">
        <v>83</v>
      </c>
      <c r="BV57" s="546">
        <v>3</v>
      </c>
      <c r="BW57" s="504">
        <f t="shared" si="16"/>
        <v>0</v>
      </c>
      <c r="BX57" s="505">
        <f t="shared" si="51"/>
        <v>1</v>
      </c>
      <c r="BY57" s="497">
        <f t="shared" si="52"/>
        <v>425</v>
      </c>
      <c r="BZ57" s="595">
        <f t="shared" si="19"/>
        <v>0</v>
      </c>
      <c r="CA57" s="537"/>
      <c r="CB57" s="568">
        <v>0.8</v>
      </c>
      <c r="CC57" s="605">
        <f t="shared" si="35"/>
        <v>340</v>
      </c>
      <c r="CD57" s="537">
        <v>1</v>
      </c>
      <c r="CE57" s="506" t="str">
        <f t="shared" si="36"/>
        <v>Excellent coverage</v>
      </c>
      <c r="CF57" s="492">
        <v>0</v>
      </c>
      <c r="CG57" s="538" t="s">
        <v>302</v>
      </c>
      <c r="CH57" s="580"/>
    </row>
    <row r="58" spans="2:86" s="40" customFormat="1" ht="30" customHeight="1" x14ac:dyDescent="0.2">
      <c r="B58" s="527" t="s">
        <v>135</v>
      </c>
      <c r="C58" s="488" t="s">
        <v>555</v>
      </c>
      <c r="D58" s="117" t="s">
        <v>265</v>
      </c>
      <c r="E58" s="488" t="s">
        <v>152</v>
      </c>
      <c r="F58" s="117">
        <v>97.386718999999999</v>
      </c>
      <c r="G58" s="117">
        <v>25.415482000000001</v>
      </c>
      <c r="H58" s="117" t="s">
        <v>509</v>
      </c>
      <c r="I58" s="117" t="s">
        <v>218</v>
      </c>
      <c r="J58" s="546">
        <v>87</v>
      </c>
      <c r="K58" s="546">
        <v>258</v>
      </c>
      <c r="L58" s="546">
        <v>258</v>
      </c>
      <c r="M58" s="490" t="str">
        <f t="shared" si="37"/>
        <v>2. Medium</v>
      </c>
      <c r="N58" s="528" t="s">
        <v>239</v>
      </c>
      <c r="O58" s="553" t="s">
        <v>239</v>
      </c>
      <c r="P58" s="545" t="str">
        <f t="shared" si="20"/>
        <v>Covered</v>
      </c>
      <c r="Q58" s="491">
        <v>42185</v>
      </c>
      <c r="R58" s="489" t="s">
        <v>240</v>
      </c>
      <c r="S58" s="491">
        <v>42185</v>
      </c>
      <c r="T58" s="528" t="s">
        <v>260</v>
      </c>
      <c r="U58" s="533" t="str">
        <f t="shared" si="21"/>
        <v>Documented</v>
      </c>
      <c r="V58" s="537">
        <v>0</v>
      </c>
      <c r="W58" s="492">
        <v>0</v>
      </c>
      <c r="X58" s="538" t="s">
        <v>19</v>
      </c>
      <c r="Y58" s="537">
        <v>0</v>
      </c>
      <c r="Z58" s="492">
        <v>3</v>
      </c>
      <c r="AA58" s="538">
        <v>1000</v>
      </c>
      <c r="AB58" s="567">
        <v>0</v>
      </c>
      <c r="AC58" s="568">
        <v>1</v>
      </c>
      <c r="AD58" s="574">
        <f t="shared" si="1"/>
        <v>1</v>
      </c>
      <c r="AE58" s="495">
        <f t="shared" si="22"/>
        <v>258</v>
      </c>
      <c r="AF58" s="496">
        <f t="shared" si="38"/>
        <v>1</v>
      </c>
      <c r="AG58" s="497">
        <f t="shared" si="23"/>
        <v>258</v>
      </c>
      <c r="AH58" s="494">
        <f t="shared" si="39"/>
        <v>1</v>
      </c>
      <c r="AI58" s="497">
        <f t="shared" si="24"/>
        <v>258</v>
      </c>
      <c r="AJ58" s="498" t="str">
        <f t="shared" si="40"/>
        <v>80-100%</v>
      </c>
      <c r="AK58" s="494">
        <f t="shared" si="41"/>
        <v>0</v>
      </c>
      <c r="AL58" s="499">
        <f t="shared" si="42"/>
        <v>0</v>
      </c>
      <c r="AM58" s="497">
        <f t="shared" si="43"/>
        <v>0</v>
      </c>
      <c r="AN58" s="497">
        <f t="shared" si="44"/>
        <v>87</v>
      </c>
      <c r="AO58" s="497">
        <f t="shared" si="25"/>
        <v>0</v>
      </c>
      <c r="AP58" s="568">
        <v>1</v>
      </c>
      <c r="AQ58" s="577">
        <f t="shared" si="26"/>
        <v>258</v>
      </c>
      <c r="AR58" s="581"/>
      <c r="AS58" s="537">
        <v>0</v>
      </c>
      <c r="AT58" s="492">
        <v>0</v>
      </c>
      <c r="AU58" s="492">
        <v>10</v>
      </c>
      <c r="AV58" s="492" t="s">
        <v>300</v>
      </c>
      <c r="AW58" s="500">
        <f t="shared" si="45"/>
        <v>0.77519379844961245</v>
      </c>
      <c r="AX58" s="497">
        <f t="shared" si="27"/>
        <v>200</v>
      </c>
      <c r="AY58" s="500">
        <f t="shared" si="46"/>
        <v>0</v>
      </c>
      <c r="AZ58" s="497">
        <f t="shared" si="28"/>
        <v>0</v>
      </c>
      <c r="BA58" s="500">
        <f t="shared" si="47"/>
        <v>0.77519379844961245</v>
      </c>
      <c r="BB58" s="497">
        <f t="shared" si="29"/>
        <v>200</v>
      </c>
      <c r="BC58" s="492">
        <v>0</v>
      </c>
      <c r="BD58" s="493">
        <v>0.78</v>
      </c>
      <c r="BE58" s="501">
        <f t="shared" si="48"/>
        <v>201.24</v>
      </c>
      <c r="BF58" s="502">
        <f t="shared" si="30"/>
        <v>2.9000000000000004</v>
      </c>
      <c r="BG58" s="492">
        <v>2</v>
      </c>
      <c r="BH58" s="492" t="s">
        <v>301</v>
      </c>
      <c r="BI58" s="500">
        <f t="shared" si="31"/>
        <v>0.77519379844961245</v>
      </c>
      <c r="BJ58" s="497">
        <f t="shared" si="32"/>
        <v>200</v>
      </c>
      <c r="BK58" s="502">
        <f t="shared" si="33"/>
        <v>0.58000000000000007</v>
      </c>
      <c r="BL58" s="493">
        <v>0.78</v>
      </c>
      <c r="BM58" s="497">
        <f t="shared" si="34"/>
        <v>201.24</v>
      </c>
      <c r="BN58" s="492">
        <v>1</v>
      </c>
      <c r="BO58" s="500">
        <f t="shared" si="49"/>
        <v>0.38759689922480622</v>
      </c>
      <c r="BP58" s="502">
        <f t="shared" si="50"/>
        <v>1.58</v>
      </c>
      <c r="BQ58" s="568">
        <v>0.39</v>
      </c>
      <c r="BR58" s="580" t="s">
        <v>843</v>
      </c>
      <c r="BS58" s="594">
        <v>42053</v>
      </c>
      <c r="BT58" s="503">
        <f t="shared" si="15"/>
        <v>42418</v>
      </c>
      <c r="BU58" s="546">
        <v>87</v>
      </c>
      <c r="BV58" s="546">
        <v>3</v>
      </c>
      <c r="BW58" s="504">
        <f t="shared" si="16"/>
        <v>0</v>
      </c>
      <c r="BX58" s="505">
        <f t="shared" si="51"/>
        <v>1</v>
      </c>
      <c r="BY58" s="497">
        <f t="shared" si="52"/>
        <v>258</v>
      </c>
      <c r="BZ58" s="595">
        <f t="shared" si="19"/>
        <v>0</v>
      </c>
      <c r="CA58" s="537"/>
      <c r="CB58" s="568">
        <v>0.8</v>
      </c>
      <c r="CC58" s="605">
        <f t="shared" si="35"/>
        <v>206.4</v>
      </c>
      <c r="CD58" s="537">
        <v>1</v>
      </c>
      <c r="CE58" s="506" t="str">
        <f t="shared" si="36"/>
        <v>Excellent coverage</v>
      </c>
      <c r="CF58" s="492">
        <v>0</v>
      </c>
      <c r="CG58" s="538" t="s">
        <v>302</v>
      </c>
      <c r="CH58" s="580"/>
    </row>
    <row r="59" spans="2:86" s="40" customFormat="1" ht="30" customHeight="1" x14ac:dyDescent="0.2">
      <c r="B59" s="527" t="s">
        <v>135</v>
      </c>
      <c r="C59" s="488" t="s">
        <v>576</v>
      </c>
      <c r="D59" s="117" t="s">
        <v>265</v>
      </c>
      <c r="E59" s="488" t="s">
        <v>692</v>
      </c>
      <c r="F59" s="117">
        <v>97.387370000000004</v>
      </c>
      <c r="G59" s="117">
        <v>25.42595</v>
      </c>
      <c r="H59" s="117" t="s">
        <v>509</v>
      </c>
      <c r="I59" s="117" t="s">
        <v>218</v>
      </c>
      <c r="J59" s="546">
        <v>34</v>
      </c>
      <c r="K59" s="546">
        <v>176</v>
      </c>
      <c r="L59" s="546">
        <v>176</v>
      </c>
      <c r="M59" s="490" t="str">
        <f t="shared" si="37"/>
        <v>1. Small</v>
      </c>
      <c r="N59" s="528" t="s">
        <v>284</v>
      </c>
      <c r="O59" s="553" t="s">
        <v>284</v>
      </c>
      <c r="P59" s="545" t="str">
        <f t="shared" si="20"/>
        <v>Covered</v>
      </c>
      <c r="Q59" s="491">
        <v>42155</v>
      </c>
      <c r="R59" s="489"/>
      <c r="S59" s="491"/>
      <c r="T59" s="528" t="s">
        <v>260</v>
      </c>
      <c r="U59" s="533" t="str">
        <f t="shared" si="21"/>
        <v>Documented</v>
      </c>
      <c r="V59" s="537">
        <v>0</v>
      </c>
      <c r="W59" s="492">
        <v>0</v>
      </c>
      <c r="X59" s="538" t="s">
        <v>19</v>
      </c>
      <c r="Y59" s="537">
        <v>1</v>
      </c>
      <c r="Z59" s="492">
        <v>2</v>
      </c>
      <c r="AA59" s="538">
        <v>0</v>
      </c>
      <c r="AB59" s="567">
        <v>0</v>
      </c>
      <c r="AC59" s="568">
        <v>0</v>
      </c>
      <c r="AD59" s="574">
        <f t="shared" si="1"/>
        <v>1</v>
      </c>
      <c r="AE59" s="495">
        <f t="shared" si="22"/>
        <v>176</v>
      </c>
      <c r="AF59" s="496">
        <f t="shared" si="38"/>
        <v>1</v>
      </c>
      <c r="AG59" s="497">
        <f t="shared" si="23"/>
        <v>176</v>
      </c>
      <c r="AH59" s="494">
        <f t="shared" si="39"/>
        <v>1</v>
      </c>
      <c r="AI59" s="497">
        <f t="shared" si="24"/>
        <v>176</v>
      </c>
      <c r="AJ59" s="498" t="str">
        <f t="shared" si="40"/>
        <v>80-100%</v>
      </c>
      <c r="AK59" s="494">
        <f t="shared" si="41"/>
        <v>0</v>
      </c>
      <c r="AL59" s="499">
        <f t="shared" si="42"/>
        <v>0</v>
      </c>
      <c r="AM59" s="497">
        <f t="shared" si="43"/>
        <v>0</v>
      </c>
      <c r="AN59" s="497">
        <f t="shared" si="44"/>
        <v>0</v>
      </c>
      <c r="AO59" s="497">
        <f t="shared" si="25"/>
        <v>0</v>
      </c>
      <c r="AP59" s="568">
        <v>1</v>
      </c>
      <c r="AQ59" s="577">
        <f t="shared" si="26"/>
        <v>176</v>
      </c>
      <c r="AR59" s="581"/>
      <c r="AS59" s="537">
        <v>0</v>
      </c>
      <c r="AT59" s="492">
        <v>2</v>
      </c>
      <c r="AU59" s="492">
        <v>8</v>
      </c>
      <c r="AV59" s="492" t="s">
        <v>299</v>
      </c>
      <c r="AW59" s="500">
        <f t="shared" si="45"/>
        <v>1</v>
      </c>
      <c r="AX59" s="497">
        <f t="shared" si="27"/>
        <v>176</v>
      </c>
      <c r="AY59" s="500">
        <f t="shared" si="46"/>
        <v>9.0909090909090939E-2</v>
      </c>
      <c r="AZ59" s="497">
        <f t="shared" si="28"/>
        <v>16.000000000000007</v>
      </c>
      <c r="BA59" s="500">
        <f t="shared" si="47"/>
        <v>0.90909090909090906</v>
      </c>
      <c r="BB59" s="497">
        <f t="shared" si="29"/>
        <v>160</v>
      </c>
      <c r="BC59" s="492">
        <v>0</v>
      </c>
      <c r="BD59" s="493">
        <v>1</v>
      </c>
      <c r="BE59" s="501">
        <f t="shared" si="48"/>
        <v>176</v>
      </c>
      <c r="BF59" s="502">
        <f t="shared" si="30"/>
        <v>0.80000000000000071</v>
      </c>
      <c r="BG59" s="492">
        <v>2</v>
      </c>
      <c r="BH59" s="492" t="s">
        <v>91</v>
      </c>
      <c r="BI59" s="500">
        <f t="shared" si="31"/>
        <v>1</v>
      </c>
      <c r="BJ59" s="497">
        <f t="shared" si="32"/>
        <v>176</v>
      </c>
      <c r="BK59" s="502">
        <f t="shared" si="33"/>
        <v>0</v>
      </c>
      <c r="BL59" s="493">
        <v>1</v>
      </c>
      <c r="BM59" s="497">
        <f t="shared" si="34"/>
        <v>176</v>
      </c>
      <c r="BN59" s="492">
        <v>2</v>
      </c>
      <c r="BO59" s="500">
        <f t="shared" si="49"/>
        <v>1</v>
      </c>
      <c r="BP59" s="502">
        <f t="shared" si="50"/>
        <v>0</v>
      </c>
      <c r="BQ59" s="568">
        <v>1</v>
      </c>
      <c r="BR59" s="580"/>
      <c r="BS59" s="594">
        <v>42048</v>
      </c>
      <c r="BT59" s="503">
        <f t="shared" si="15"/>
        <v>42413</v>
      </c>
      <c r="BU59" s="546">
        <v>34</v>
      </c>
      <c r="BV59" s="546">
        <v>2</v>
      </c>
      <c r="BW59" s="504">
        <f t="shared" si="16"/>
        <v>0</v>
      </c>
      <c r="BX59" s="505">
        <f t="shared" si="51"/>
        <v>1</v>
      </c>
      <c r="BY59" s="497">
        <f t="shared" si="52"/>
        <v>176</v>
      </c>
      <c r="BZ59" s="595">
        <f t="shared" si="19"/>
        <v>0</v>
      </c>
      <c r="CA59" s="537"/>
      <c r="CB59" s="568">
        <v>1</v>
      </c>
      <c r="CC59" s="605">
        <f t="shared" si="35"/>
        <v>176</v>
      </c>
      <c r="CD59" s="537">
        <v>1</v>
      </c>
      <c r="CE59" s="506" t="str">
        <f t="shared" si="36"/>
        <v>Excellent coverage</v>
      </c>
      <c r="CF59" s="492">
        <v>0</v>
      </c>
      <c r="CG59" s="538" t="s">
        <v>65</v>
      </c>
      <c r="CH59" s="580"/>
    </row>
    <row r="60" spans="2:86" s="40" customFormat="1" ht="30" customHeight="1" x14ac:dyDescent="0.2">
      <c r="B60" s="527" t="s">
        <v>135</v>
      </c>
      <c r="C60" s="488" t="s">
        <v>576</v>
      </c>
      <c r="D60" s="117" t="s">
        <v>265</v>
      </c>
      <c r="E60" s="488" t="s">
        <v>153</v>
      </c>
      <c r="F60" s="117">
        <v>97.388400000000004</v>
      </c>
      <c r="G60" s="117">
        <v>25.40982</v>
      </c>
      <c r="H60" s="117" t="s">
        <v>509</v>
      </c>
      <c r="I60" s="117" t="s">
        <v>218</v>
      </c>
      <c r="J60" s="546">
        <v>35</v>
      </c>
      <c r="K60" s="546">
        <v>160</v>
      </c>
      <c r="L60" s="546">
        <v>160</v>
      </c>
      <c r="M60" s="490" t="str">
        <f t="shared" si="37"/>
        <v>1. Small</v>
      </c>
      <c r="N60" s="528" t="s">
        <v>284</v>
      </c>
      <c r="O60" s="553" t="s">
        <v>284</v>
      </c>
      <c r="P60" s="545" t="str">
        <f t="shared" si="20"/>
        <v>Covered</v>
      </c>
      <c r="Q60" s="491">
        <v>42155</v>
      </c>
      <c r="R60" s="489"/>
      <c r="S60" s="491"/>
      <c r="T60" s="528" t="s">
        <v>260</v>
      </c>
      <c r="U60" s="533" t="str">
        <f t="shared" si="21"/>
        <v>Documented</v>
      </c>
      <c r="V60" s="537">
        <v>0</v>
      </c>
      <c r="W60" s="492">
        <v>0</v>
      </c>
      <c r="X60" s="538" t="s">
        <v>19</v>
      </c>
      <c r="Y60" s="537">
        <v>1</v>
      </c>
      <c r="Z60" s="492">
        <v>2</v>
      </c>
      <c r="AA60" s="538">
        <v>2000</v>
      </c>
      <c r="AB60" s="567">
        <v>0</v>
      </c>
      <c r="AC60" s="568">
        <v>0</v>
      </c>
      <c r="AD60" s="574">
        <f t="shared" si="1"/>
        <v>1</v>
      </c>
      <c r="AE60" s="495">
        <f t="shared" si="22"/>
        <v>160</v>
      </c>
      <c r="AF60" s="496">
        <f t="shared" si="38"/>
        <v>1</v>
      </c>
      <c r="AG60" s="497">
        <f t="shared" si="23"/>
        <v>160</v>
      </c>
      <c r="AH60" s="494">
        <f t="shared" si="39"/>
        <v>1</v>
      </c>
      <c r="AI60" s="497">
        <f t="shared" si="24"/>
        <v>160</v>
      </c>
      <c r="AJ60" s="498" t="str">
        <f t="shared" si="40"/>
        <v>80-100%</v>
      </c>
      <c r="AK60" s="494">
        <f t="shared" si="41"/>
        <v>0</v>
      </c>
      <c r="AL60" s="499">
        <f t="shared" si="42"/>
        <v>0</v>
      </c>
      <c r="AM60" s="497">
        <f t="shared" si="43"/>
        <v>0</v>
      </c>
      <c r="AN60" s="497">
        <f t="shared" si="44"/>
        <v>0</v>
      </c>
      <c r="AO60" s="497">
        <f t="shared" si="25"/>
        <v>0</v>
      </c>
      <c r="AP60" s="568">
        <v>1</v>
      </c>
      <c r="AQ60" s="577">
        <f t="shared" si="26"/>
        <v>160</v>
      </c>
      <c r="AR60" s="581"/>
      <c r="AS60" s="537">
        <v>16</v>
      </c>
      <c r="AT60" s="492">
        <v>3</v>
      </c>
      <c r="AU60" s="492">
        <v>6</v>
      </c>
      <c r="AV60" s="492" t="s">
        <v>299</v>
      </c>
      <c r="AW60" s="500">
        <f t="shared" si="45"/>
        <v>1</v>
      </c>
      <c r="AX60" s="497">
        <f t="shared" si="27"/>
        <v>160</v>
      </c>
      <c r="AY60" s="500">
        <f t="shared" si="46"/>
        <v>0.25</v>
      </c>
      <c r="AZ60" s="497">
        <f t="shared" si="28"/>
        <v>40</v>
      </c>
      <c r="BA60" s="500">
        <f t="shared" si="47"/>
        <v>0.75</v>
      </c>
      <c r="BB60" s="497">
        <f t="shared" si="29"/>
        <v>120</v>
      </c>
      <c r="BC60" s="492">
        <v>0</v>
      </c>
      <c r="BD60" s="493">
        <v>1</v>
      </c>
      <c r="BE60" s="501">
        <f t="shared" si="48"/>
        <v>160</v>
      </c>
      <c r="BF60" s="502">
        <f t="shared" si="30"/>
        <v>2</v>
      </c>
      <c r="BG60" s="492">
        <v>2</v>
      </c>
      <c r="BH60" s="492" t="s">
        <v>300</v>
      </c>
      <c r="BI60" s="500">
        <f t="shared" si="31"/>
        <v>1</v>
      </c>
      <c r="BJ60" s="497">
        <f t="shared" si="32"/>
        <v>160</v>
      </c>
      <c r="BK60" s="502">
        <f t="shared" si="33"/>
        <v>0</v>
      </c>
      <c r="BL60" s="493">
        <v>1</v>
      </c>
      <c r="BM60" s="497">
        <f t="shared" si="34"/>
        <v>160</v>
      </c>
      <c r="BN60" s="492">
        <v>6</v>
      </c>
      <c r="BO60" s="500">
        <f t="shared" si="49"/>
        <v>1</v>
      </c>
      <c r="BP60" s="502">
        <f t="shared" si="50"/>
        <v>0</v>
      </c>
      <c r="BQ60" s="568">
        <v>1</v>
      </c>
      <c r="BR60" s="580"/>
      <c r="BS60" s="594">
        <v>42048</v>
      </c>
      <c r="BT60" s="503">
        <f t="shared" si="15"/>
        <v>42413</v>
      </c>
      <c r="BU60" s="546">
        <v>35</v>
      </c>
      <c r="BV60" s="546">
        <v>2</v>
      </c>
      <c r="BW60" s="504">
        <f t="shared" si="16"/>
        <v>0</v>
      </c>
      <c r="BX60" s="505">
        <f t="shared" si="51"/>
        <v>1</v>
      </c>
      <c r="BY60" s="497">
        <f t="shared" si="52"/>
        <v>160</v>
      </c>
      <c r="BZ60" s="595">
        <f t="shared" si="19"/>
        <v>0</v>
      </c>
      <c r="CA60" s="537"/>
      <c r="CB60" s="568">
        <v>1</v>
      </c>
      <c r="CC60" s="605">
        <f t="shared" si="35"/>
        <v>160</v>
      </c>
      <c r="CD60" s="537">
        <v>1</v>
      </c>
      <c r="CE60" s="506" t="str">
        <f t="shared" si="36"/>
        <v>Excellent coverage</v>
      </c>
      <c r="CF60" s="492">
        <v>0</v>
      </c>
      <c r="CG60" s="538" t="s">
        <v>65</v>
      </c>
      <c r="CH60" s="580"/>
    </row>
    <row r="61" spans="2:86" s="40" customFormat="1" ht="30" customHeight="1" x14ac:dyDescent="0.2">
      <c r="B61" s="527" t="s">
        <v>135</v>
      </c>
      <c r="C61" s="488" t="s">
        <v>558</v>
      </c>
      <c r="D61" s="117" t="s">
        <v>265</v>
      </c>
      <c r="E61" s="488" t="s">
        <v>154</v>
      </c>
      <c r="F61" s="117">
        <v>97.379272</v>
      </c>
      <c r="G61" s="117">
        <v>25.401074999999999</v>
      </c>
      <c r="H61" s="117" t="s">
        <v>509</v>
      </c>
      <c r="I61" s="117" t="s">
        <v>218</v>
      </c>
      <c r="J61" s="546">
        <v>7</v>
      </c>
      <c r="K61" s="546">
        <v>30</v>
      </c>
      <c r="L61" s="546">
        <v>30</v>
      </c>
      <c r="M61" s="490" t="str">
        <f t="shared" si="37"/>
        <v>1. Small</v>
      </c>
      <c r="N61" s="528" t="s">
        <v>284</v>
      </c>
      <c r="O61" s="553" t="s">
        <v>284</v>
      </c>
      <c r="P61" s="545" t="str">
        <f t="shared" si="20"/>
        <v>Covered</v>
      </c>
      <c r="Q61" s="491">
        <v>42155</v>
      </c>
      <c r="R61" s="489"/>
      <c r="S61" s="491"/>
      <c r="T61" s="528" t="s">
        <v>260</v>
      </c>
      <c r="U61" s="533" t="str">
        <f t="shared" si="21"/>
        <v>Documented</v>
      </c>
      <c r="V61" s="537">
        <v>0</v>
      </c>
      <c r="W61" s="492">
        <v>0</v>
      </c>
      <c r="X61" s="538" t="s">
        <v>19</v>
      </c>
      <c r="Y61" s="537">
        <v>0</v>
      </c>
      <c r="Z61" s="492">
        <v>1</v>
      </c>
      <c r="AA61" s="538">
        <v>3600</v>
      </c>
      <c r="AB61" s="567">
        <v>0</v>
      </c>
      <c r="AC61" s="568">
        <v>0</v>
      </c>
      <c r="AD61" s="574">
        <f t="shared" si="1"/>
        <v>1</v>
      </c>
      <c r="AE61" s="495">
        <f t="shared" si="22"/>
        <v>30</v>
      </c>
      <c r="AF61" s="496">
        <f t="shared" si="38"/>
        <v>1</v>
      </c>
      <c r="AG61" s="497">
        <f t="shared" si="23"/>
        <v>30</v>
      </c>
      <c r="AH61" s="494">
        <f t="shared" si="39"/>
        <v>1</v>
      </c>
      <c r="AI61" s="497">
        <f t="shared" si="24"/>
        <v>30</v>
      </c>
      <c r="AJ61" s="498" t="str">
        <f t="shared" si="40"/>
        <v>80-100%</v>
      </c>
      <c r="AK61" s="494">
        <f t="shared" si="41"/>
        <v>0</v>
      </c>
      <c r="AL61" s="499">
        <f t="shared" si="42"/>
        <v>0</v>
      </c>
      <c r="AM61" s="497">
        <f t="shared" si="43"/>
        <v>0</v>
      </c>
      <c r="AN61" s="497">
        <f t="shared" si="44"/>
        <v>0</v>
      </c>
      <c r="AO61" s="497">
        <f t="shared" si="25"/>
        <v>0</v>
      </c>
      <c r="AP61" s="568">
        <v>1</v>
      </c>
      <c r="AQ61" s="577">
        <f t="shared" si="26"/>
        <v>30</v>
      </c>
      <c r="AR61" s="581"/>
      <c r="AS61" s="537">
        <v>0</v>
      </c>
      <c r="AT61" s="492">
        <v>0</v>
      </c>
      <c r="AU61" s="492">
        <v>2</v>
      </c>
      <c r="AV61" s="492" t="s">
        <v>299</v>
      </c>
      <c r="AW61" s="500">
        <f t="shared" si="45"/>
        <v>1</v>
      </c>
      <c r="AX61" s="497">
        <f t="shared" si="27"/>
        <v>30</v>
      </c>
      <c r="AY61" s="500">
        <f t="shared" si="46"/>
        <v>0</v>
      </c>
      <c r="AZ61" s="497">
        <f t="shared" si="28"/>
        <v>0</v>
      </c>
      <c r="BA61" s="500">
        <f t="shared" si="47"/>
        <v>1</v>
      </c>
      <c r="BB61" s="497">
        <f t="shared" si="29"/>
        <v>30</v>
      </c>
      <c r="BC61" s="492">
        <v>0</v>
      </c>
      <c r="BD61" s="493">
        <v>1</v>
      </c>
      <c r="BE61" s="501">
        <f t="shared" si="48"/>
        <v>30</v>
      </c>
      <c r="BF61" s="502">
        <f t="shared" si="30"/>
        <v>0</v>
      </c>
      <c r="BG61" s="492">
        <v>1</v>
      </c>
      <c r="BH61" s="492" t="s">
        <v>300</v>
      </c>
      <c r="BI61" s="500">
        <f t="shared" si="31"/>
        <v>1</v>
      </c>
      <c r="BJ61" s="497">
        <f t="shared" si="32"/>
        <v>30</v>
      </c>
      <c r="BK61" s="502">
        <f t="shared" si="33"/>
        <v>0</v>
      </c>
      <c r="BL61" s="493">
        <v>1</v>
      </c>
      <c r="BM61" s="497">
        <f t="shared" si="34"/>
        <v>30</v>
      </c>
      <c r="BN61" s="492">
        <v>3</v>
      </c>
      <c r="BO61" s="500">
        <f t="shared" si="49"/>
        <v>1</v>
      </c>
      <c r="BP61" s="502">
        <f t="shared" si="50"/>
        <v>0</v>
      </c>
      <c r="BQ61" s="568">
        <v>1</v>
      </c>
      <c r="BR61" s="580"/>
      <c r="BS61" s="594">
        <v>42048</v>
      </c>
      <c r="BT61" s="503">
        <f t="shared" si="15"/>
        <v>42413</v>
      </c>
      <c r="BU61" s="546">
        <v>7</v>
      </c>
      <c r="BV61" s="546">
        <v>2</v>
      </c>
      <c r="BW61" s="504">
        <f t="shared" si="16"/>
        <v>0</v>
      </c>
      <c r="BX61" s="505">
        <f t="shared" si="51"/>
        <v>1</v>
      </c>
      <c r="BY61" s="497">
        <f t="shared" si="52"/>
        <v>30</v>
      </c>
      <c r="BZ61" s="595">
        <f t="shared" si="19"/>
        <v>0</v>
      </c>
      <c r="CA61" s="537"/>
      <c r="CB61" s="568">
        <v>1</v>
      </c>
      <c r="CC61" s="605">
        <f t="shared" si="35"/>
        <v>30</v>
      </c>
      <c r="CD61" s="537">
        <v>2</v>
      </c>
      <c r="CE61" s="506" t="str">
        <f t="shared" si="36"/>
        <v>Excellent coverage</v>
      </c>
      <c r="CF61" s="492">
        <v>1</v>
      </c>
      <c r="CG61" s="538" t="s">
        <v>65</v>
      </c>
      <c r="CH61" s="580" t="s">
        <v>850</v>
      </c>
    </row>
    <row r="62" spans="2:86" s="40" customFormat="1" ht="30" customHeight="1" x14ac:dyDescent="0.2">
      <c r="B62" s="527" t="s">
        <v>135</v>
      </c>
      <c r="C62" s="488" t="s">
        <v>557</v>
      </c>
      <c r="D62" s="117" t="s">
        <v>265</v>
      </c>
      <c r="E62" s="488" t="s">
        <v>155</v>
      </c>
      <c r="F62" s="117">
        <v>97.377662999999998</v>
      </c>
      <c r="G62" s="117">
        <v>25.404752999999999</v>
      </c>
      <c r="H62" s="117" t="s">
        <v>509</v>
      </c>
      <c r="I62" s="117" t="s">
        <v>218</v>
      </c>
      <c r="J62" s="546">
        <v>31</v>
      </c>
      <c r="K62" s="546">
        <v>131</v>
      </c>
      <c r="L62" s="546">
        <v>131</v>
      </c>
      <c r="M62" s="490" t="str">
        <f t="shared" si="37"/>
        <v>1. Small</v>
      </c>
      <c r="N62" s="528" t="s">
        <v>239</v>
      </c>
      <c r="O62" s="553" t="s">
        <v>239</v>
      </c>
      <c r="P62" s="545" t="str">
        <f t="shared" si="20"/>
        <v>Covered</v>
      </c>
      <c r="Q62" s="491">
        <v>42185</v>
      </c>
      <c r="R62" s="489" t="s">
        <v>240</v>
      </c>
      <c r="S62" s="491">
        <v>42185</v>
      </c>
      <c r="T62" s="528" t="s">
        <v>260</v>
      </c>
      <c r="U62" s="533" t="str">
        <f t="shared" si="21"/>
        <v>Documented</v>
      </c>
      <c r="V62" s="537">
        <v>0</v>
      </c>
      <c r="W62" s="492">
        <v>0</v>
      </c>
      <c r="X62" s="538" t="s">
        <v>19</v>
      </c>
      <c r="Y62" s="537">
        <v>0</v>
      </c>
      <c r="Z62" s="492">
        <v>2</v>
      </c>
      <c r="AA62" s="538">
        <v>2000</v>
      </c>
      <c r="AB62" s="567">
        <v>0</v>
      </c>
      <c r="AC62" s="568">
        <v>1</v>
      </c>
      <c r="AD62" s="574">
        <f t="shared" si="1"/>
        <v>1</v>
      </c>
      <c r="AE62" s="495">
        <f t="shared" si="22"/>
        <v>131</v>
      </c>
      <c r="AF62" s="496">
        <f t="shared" si="38"/>
        <v>1</v>
      </c>
      <c r="AG62" s="497">
        <f t="shared" si="23"/>
        <v>131</v>
      </c>
      <c r="AH62" s="494">
        <f t="shared" si="39"/>
        <v>1</v>
      </c>
      <c r="AI62" s="497">
        <f t="shared" si="24"/>
        <v>131</v>
      </c>
      <c r="AJ62" s="498" t="str">
        <f t="shared" si="40"/>
        <v>80-100%</v>
      </c>
      <c r="AK62" s="494">
        <f t="shared" si="41"/>
        <v>0</v>
      </c>
      <c r="AL62" s="499">
        <f t="shared" si="42"/>
        <v>0</v>
      </c>
      <c r="AM62" s="497">
        <f t="shared" si="43"/>
        <v>0</v>
      </c>
      <c r="AN62" s="497">
        <f t="shared" si="44"/>
        <v>31</v>
      </c>
      <c r="AO62" s="497">
        <f t="shared" si="25"/>
        <v>0</v>
      </c>
      <c r="AP62" s="568">
        <v>1</v>
      </c>
      <c r="AQ62" s="577">
        <f t="shared" si="26"/>
        <v>131</v>
      </c>
      <c r="AR62" s="581"/>
      <c r="AS62" s="537">
        <v>0</v>
      </c>
      <c r="AT62" s="492">
        <v>0</v>
      </c>
      <c r="AU62" s="492">
        <v>7</v>
      </c>
      <c r="AV62" s="492" t="s">
        <v>300</v>
      </c>
      <c r="AW62" s="500">
        <f t="shared" si="45"/>
        <v>1</v>
      </c>
      <c r="AX62" s="497">
        <f t="shared" si="27"/>
        <v>131</v>
      </c>
      <c r="AY62" s="500">
        <f t="shared" si="46"/>
        <v>0</v>
      </c>
      <c r="AZ62" s="497">
        <f t="shared" si="28"/>
        <v>0</v>
      </c>
      <c r="BA62" s="500">
        <f t="shared" si="47"/>
        <v>1</v>
      </c>
      <c r="BB62" s="497">
        <f t="shared" si="29"/>
        <v>131</v>
      </c>
      <c r="BC62" s="492">
        <v>0</v>
      </c>
      <c r="BD62" s="493">
        <v>1</v>
      </c>
      <c r="BE62" s="501">
        <f t="shared" si="48"/>
        <v>131</v>
      </c>
      <c r="BF62" s="502">
        <f t="shared" si="30"/>
        <v>0</v>
      </c>
      <c r="BG62" s="492">
        <v>2</v>
      </c>
      <c r="BH62" s="492" t="s">
        <v>91</v>
      </c>
      <c r="BI62" s="500">
        <f t="shared" si="31"/>
        <v>1</v>
      </c>
      <c r="BJ62" s="497">
        <f t="shared" si="32"/>
        <v>131</v>
      </c>
      <c r="BK62" s="502">
        <f t="shared" si="33"/>
        <v>0</v>
      </c>
      <c r="BL62" s="493">
        <v>1</v>
      </c>
      <c r="BM62" s="497">
        <f t="shared" si="34"/>
        <v>131</v>
      </c>
      <c r="BN62" s="492">
        <v>4</v>
      </c>
      <c r="BO62" s="500">
        <f t="shared" si="49"/>
        <v>1</v>
      </c>
      <c r="BP62" s="502">
        <f t="shared" si="50"/>
        <v>0</v>
      </c>
      <c r="BQ62" s="568">
        <v>1</v>
      </c>
      <c r="BR62" s="580"/>
      <c r="BS62" s="594">
        <v>42053</v>
      </c>
      <c r="BT62" s="503">
        <f t="shared" si="15"/>
        <v>42418</v>
      </c>
      <c r="BU62" s="546">
        <v>31</v>
      </c>
      <c r="BV62" s="546">
        <v>3</v>
      </c>
      <c r="BW62" s="504">
        <f t="shared" si="16"/>
        <v>0</v>
      </c>
      <c r="BX62" s="505">
        <f t="shared" si="51"/>
        <v>1</v>
      </c>
      <c r="BY62" s="497">
        <f t="shared" si="52"/>
        <v>131</v>
      </c>
      <c r="BZ62" s="595">
        <f t="shared" si="19"/>
        <v>0</v>
      </c>
      <c r="CA62" s="537"/>
      <c r="CB62" s="568">
        <v>0.8</v>
      </c>
      <c r="CC62" s="605">
        <f t="shared" si="35"/>
        <v>104.80000000000001</v>
      </c>
      <c r="CD62" s="537">
        <v>1</v>
      </c>
      <c r="CE62" s="506" t="str">
        <f t="shared" si="36"/>
        <v>Excellent coverage</v>
      </c>
      <c r="CF62" s="492">
        <v>1</v>
      </c>
      <c r="CG62" s="538" t="s">
        <v>302</v>
      </c>
      <c r="CH62" s="580" t="s">
        <v>849</v>
      </c>
    </row>
    <row r="63" spans="2:86" s="40" customFormat="1" ht="30" customHeight="1" x14ac:dyDescent="0.2">
      <c r="B63" s="527" t="s">
        <v>135</v>
      </c>
      <c r="C63" s="488" t="s">
        <v>559</v>
      </c>
      <c r="D63" s="117" t="s">
        <v>265</v>
      </c>
      <c r="E63" s="488" t="s">
        <v>156</v>
      </c>
      <c r="F63" s="117">
        <v>97.382192000000003</v>
      </c>
      <c r="G63" s="117">
        <v>25.404015000000001</v>
      </c>
      <c r="H63" s="117" t="s">
        <v>509</v>
      </c>
      <c r="I63" s="117" t="s">
        <v>218</v>
      </c>
      <c r="J63" s="546">
        <v>33</v>
      </c>
      <c r="K63" s="546">
        <v>120</v>
      </c>
      <c r="L63" s="546">
        <v>120</v>
      </c>
      <c r="M63" s="490" t="str">
        <f t="shared" si="37"/>
        <v>1. Small</v>
      </c>
      <c r="N63" s="528" t="s">
        <v>239</v>
      </c>
      <c r="O63" s="553" t="s">
        <v>239</v>
      </c>
      <c r="P63" s="545" t="str">
        <f t="shared" si="20"/>
        <v>Covered</v>
      </c>
      <c r="Q63" s="491">
        <v>42185</v>
      </c>
      <c r="R63" s="489" t="s">
        <v>240</v>
      </c>
      <c r="S63" s="491">
        <v>42185</v>
      </c>
      <c r="T63" s="528" t="s">
        <v>260</v>
      </c>
      <c r="U63" s="533" t="str">
        <f t="shared" si="21"/>
        <v>Documented</v>
      </c>
      <c r="V63" s="537">
        <v>0</v>
      </c>
      <c r="W63" s="492">
        <v>0</v>
      </c>
      <c r="X63" s="538" t="s">
        <v>19</v>
      </c>
      <c r="Y63" s="537">
        <v>0</v>
      </c>
      <c r="Z63" s="492">
        <v>2</v>
      </c>
      <c r="AA63" s="538">
        <v>0</v>
      </c>
      <c r="AB63" s="567">
        <v>0</v>
      </c>
      <c r="AC63" s="568">
        <v>1</v>
      </c>
      <c r="AD63" s="574">
        <f t="shared" si="1"/>
        <v>1</v>
      </c>
      <c r="AE63" s="495">
        <f t="shared" si="22"/>
        <v>120</v>
      </c>
      <c r="AF63" s="496">
        <f t="shared" si="38"/>
        <v>1</v>
      </c>
      <c r="AG63" s="497">
        <f t="shared" si="23"/>
        <v>120</v>
      </c>
      <c r="AH63" s="494">
        <f t="shared" si="39"/>
        <v>1</v>
      </c>
      <c r="AI63" s="497">
        <f t="shared" si="24"/>
        <v>120</v>
      </c>
      <c r="AJ63" s="498" t="str">
        <f t="shared" si="40"/>
        <v>80-100%</v>
      </c>
      <c r="AK63" s="494">
        <f t="shared" si="41"/>
        <v>0</v>
      </c>
      <c r="AL63" s="499">
        <f t="shared" si="42"/>
        <v>0</v>
      </c>
      <c r="AM63" s="497">
        <f t="shared" si="43"/>
        <v>0</v>
      </c>
      <c r="AN63" s="497">
        <f t="shared" si="44"/>
        <v>33</v>
      </c>
      <c r="AO63" s="497">
        <f t="shared" si="25"/>
        <v>0</v>
      </c>
      <c r="AP63" s="568">
        <v>1</v>
      </c>
      <c r="AQ63" s="577">
        <f t="shared" si="26"/>
        <v>120</v>
      </c>
      <c r="AR63" s="581"/>
      <c r="AS63" s="537">
        <v>0</v>
      </c>
      <c r="AT63" s="492">
        <v>0</v>
      </c>
      <c r="AU63" s="492">
        <v>8</v>
      </c>
      <c r="AV63" s="492" t="s">
        <v>299</v>
      </c>
      <c r="AW63" s="500">
        <f t="shared" si="45"/>
        <v>1</v>
      </c>
      <c r="AX63" s="497">
        <f t="shared" si="27"/>
        <v>120</v>
      </c>
      <c r="AY63" s="500">
        <f t="shared" si="46"/>
        <v>0</v>
      </c>
      <c r="AZ63" s="497">
        <f t="shared" si="28"/>
        <v>0</v>
      </c>
      <c r="BA63" s="500">
        <f t="shared" si="47"/>
        <v>1</v>
      </c>
      <c r="BB63" s="497">
        <f t="shared" si="29"/>
        <v>120</v>
      </c>
      <c r="BC63" s="492">
        <v>0</v>
      </c>
      <c r="BD63" s="493">
        <v>1</v>
      </c>
      <c r="BE63" s="501">
        <f t="shared" si="48"/>
        <v>120</v>
      </c>
      <c r="BF63" s="502">
        <f t="shared" si="30"/>
        <v>0</v>
      </c>
      <c r="BG63" s="492">
        <v>1</v>
      </c>
      <c r="BH63" s="492" t="s">
        <v>91</v>
      </c>
      <c r="BI63" s="500">
        <f t="shared" si="31"/>
        <v>0.83333333333333337</v>
      </c>
      <c r="BJ63" s="497">
        <f t="shared" si="32"/>
        <v>100</v>
      </c>
      <c r="BK63" s="502">
        <f t="shared" si="33"/>
        <v>0.19999999999999996</v>
      </c>
      <c r="BL63" s="493">
        <v>0.83</v>
      </c>
      <c r="BM63" s="497">
        <f t="shared" si="34"/>
        <v>99.6</v>
      </c>
      <c r="BN63" s="492">
        <v>5</v>
      </c>
      <c r="BO63" s="500">
        <f t="shared" si="49"/>
        <v>1</v>
      </c>
      <c r="BP63" s="502">
        <f t="shared" si="50"/>
        <v>0</v>
      </c>
      <c r="BQ63" s="568">
        <v>1</v>
      </c>
      <c r="BR63" s="580" t="s">
        <v>909</v>
      </c>
      <c r="BS63" s="594">
        <v>42053</v>
      </c>
      <c r="BT63" s="503">
        <f t="shared" si="15"/>
        <v>42418</v>
      </c>
      <c r="BU63" s="546">
        <v>33</v>
      </c>
      <c r="BV63" s="546">
        <v>3</v>
      </c>
      <c r="BW63" s="504">
        <f t="shared" si="16"/>
        <v>0</v>
      </c>
      <c r="BX63" s="505">
        <f t="shared" si="51"/>
        <v>1</v>
      </c>
      <c r="BY63" s="497">
        <f t="shared" si="52"/>
        <v>120</v>
      </c>
      <c r="BZ63" s="595">
        <f t="shared" si="19"/>
        <v>0</v>
      </c>
      <c r="CA63" s="537"/>
      <c r="CB63" s="568">
        <v>0.8</v>
      </c>
      <c r="CC63" s="605">
        <f t="shared" si="35"/>
        <v>96</v>
      </c>
      <c r="CD63" s="537">
        <v>1</v>
      </c>
      <c r="CE63" s="506" t="str">
        <f t="shared" si="36"/>
        <v>Excellent coverage</v>
      </c>
      <c r="CF63" s="492">
        <v>0</v>
      </c>
      <c r="CG63" s="538" t="s">
        <v>302</v>
      </c>
      <c r="CH63" s="580" t="s">
        <v>849</v>
      </c>
    </row>
    <row r="64" spans="2:86" s="40" customFormat="1" ht="30" customHeight="1" x14ac:dyDescent="0.2">
      <c r="B64" s="527" t="s">
        <v>135</v>
      </c>
      <c r="C64" s="488" t="s">
        <v>575</v>
      </c>
      <c r="D64" s="117" t="s">
        <v>265</v>
      </c>
      <c r="E64" s="488" t="s">
        <v>157</v>
      </c>
      <c r="F64" s="117">
        <v>97.403407999999999</v>
      </c>
      <c r="G64" s="117">
        <v>25.377545999999999</v>
      </c>
      <c r="H64" s="117" t="s">
        <v>509</v>
      </c>
      <c r="I64" s="117" t="s">
        <v>218</v>
      </c>
      <c r="J64" s="546">
        <v>6</v>
      </c>
      <c r="K64" s="546">
        <v>37</v>
      </c>
      <c r="L64" s="546">
        <v>37</v>
      </c>
      <c r="M64" s="490" t="str">
        <f t="shared" si="37"/>
        <v>1. Small</v>
      </c>
      <c r="N64" s="528" t="s">
        <v>284</v>
      </c>
      <c r="O64" s="553" t="s">
        <v>284</v>
      </c>
      <c r="P64" s="545" t="str">
        <f t="shared" si="20"/>
        <v>Covered</v>
      </c>
      <c r="Q64" s="491">
        <v>42155</v>
      </c>
      <c r="R64" s="489"/>
      <c r="S64" s="491"/>
      <c r="T64" s="528" t="s">
        <v>260</v>
      </c>
      <c r="U64" s="533" t="str">
        <f t="shared" si="21"/>
        <v>Documented</v>
      </c>
      <c r="V64" s="537">
        <v>0</v>
      </c>
      <c r="W64" s="492">
        <v>0</v>
      </c>
      <c r="X64" s="538" t="s">
        <v>19</v>
      </c>
      <c r="Y64" s="537">
        <v>0</v>
      </c>
      <c r="Z64" s="492">
        <v>0</v>
      </c>
      <c r="AA64" s="538">
        <v>7200</v>
      </c>
      <c r="AB64" s="567">
        <v>0</v>
      </c>
      <c r="AC64" s="568">
        <v>0</v>
      </c>
      <c r="AD64" s="574">
        <f t="shared" si="1"/>
        <v>1</v>
      </c>
      <c r="AE64" s="495">
        <f t="shared" si="22"/>
        <v>37</v>
      </c>
      <c r="AF64" s="496">
        <f t="shared" si="38"/>
        <v>1</v>
      </c>
      <c r="AG64" s="497">
        <f t="shared" si="23"/>
        <v>37</v>
      </c>
      <c r="AH64" s="494">
        <f t="shared" si="39"/>
        <v>1</v>
      </c>
      <c r="AI64" s="497">
        <f t="shared" si="24"/>
        <v>37</v>
      </c>
      <c r="AJ64" s="498" t="str">
        <f t="shared" si="40"/>
        <v>80-100%</v>
      </c>
      <c r="AK64" s="494">
        <f t="shared" si="41"/>
        <v>0</v>
      </c>
      <c r="AL64" s="499">
        <f t="shared" si="42"/>
        <v>0</v>
      </c>
      <c r="AM64" s="497">
        <f t="shared" si="43"/>
        <v>9.2499999999999999E-2</v>
      </c>
      <c r="AN64" s="497">
        <f t="shared" si="44"/>
        <v>0</v>
      </c>
      <c r="AO64" s="497">
        <f t="shared" si="25"/>
        <v>0</v>
      </c>
      <c r="AP64" s="568">
        <v>1</v>
      </c>
      <c r="AQ64" s="577">
        <f t="shared" si="26"/>
        <v>37</v>
      </c>
      <c r="AR64" s="581"/>
      <c r="AS64" s="537">
        <v>0</v>
      </c>
      <c r="AT64" s="492">
        <v>0</v>
      </c>
      <c r="AU64" s="492">
        <v>6</v>
      </c>
      <c r="AV64" s="492" t="s">
        <v>299</v>
      </c>
      <c r="AW64" s="500">
        <f t="shared" si="45"/>
        <v>1</v>
      </c>
      <c r="AX64" s="497">
        <f t="shared" si="27"/>
        <v>37</v>
      </c>
      <c r="AY64" s="500">
        <f t="shared" si="46"/>
        <v>0</v>
      </c>
      <c r="AZ64" s="497">
        <f t="shared" si="28"/>
        <v>0</v>
      </c>
      <c r="BA64" s="500">
        <f t="shared" si="47"/>
        <v>1</v>
      </c>
      <c r="BB64" s="497">
        <f t="shared" si="29"/>
        <v>37</v>
      </c>
      <c r="BC64" s="492">
        <v>0</v>
      </c>
      <c r="BD64" s="493">
        <v>1</v>
      </c>
      <c r="BE64" s="501">
        <f t="shared" si="48"/>
        <v>37</v>
      </c>
      <c r="BF64" s="502">
        <f t="shared" si="30"/>
        <v>0</v>
      </c>
      <c r="BG64" s="492">
        <v>1</v>
      </c>
      <c r="BH64" s="492" t="s">
        <v>299</v>
      </c>
      <c r="BI64" s="500">
        <f t="shared" si="31"/>
        <v>1</v>
      </c>
      <c r="BJ64" s="497">
        <f t="shared" si="32"/>
        <v>37</v>
      </c>
      <c r="BK64" s="502">
        <f t="shared" si="33"/>
        <v>0</v>
      </c>
      <c r="BL64" s="493">
        <v>1</v>
      </c>
      <c r="BM64" s="497">
        <f t="shared" si="34"/>
        <v>37</v>
      </c>
      <c r="BN64" s="492">
        <v>2</v>
      </c>
      <c r="BO64" s="500">
        <f t="shared" si="49"/>
        <v>1</v>
      </c>
      <c r="BP64" s="502">
        <f t="shared" si="50"/>
        <v>0</v>
      </c>
      <c r="BQ64" s="568">
        <v>1</v>
      </c>
      <c r="BR64" s="580"/>
      <c r="BS64" s="594">
        <v>42048</v>
      </c>
      <c r="BT64" s="503">
        <f t="shared" si="15"/>
        <v>42413</v>
      </c>
      <c r="BU64" s="546">
        <v>6</v>
      </c>
      <c r="BV64" s="546">
        <v>2</v>
      </c>
      <c r="BW64" s="504">
        <f t="shared" si="16"/>
        <v>0</v>
      </c>
      <c r="BX64" s="505">
        <f t="shared" si="51"/>
        <v>1</v>
      </c>
      <c r="BY64" s="497">
        <f t="shared" si="52"/>
        <v>37</v>
      </c>
      <c r="BZ64" s="595">
        <f t="shared" si="19"/>
        <v>0</v>
      </c>
      <c r="CA64" s="537"/>
      <c r="CB64" s="568">
        <v>1</v>
      </c>
      <c r="CC64" s="605">
        <f t="shared" si="35"/>
        <v>37</v>
      </c>
      <c r="CD64" s="537">
        <v>2</v>
      </c>
      <c r="CE64" s="506" t="str">
        <f t="shared" si="36"/>
        <v>Excellent coverage</v>
      </c>
      <c r="CF64" s="492">
        <v>0</v>
      </c>
      <c r="CG64" s="538" t="s">
        <v>65</v>
      </c>
      <c r="CH64" s="580"/>
    </row>
    <row r="65" spans="2:86" s="40" customFormat="1" ht="30" customHeight="1" x14ac:dyDescent="0.2">
      <c r="B65" s="527" t="s">
        <v>224</v>
      </c>
      <c r="C65" s="488" t="s">
        <v>654</v>
      </c>
      <c r="D65" s="117" t="s">
        <v>323</v>
      </c>
      <c r="E65" s="488" t="s">
        <v>529</v>
      </c>
      <c r="F65" s="117">
        <v>97.418279999999996</v>
      </c>
      <c r="G65" s="117">
        <v>27.310880000000001</v>
      </c>
      <c r="H65" s="117" t="s">
        <v>530</v>
      </c>
      <c r="I65" s="117" t="s">
        <v>218</v>
      </c>
      <c r="J65" s="546">
        <v>14</v>
      </c>
      <c r="K65" s="546">
        <v>64</v>
      </c>
      <c r="L65" s="546">
        <v>64</v>
      </c>
      <c r="M65" s="490" t="str">
        <f t="shared" si="37"/>
        <v>1. Small</v>
      </c>
      <c r="N65" s="528"/>
      <c r="O65" s="553" t="s">
        <v>309</v>
      </c>
      <c r="P65" s="545" t="str">
        <f t="shared" si="20"/>
        <v>Not covered</v>
      </c>
      <c r="Q65" s="491"/>
      <c r="R65" s="489"/>
      <c r="S65" s="491"/>
      <c r="T65" s="528" t="s">
        <v>261</v>
      </c>
      <c r="U65" s="533" t="str">
        <f t="shared" si="21"/>
        <v>Documented</v>
      </c>
      <c r="V65" s="537">
        <v>0</v>
      </c>
      <c r="W65" s="492">
        <v>0</v>
      </c>
      <c r="X65" s="538" t="s">
        <v>19</v>
      </c>
      <c r="Y65" s="537">
        <v>1</v>
      </c>
      <c r="Z65" s="492">
        <v>0</v>
      </c>
      <c r="AA65" s="538">
        <v>0</v>
      </c>
      <c r="AB65" s="567">
        <v>0</v>
      </c>
      <c r="AC65" s="568">
        <v>0</v>
      </c>
      <c r="AD65" s="574">
        <f t="shared" si="1"/>
        <v>1</v>
      </c>
      <c r="AE65" s="495">
        <f t="shared" si="22"/>
        <v>64</v>
      </c>
      <c r="AF65" s="496">
        <f t="shared" si="38"/>
        <v>1</v>
      </c>
      <c r="AG65" s="497">
        <f t="shared" si="23"/>
        <v>64</v>
      </c>
      <c r="AH65" s="494">
        <f t="shared" si="39"/>
        <v>1</v>
      </c>
      <c r="AI65" s="497">
        <f t="shared" si="24"/>
        <v>64</v>
      </c>
      <c r="AJ65" s="498" t="str">
        <f t="shared" si="40"/>
        <v>80-100%</v>
      </c>
      <c r="AK65" s="494">
        <f t="shared" si="41"/>
        <v>0</v>
      </c>
      <c r="AL65" s="499">
        <f t="shared" si="42"/>
        <v>0</v>
      </c>
      <c r="AM65" s="497">
        <f t="shared" si="43"/>
        <v>0</v>
      </c>
      <c r="AN65" s="497">
        <f t="shared" si="44"/>
        <v>0</v>
      </c>
      <c r="AO65" s="497">
        <f t="shared" si="25"/>
        <v>0</v>
      </c>
      <c r="AP65" s="568">
        <v>1</v>
      </c>
      <c r="AQ65" s="577">
        <f t="shared" si="26"/>
        <v>64</v>
      </c>
      <c r="AR65" s="581"/>
      <c r="AS65" s="537">
        <v>14</v>
      </c>
      <c r="AT65" s="492">
        <v>14</v>
      </c>
      <c r="AU65" s="492">
        <v>0</v>
      </c>
      <c r="AV65" s="492" t="s">
        <v>91</v>
      </c>
      <c r="AW65" s="500">
        <f t="shared" si="45"/>
        <v>1</v>
      </c>
      <c r="AX65" s="497">
        <f t="shared" si="27"/>
        <v>64</v>
      </c>
      <c r="AY65" s="500">
        <f t="shared" si="46"/>
        <v>1</v>
      </c>
      <c r="AZ65" s="497">
        <f t="shared" si="28"/>
        <v>64</v>
      </c>
      <c r="BA65" s="500">
        <f t="shared" si="47"/>
        <v>0</v>
      </c>
      <c r="BB65" s="497">
        <f t="shared" si="29"/>
        <v>0</v>
      </c>
      <c r="BC65" s="492">
        <v>0</v>
      </c>
      <c r="BD65" s="493">
        <v>1</v>
      </c>
      <c r="BE65" s="501">
        <f t="shared" si="48"/>
        <v>64</v>
      </c>
      <c r="BF65" s="502">
        <f t="shared" si="30"/>
        <v>3.2</v>
      </c>
      <c r="BG65" s="492">
        <v>0</v>
      </c>
      <c r="BH65" s="492" t="s">
        <v>91</v>
      </c>
      <c r="BI65" s="500">
        <f t="shared" si="31"/>
        <v>0</v>
      </c>
      <c r="BJ65" s="497">
        <f t="shared" si="32"/>
        <v>0</v>
      </c>
      <c r="BK65" s="502">
        <f t="shared" si="33"/>
        <v>0.64</v>
      </c>
      <c r="BL65" s="493">
        <v>0</v>
      </c>
      <c r="BM65" s="497">
        <f t="shared" si="34"/>
        <v>0</v>
      </c>
      <c r="BN65" s="492">
        <v>0</v>
      </c>
      <c r="BO65" s="500">
        <f t="shared" si="49"/>
        <v>0</v>
      </c>
      <c r="BP65" s="502">
        <f t="shared" si="50"/>
        <v>0.64</v>
      </c>
      <c r="BQ65" s="568">
        <v>0</v>
      </c>
      <c r="BR65" s="580" t="s">
        <v>809</v>
      </c>
      <c r="BS65" s="594"/>
      <c r="BT65" s="503" t="str">
        <f t="shared" si="15"/>
        <v>To be realised</v>
      </c>
      <c r="BU65" s="546">
        <v>0</v>
      </c>
      <c r="BV65" s="546">
        <v>0</v>
      </c>
      <c r="BW65" s="504">
        <f t="shared" si="16"/>
        <v>14</v>
      </c>
      <c r="BX65" s="505">
        <f t="shared" si="51"/>
        <v>0</v>
      </c>
      <c r="BY65" s="497">
        <f t="shared" si="52"/>
        <v>0</v>
      </c>
      <c r="BZ65" s="595" t="str">
        <f t="shared" si="19"/>
        <v>Column BN to be completed</v>
      </c>
      <c r="CA65" s="537"/>
      <c r="CB65" s="568">
        <v>0</v>
      </c>
      <c r="CC65" s="605">
        <f t="shared" si="35"/>
        <v>0</v>
      </c>
      <c r="CD65" s="537">
        <v>0</v>
      </c>
      <c r="CE65" s="506" t="str">
        <f t="shared" si="36"/>
        <v>No coverage</v>
      </c>
      <c r="CF65" s="492">
        <v>0</v>
      </c>
      <c r="CG65" s="538" t="s">
        <v>543</v>
      </c>
      <c r="CH65" s="580" t="s">
        <v>866</v>
      </c>
    </row>
    <row r="66" spans="2:86" s="40" customFormat="1" ht="30" customHeight="1" x14ac:dyDescent="0.2">
      <c r="B66" s="527" t="s">
        <v>224</v>
      </c>
      <c r="C66" s="488"/>
      <c r="D66" s="117" t="s">
        <v>323</v>
      </c>
      <c r="E66" s="488" t="s">
        <v>829</v>
      </c>
      <c r="F66" s="117" t="s">
        <v>543</v>
      </c>
      <c r="G66" s="117" t="s">
        <v>543</v>
      </c>
      <c r="H66" s="117" t="s">
        <v>509</v>
      </c>
      <c r="I66" s="117" t="s">
        <v>218</v>
      </c>
      <c r="J66" s="546">
        <v>27</v>
      </c>
      <c r="K66" s="546">
        <v>82</v>
      </c>
      <c r="L66" s="546">
        <v>82</v>
      </c>
      <c r="M66" s="490" t="str">
        <f t="shared" si="37"/>
        <v>1. Small</v>
      </c>
      <c r="N66" s="528"/>
      <c r="O66" s="553" t="s">
        <v>239</v>
      </c>
      <c r="P66" s="545" t="str">
        <f t="shared" si="20"/>
        <v>Covered</v>
      </c>
      <c r="Q66" s="491" t="s">
        <v>708</v>
      </c>
      <c r="R66" s="489"/>
      <c r="S66" s="491"/>
      <c r="T66" s="528" t="s">
        <v>260</v>
      </c>
      <c r="U66" s="533" t="str">
        <f t="shared" si="21"/>
        <v>Documented</v>
      </c>
      <c r="V66" s="537">
        <v>0</v>
      </c>
      <c r="W66" s="492">
        <v>0</v>
      </c>
      <c r="X66" s="538" t="s">
        <v>19</v>
      </c>
      <c r="Y66" s="537">
        <v>1</v>
      </c>
      <c r="Z66" s="492">
        <v>0</v>
      </c>
      <c r="AA66" s="538">
        <v>0</v>
      </c>
      <c r="AB66" s="567">
        <v>0</v>
      </c>
      <c r="AC66" s="568">
        <v>0</v>
      </c>
      <c r="AD66" s="574">
        <f t="shared" si="1"/>
        <v>1</v>
      </c>
      <c r="AE66" s="495">
        <f t="shared" si="22"/>
        <v>82</v>
      </c>
      <c r="AF66" s="496">
        <f t="shared" si="38"/>
        <v>1</v>
      </c>
      <c r="AG66" s="497">
        <f t="shared" si="23"/>
        <v>82</v>
      </c>
      <c r="AH66" s="494">
        <f t="shared" si="39"/>
        <v>1</v>
      </c>
      <c r="AI66" s="497">
        <f t="shared" si="24"/>
        <v>82</v>
      </c>
      <c r="AJ66" s="498" t="str">
        <f t="shared" si="40"/>
        <v>80-100%</v>
      </c>
      <c r="AK66" s="494">
        <f t="shared" si="41"/>
        <v>0</v>
      </c>
      <c r="AL66" s="499">
        <f t="shared" si="42"/>
        <v>0</v>
      </c>
      <c r="AM66" s="497">
        <f t="shared" si="43"/>
        <v>0</v>
      </c>
      <c r="AN66" s="497">
        <f t="shared" si="44"/>
        <v>0</v>
      </c>
      <c r="AO66" s="497">
        <f t="shared" si="25"/>
        <v>0</v>
      </c>
      <c r="AP66" s="568">
        <v>1</v>
      </c>
      <c r="AQ66" s="577">
        <f t="shared" si="26"/>
        <v>82</v>
      </c>
      <c r="AR66" s="581"/>
      <c r="AS66" s="537">
        <v>6</v>
      </c>
      <c r="AT66" s="492">
        <v>6</v>
      </c>
      <c r="AU66" s="492">
        <v>0</v>
      </c>
      <c r="AV66" s="492" t="s">
        <v>91</v>
      </c>
      <c r="AW66" s="500">
        <f t="shared" si="45"/>
        <v>1</v>
      </c>
      <c r="AX66" s="497">
        <f t="shared" si="27"/>
        <v>82</v>
      </c>
      <c r="AY66" s="500">
        <f t="shared" si="46"/>
        <v>1</v>
      </c>
      <c r="AZ66" s="497">
        <f t="shared" si="28"/>
        <v>82</v>
      </c>
      <c r="BA66" s="500">
        <f t="shared" si="47"/>
        <v>0</v>
      </c>
      <c r="BB66" s="497">
        <f t="shared" si="29"/>
        <v>0</v>
      </c>
      <c r="BC66" s="492">
        <v>0</v>
      </c>
      <c r="BD66" s="493">
        <v>1</v>
      </c>
      <c r="BE66" s="501">
        <f t="shared" si="48"/>
        <v>82</v>
      </c>
      <c r="BF66" s="502">
        <f t="shared" si="30"/>
        <v>4.0999999999999996</v>
      </c>
      <c r="BG66" s="492">
        <v>0</v>
      </c>
      <c r="BH66" s="492" t="s">
        <v>91</v>
      </c>
      <c r="BI66" s="500">
        <f t="shared" si="31"/>
        <v>0</v>
      </c>
      <c r="BJ66" s="497">
        <f t="shared" si="32"/>
        <v>0</v>
      </c>
      <c r="BK66" s="502">
        <f t="shared" si="33"/>
        <v>0.82</v>
      </c>
      <c r="BL66" s="493">
        <v>0</v>
      </c>
      <c r="BM66" s="497">
        <f t="shared" si="34"/>
        <v>0</v>
      </c>
      <c r="BN66" s="492">
        <v>0</v>
      </c>
      <c r="BO66" s="500">
        <f t="shared" si="49"/>
        <v>0</v>
      </c>
      <c r="BP66" s="502">
        <f t="shared" si="50"/>
        <v>0.82</v>
      </c>
      <c r="BQ66" s="568">
        <v>0</v>
      </c>
      <c r="BR66" s="580" t="s">
        <v>871</v>
      </c>
      <c r="BS66" s="594"/>
      <c r="BT66" s="503" t="str">
        <f t="shared" si="15"/>
        <v>To be realised</v>
      </c>
      <c r="BU66" s="546">
        <v>0</v>
      </c>
      <c r="BV66" s="546">
        <v>0</v>
      </c>
      <c r="BW66" s="504">
        <f t="shared" si="16"/>
        <v>27</v>
      </c>
      <c r="BX66" s="505">
        <f t="shared" si="51"/>
        <v>0</v>
      </c>
      <c r="BY66" s="497">
        <f t="shared" si="52"/>
        <v>0</v>
      </c>
      <c r="BZ66" s="595" t="str">
        <f t="shared" si="19"/>
        <v>Column BN to be completed</v>
      </c>
      <c r="CA66" s="537" t="s">
        <v>872</v>
      </c>
      <c r="CB66" s="568">
        <v>0</v>
      </c>
      <c r="CC66" s="605">
        <f t="shared" si="35"/>
        <v>0</v>
      </c>
      <c r="CD66" s="537">
        <v>0</v>
      </c>
      <c r="CE66" s="506" t="str">
        <f t="shared" si="36"/>
        <v>No coverage</v>
      </c>
      <c r="CF66" s="492">
        <v>0</v>
      </c>
      <c r="CG66" s="538" t="s">
        <v>66</v>
      </c>
      <c r="CH66" s="580"/>
    </row>
    <row r="67" spans="2:86" s="40" customFormat="1" ht="30" customHeight="1" x14ac:dyDescent="0.2">
      <c r="B67" s="527" t="s">
        <v>224</v>
      </c>
      <c r="C67" s="488" t="s">
        <v>655</v>
      </c>
      <c r="D67" s="117" t="s">
        <v>323</v>
      </c>
      <c r="E67" s="488" t="s">
        <v>325</v>
      </c>
      <c r="F67" s="117">
        <v>97.584950000000006</v>
      </c>
      <c r="G67" s="117">
        <v>27.26989</v>
      </c>
      <c r="H67" s="117" t="s">
        <v>509</v>
      </c>
      <c r="I67" s="117" t="s">
        <v>218</v>
      </c>
      <c r="J67" s="546">
        <v>13</v>
      </c>
      <c r="K67" s="546">
        <v>87</v>
      </c>
      <c r="L67" s="546">
        <v>87</v>
      </c>
      <c r="M67" s="490" t="str">
        <f t="shared" si="37"/>
        <v>1. Small</v>
      </c>
      <c r="N67" s="528" t="s">
        <v>239</v>
      </c>
      <c r="O67" s="553" t="s">
        <v>239</v>
      </c>
      <c r="P67" s="545" t="str">
        <f t="shared" si="20"/>
        <v>Covered</v>
      </c>
      <c r="Q67" s="491" t="s">
        <v>708</v>
      </c>
      <c r="R67" s="489"/>
      <c r="S67" s="491"/>
      <c r="T67" s="528" t="s">
        <v>260</v>
      </c>
      <c r="U67" s="533" t="str">
        <f t="shared" si="21"/>
        <v>Documented</v>
      </c>
      <c r="V67" s="537">
        <v>0</v>
      </c>
      <c r="W67" s="492">
        <v>0</v>
      </c>
      <c r="X67" s="538" t="s">
        <v>19</v>
      </c>
      <c r="Y67" s="537">
        <v>0</v>
      </c>
      <c r="Z67" s="492">
        <v>0</v>
      </c>
      <c r="AA67" s="538">
        <v>225</v>
      </c>
      <c r="AB67" s="567">
        <v>0</v>
      </c>
      <c r="AC67" s="568">
        <v>0</v>
      </c>
      <c r="AD67" s="574">
        <f t="shared" si="1"/>
        <v>0.17241379310344829</v>
      </c>
      <c r="AE67" s="495">
        <f t="shared" si="22"/>
        <v>15.000000000000002</v>
      </c>
      <c r="AF67" s="496">
        <f t="shared" si="38"/>
        <v>0.17241379310344829</v>
      </c>
      <c r="AG67" s="497">
        <f t="shared" si="23"/>
        <v>15.000000000000002</v>
      </c>
      <c r="AH67" s="494">
        <f t="shared" si="39"/>
        <v>0.17241379310344829</v>
      </c>
      <c r="AI67" s="497">
        <f t="shared" si="24"/>
        <v>15.000000000000002</v>
      </c>
      <c r="AJ67" s="498" t="str">
        <f t="shared" si="40"/>
        <v>15-30%</v>
      </c>
      <c r="AK67" s="494">
        <f t="shared" si="41"/>
        <v>0</v>
      </c>
      <c r="AL67" s="499">
        <f t="shared" si="42"/>
        <v>0</v>
      </c>
      <c r="AM67" s="497">
        <f t="shared" si="43"/>
        <v>0.2175</v>
      </c>
      <c r="AN67" s="497">
        <f t="shared" si="44"/>
        <v>0</v>
      </c>
      <c r="AO67" s="497">
        <f t="shared" si="25"/>
        <v>0</v>
      </c>
      <c r="AP67" s="568">
        <v>0.17</v>
      </c>
      <c r="AQ67" s="577">
        <f t="shared" si="26"/>
        <v>14.790000000000001</v>
      </c>
      <c r="AR67" s="581" t="s">
        <v>834</v>
      </c>
      <c r="AS67" s="537">
        <v>2</v>
      </c>
      <c r="AT67" s="492">
        <v>2</v>
      </c>
      <c r="AU67" s="492">
        <v>0</v>
      </c>
      <c r="AV67" s="492" t="s">
        <v>91</v>
      </c>
      <c r="AW67" s="500">
        <f t="shared" si="45"/>
        <v>0.45977011494252873</v>
      </c>
      <c r="AX67" s="497">
        <f t="shared" si="27"/>
        <v>40</v>
      </c>
      <c r="AY67" s="500">
        <f t="shared" si="46"/>
        <v>0.45977011494252873</v>
      </c>
      <c r="AZ67" s="497">
        <f t="shared" si="28"/>
        <v>40</v>
      </c>
      <c r="BA67" s="500">
        <f t="shared" si="47"/>
        <v>0</v>
      </c>
      <c r="BB67" s="497">
        <f t="shared" si="29"/>
        <v>0</v>
      </c>
      <c r="BC67" s="492">
        <v>0</v>
      </c>
      <c r="BD67" s="493">
        <v>0.46</v>
      </c>
      <c r="BE67" s="501">
        <f t="shared" si="48"/>
        <v>40.020000000000003</v>
      </c>
      <c r="BF67" s="502">
        <f t="shared" si="30"/>
        <v>4.3499999999999996</v>
      </c>
      <c r="BG67" s="492">
        <v>0</v>
      </c>
      <c r="BH67" s="492" t="s">
        <v>91</v>
      </c>
      <c r="BI67" s="500">
        <f t="shared" si="31"/>
        <v>0</v>
      </c>
      <c r="BJ67" s="497">
        <f t="shared" si="32"/>
        <v>0</v>
      </c>
      <c r="BK67" s="502">
        <f t="shared" si="33"/>
        <v>0.87</v>
      </c>
      <c r="BL67" s="493">
        <v>0</v>
      </c>
      <c r="BM67" s="497">
        <f t="shared" si="34"/>
        <v>0</v>
      </c>
      <c r="BN67" s="492">
        <v>0</v>
      </c>
      <c r="BO67" s="500">
        <f t="shared" si="49"/>
        <v>0</v>
      </c>
      <c r="BP67" s="502">
        <f t="shared" si="50"/>
        <v>0.87</v>
      </c>
      <c r="BQ67" s="568">
        <v>0</v>
      </c>
      <c r="BR67" s="580" t="s">
        <v>873</v>
      </c>
      <c r="BS67" s="594"/>
      <c r="BT67" s="503" t="str">
        <f t="shared" si="15"/>
        <v>To be realised</v>
      </c>
      <c r="BU67" s="546">
        <v>0</v>
      </c>
      <c r="BV67" s="546">
        <v>0</v>
      </c>
      <c r="BW67" s="504">
        <f t="shared" si="16"/>
        <v>13</v>
      </c>
      <c r="BX67" s="505">
        <f t="shared" si="51"/>
        <v>0</v>
      </c>
      <c r="BY67" s="497">
        <f t="shared" si="52"/>
        <v>0</v>
      </c>
      <c r="BZ67" s="595" t="str">
        <f t="shared" si="19"/>
        <v>Column BN to be completed</v>
      </c>
      <c r="CA67" s="537"/>
      <c r="CB67" s="568">
        <v>0</v>
      </c>
      <c r="CC67" s="605">
        <f t="shared" si="35"/>
        <v>0</v>
      </c>
      <c r="CD67" s="537">
        <v>0</v>
      </c>
      <c r="CE67" s="506" t="str">
        <f t="shared" si="36"/>
        <v>No coverage</v>
      </c>
      <c r="CF67" s="492">
        <v>0</v>
      </c>
      <c r="CG67" s="538" t="s">
        <v>543</v>
      </c>
      <c r="CH67" s="580"/>
    </row>
    <row r="68" spans="2:86" s="40" customFormat="1" ht="30" customHeight="1" x14ac:dyDescent="0.2">
      <c r="B68" s="527" t="s">
        <v>158</v>
      </c>
      <c r="C68" s="488" t="s">
        <v>659</v>
      </c>
      <c r="D68" s="117" t="s">
        <v>268</v>
      </c>
      <c r="E68" s="488" t="s">
        <v>227</v>
      </c>
      <c r="F68" s="117">
        <v>97.915833000000006</v>
      </c>
      <c r="G68" s="117">
        <v>25.220278</v>
      </c>
      <c r="H68" s="117" t="s">
        <v>509</v>
      </c>
      <c r="I68" s="117" t="s">
        <v>226</v>
      </c>
      <c r="J68" s="546">
        <v>133</v>
      </c>
      <c r="K68" s="546">
        <v>645</v>
      </c>
      <c r="L68" s="546">
        <v>645</v>
      </c>
      <c r="M68" s="490" t="str">
        <f t="shared" ref="M68:M98" si="53">IF(J68&gt;50,IF(J68&gt;250,IF(J68&gt;500,IF(J68&gt;1000,"5. Massive","4. Big"),"3. Large"),"2. Medium"),"1. Small")</f>
        <v>2. Medium</v>
      </c>
      <c r="N68" s="528" t="s">
        <v>285</v>
      </c>
      <c r="O68" s="553" t="s">
        <v>235</v>
      </c>
      <c r="P68" s="545" t="str">
        <f t="shared" ref="P68:P131" si="54">IF(O68="None","Not covered","Covered")</f>
        <v>Covered</v>
      </c>
      <c r="Q68" s="491" t="s">
        <v>708</v>
      </c>
      <c r="R68" s="489"/>
      <c r="S68" s="491"/>
      <c r="T68" s="528" t="s">
        <v>260</v>
      </c>
      <c r="U68" s="533" t="str">
        <f t="shared" ref="U68:U131" si="55">IF(T68="Not documented","Not documented","Documented")</f>
        <v>Documented</v>
      </c>
      <c r="V68" s="537">
        <v>0</v>
      </c>
      <c r="W68" s="492">
        <v>0</v>
      </c>
      <c r="X68" s="538" t="s">
        <v>19</v>
      </c>
      <c r="Y68" s="537">
        <v>0</v>
      </c>
      <c r="Z68" s="492">
        <v>0</v>
      </c>
      <c r="AA68" s="538">
        <v>15000</v>
      </c>
      <c r="AB68" s="567">
        <v>0</v>
      </c>
      <c r="AC68" s="568">
        <v>1</v>
      </c>
      <c r="AD68" s="574">
        <f t="shared" ref="AD68:AD130" si="56">IF((((V68/15)+((W68/30)/15)+Y68*400+Z68*500+(AA68/15))/L68)&gt;1,1,(((V68/15)+((W68/30)/15)+Y68*400+Z68*500+(AA68/15))/L68))</f>
        <v>1</v>
      </c>
      <c r="AE68" s="495">
        <f t="shared" ref="AE68:AE131" si="57">AD68*L68</f>
        <v>645</v>
      </c>
      <c r="AF68" s="496">
        <f t="shared" ref="AF68:AF98" si="58">IF(((Y68*400+Z68*500+(AA68/15))/L68)&gt;1,1,(Y68*400+Z68*500+(AA68/15))/L68)</f>
        <v>1</v>
      </c>
      <c r="AG68" s="497">
        <f t="shared" ref="AG68:AG131" si="59">AF68*L68</f>
        <v>645</v>
      </c>
      <c r="AH68" s="494">
        <f t="shared" ref="AH68:AH98" si="60">IF(AC68=0,AD68,IF(AC68&lt;AD68,AD68,AC68))</f>
        <v>1</v>
      </c>
      <c r="AI68" s="497">
        <f t="shared" ref="AI68:AI131" si="61">AH68*L68</f>
        <v>645</v>
      </c>
      <c r="AJ68" s="498" t="str">
        <f t="shared" ref="AJ68:AJ98" si="62">IF(AD68&gt;0.15,IF(AD68&gt;0.3,IF(AD68&gt;0.45,IF(AD68&gt;0.6,IF(AD68&gt;0.8,"80-100%","60-80%"),"45-60%"),"30-45%"),"15-30%"),"0-10%")</f>
        <v>80-100%</v>
      </c>
      <c r="AK68" s="494">
        <f t="shared" ref="AK68:AK98" si="63">IF((AD68-AF68)&lt; 0, 0, AD68-AF68)</f>
        <v>0</v>
      </c>
      <c r="AL68" s="499">
        <f t="shared" ref="AL68:AL98" si="64">AK68*L68</f>
        <v>0</v>
      </c>
      <c r="AM68" s="497">
        <f t="shared" ref="AM68:AM98" si="65">IF(L68/400-(Y68+Z68)&lt;0,0,L68/400-(Y68+Z68))</f>
        <v>1.6125</v>
      </c>
      <c r="AN68" s="497">
        <f t="shared" ref="AN68:AN98" si="66">AC68*J68</f>
        <v>133</v>
      </c>
      <c r="AO68" s="497">
        <f t="shared" ref="AO68:AO131" si="67">AB68*L68</f>
        <v>0</v>
      </c>
      <c r="AP68" s="568">
        <v>1</v>
      </c>
      <c r="AQ68" s="577">
        <f t="shared" ref="AQ68:AQ131" si="68">AP68*L68</f>
        <v>645</v>
      </c>
      <c r="AR68" s="581" t="s">
        <v>899</v>
      </c>
      <c r="AS68" s="537">
        <v>115</v>
      </c>
      <c r="AT68" s="492">
        <v>95</v>
      </c>
      <c r="AU68" s="492">
        <v>8</v>
      </c>
      <c r="AV68" s="492" t="s">
        <v>299</v>
      </c>
      <c r="AW68" s="500">
        <f t="shared" ref="AW68:AW98" si="69">IF((((AT68+AU68)*20)/L68)&gt;1,1,(((AT68+AU68)*20)/L68))</f>
        <v>1</v>
      </c>
      <c r="AX68" s="497">
        <f t="shared" ref="AX68:AX131" si="70">AW68*L68</f>
        <v>645</v>
      </c>
      <c r="AY68" s="500">
        <f t="shared" ref="AY68:AY98" si="71">AW68-BA68</f>
        <v>0.75193798449612403</v>
      </c>
      <c r="AZ68" s="497">
        <f t="shared" ref="AZ68:AZ131" si="72">AY68*L68</f>
        <v>485</v>
      </c>
      <c r="BA68" s="500">
        <f t="shared" ref="BA68:BA98" si="73">IF(((AU68*20)/L68)&gt;1,1,((AU68*20)/L68))</f>
        <v>0.24806201550387597</v>
      </c>
      <c r="BB68" s="497">
        <f t="shared" ref="BB68:BB131" si="74">BA68*L68</f>
        <v>160</v>
      </c>
      <c r="BC68" s="492">
        <v>0</v>
      </c>
      <c r="BD68" s="493">
        <v>1</v>
      </c>
      <c r="BE68" s="501">
        <f t="shared" ref="BE68:BE98" si="75">BD68*L68</f>
        <v>645</v>
      </c>
      <c r="BF68" s="502">
        <f t="shared" ref="BF68:BF131" si="76">IF((L68/20-AU68+BC68)&lt;0,0,(L68/20-AU68+BC68))</f>
        <v>24.25</v>
      </c>
      <c r="BG68" s="492">
        <v>1</v>
      </c>
      <c r="BH68" s="492" t="s">
        <v>300</v>
      </c>
      <c r="BI68" s="500">
        <f t="shared" ref="BI68:BI131" si="77">IF((BG68*100/L68)&gt;1,1,(BG68*100/L68))</f>
        <v>0.15503875968992248</v>
      </c>
      <c r="BJ68" s="497">
        <f t="shared" ref="BJ68:BJ131" si="78">BI68*L68</f>
        <v>100</v>
      </c>
      <c r="BK68" s="502">
        <f t="shared" ref="BK68:BK131" si="79">IF(K68/100-BG68&lt;0,0,K68/100-BG68)</f>
        <v>5.45</v>
      </c>
      <c r="BL68" s="493">
        <v>0.16</v>
      </c>
      <c r="BM68" s="497">
        <f t="shared" ref="BM68:BM131" si="80">BL68*L68</f>
        <v>103.2</v>
      </c>
      <c r="BN68" s="492">
        <v>4</v>
      </c>
      <c r="BO68" s="500">
        <f t="shared" ref="BO68:BO98" si="81">IF((BN68*100/L68)&gt;1,1,(BN68*100/L68))</f>
        <v>0.62015503875968991</v>
      </c>
      <c r="BP68" s="502">
        <f t="shared" ref="BP68:BP98" si="82">IF(K68/100-BN68&lt;0,0,K68/100-BN68)</f>
        <v>2.4500000000000002</v>
      </c>
      <c r="BQ68" s="568">
        <v>0.62</v>
      </c>
      <c r="BR68" s="580" t="s">
        <v>874</v>
      </c>
      <c r="BS68" s="594">
        <v>42122</v>
      </c>
      <c r="BT68" s="503">
        <f t="shared" ref="BT68:BT87" si="83">IF(BS68="","To be realised",IF(BS68="n/a","n/a",IF(BS68+365&lt;$E$2,"To be realised",BS68+365)))</f>
        <v>42487</v>
      </c>
      <c r="BU68" s="546">
        <v>133</v>
      </c>
      <c r="BV68" s="546">
        <v>3</v>
      </c>
      <c r="BW68" s="504">
        <f t="shared" ref="BW68:BW87" si="84">IF(BT68="n/a",0,IF(BT68="To be realised",J68,IF((J68-BU68)&lt;0,0,(J68-BU68))))</f>
        <v>0</v>
      </c>
      <c r="BX68" s="505">
        <f t="shared" ref="BX68:BX98" si="85">IF(BW68=0,1,(J68-BW68)/J68)</f>
        <v>1</v>
      </c>
      <c r="BY68" s="497">
        <f t="shared" ref="BY68:BY98" si="86">BX68*L68</f>
        <v>645</v>
      </c>
      <c r="BZ68" s="595">
        <f t="shared" ref="BZ68:BZ87" si="87">IF(BS68="","Column BN to be completed", IF(BS68="n/a",0,IF(($E$2-BS68-30)/30-BV68&lt;0,0,ROUND((($E$2-BS68-30)/30-BV68),0))))</f>
        <v>0</v>
      </c>
      <c r="CA68" s="537"/>
      <c r="CB68" s="568">
        <v>0</v>
      </c>
      <c r="CC68" s="605">
        <f t="shared" ref="CC68:CC131" si="88">CB68*L68</f>
        <v>0</v>
      </c>
      <c r="CD68" s="537">
        <v>0</v>
      </c>
      <c r="CE68" s="506" t="str">
        <f t="shared" ref="CE68:CE131" si="89">IF(CD68=0,"No coverage",IF(L68/CD68&gt;1000,"Low coverage",IF(L68/CD68&gt;750,"Average coverage",IF(L68/CD68&gt;500,"Good coverage","Excellent coverage"))))</f>
        <v>No coverage</v>
      </c>
      <c r="CF68" s="492">
        <v>0</v>
      </c>
      <c r="CG68" s="538" t="s">
        <v>302</v>
      </c>
      <c r="CH68" s="580"/>
    </row>
    <row r="69" spans="2:86" s="40" customFormat="1" ht="30" customHeight="1" x14ac:dyDescent="0.2">
      <c r="B69" s="527" t="s">
        <v>158</v>
      </c>
      <c r="C69" s="488" t="s">
        <v>660</v>
      </c>
      <c r="D69" s="117" t="s">
        <v>265</v>
      </c>
      <c r="E69" s="488" t="s">
        <v>159</v>
      </c>
      <c r="F69" s="117">
        <v>97.408302000000006</v>
      </c>
      <c r="G69" s="117">
        <v>25.324567999999999</v>
      </c>
      <c r="H69" s="117" t="s">
        <v>509</v>
      </c>
      <c r="I69" s="117" t="s">
        <v>218</v>
      </c>
      <c r="J69" s="546">
        <v>110</v>
      </c>
      <c r="K69" s="546">
        <v>505</v>
      </c>
      <c r="L69" s="546">
        <v>505</v>
      </c>
      <c r="M69" s="490" t="str">
        <f t="shared" si="53"/>
        <v>2. Medium</v>
      </c>
      <c r="N69" s="528" t="s">
        <v>284</v>
      </c>
      <c r="O69" s="553" t="s">
        <v>284</v>
      </c>
      <c r="P69" s="545" t="str">
        <f t="shared" si="54"/>
        <v>Covered</v>
      </c>
      <c r="Q69" s="491">
        <v>42155</v>
      </c>
      <c r="R69" s="489"/>
      <c r="S69" s="491"/>
      <c r="T69" s="528" t="s">
        <v>260</v>
      </c>
      <c r="U69" s="533" t="str">
        <f t="shared" si="55"/>
        <v>Documented</v>
      </c>
      <c r="V69" s="537">
        <v>0</v>
      </c>
      <c r="W69" s="492">
        <v>0</v>
      </c>
      <c r="X69" s="538" t="s">
        <v>19</v>
      </c>
      <c r="Y69" s="537">
        <v>3</v>
      </c>
      <c r="Z69" s="492">
        <v>1</v>
      </c>
      <c r="AA69" s="538">
        <v>3600</v>
      </c>
      <c r="AB69" s="567">
        <v>0</v>
      </c>
      <c r="AC69" s="568">
        <v>0</v>
      </c>
      <c r="AD69" s="574">
        <f t="shared" si="56"/>
        <v>1</v>
      </c>
      <c r="AE69" s="495">
        <f t="shared" si="57"/>
        <v>505</v>
      </c>
      <c r="AF69" s="496">
        <f t="shared" si="58"/>
        <v>1</v>
      </c>
      <c r="AG69" s="497">
        <f t="shared" si="59"/>
        <v>505</v>
      </c>
      <c r="AH69" s="494">
        <f t="shared" si="60"/>
        <v>1</v>
      </c>
      <c r="AI69" s="497">
        <f t="shared" si="61"/>
        <v>505</v>
      </c>
      <c r="AJ69" s="498" t="str">
        <f t="shared" si="62"/>
        <v>80-100%</v>
      </c>
      <c r="AK69" s="494">
        <f t="shared" si="63"/>
        <v>0</v>
      </c>
      <c r="AL69" s="499">
        <f t="shared" si="64"/>
        <v>0</v>
      </c>
      <c r="AM69" s="497">
        <f t="shared" si="65"/>
        <v>0</v>
      </c>
      <c r="AN69" s="497">
        <f t="shared" si="66"/>
        <v>0</v>
      </c>
      <c r="AO69" s="497">
        <f t="shared" si="67"/>
        <v>0</v>
      </c>
      <c r="AP69" s="568">
        <v>1</v>
      </c>
      <c r="AQ69" s="577">
        <f t="shared" si="68"/>
        <v>505</v>
      </c>
      <c r="AR69" s="581"/>
      <c r="AS69" s="537">
        <v>2</v>
      </c>
      <c r="AT69" s="492">
        <v>2</v>
      </c>
      <c r="AU69" s="492">
        <v>26</v>
      </c>
      <c r="AV69" s="492" t="s">
        <v>299</v>
      </c>
      <c r="AW69" s="500">
        <f t="shared" si="69"/>
        <v>1</v>
      </c>
      <c r="AX69" s="497">
        <f t="shared" si="70"/>
        <v>505</v>
      </c>
      <c r="AY69" s="500">
        <f t="shared" si="71"/>
        <v>0</v>
      </c>
      <c r="AZ69" s="497">
        <f t="shared" si="72"/>
        <v>0</v>
      </c>
      <c r="BA69" s="500">
        <f t="shared" si="73"/>
        <v>1</v>
      </c>
      <c r="BB69" s="497">
        <f t="shared" si="74"/>
        <v>505</v>
      </c>
      <c r="BC69" s="492">
        <v>0</v>
      </c>
      <c r="BD69" s="493">
        <v>1</v>
      </c>
      <c r="BE69" s="501">
        <f t="shared" si="75"/>
        <v>505</v>
      </c>
      <c r="BF69" s="502">
        <f t="shared" si="76"/>
        <v>0</v>
      </c>
      <c r="BG69" s="492">
        <v>4</v>
      </c>
      <c r="BH69" s="492" t="s">
        <v>300</v>
      </c>
      <c r="BI69" s="500">
        <f t="shared" si="77"/>
        <v>0.79207920792079212</v>
      </c>
      <c r="BJ69" s="497">
        <f t="shared" si="78"/>
        <v>400</v>
      </c>
      <c r="BK69" s="502">
        <f t="shared" si="79"/>
        <v>1.0499999999999998</v>
      </c>
      <c r="BL69" s="493">
        <v>0.79</v>
      </c>
      <c r="BM69" s="497">
        <f t="shared" si="80"/>
        <v>398.95000000000005</v>
      </c>
      <c r="BN69" s="492">
        <v>15</v>
      </c>
      <c r="BO69" s="500">
        <f t="shared" si="81"/>
        <v>1</v>
      </c>
      <c r="BP69" s="502">
        <f t="shared" si="82"/>
        <v>0</v>
      </c>
      <c r="BQ69" s="568">
        <v>1</v>
      </c>
      <c r="BR69" s="580"/>
      <c r="BS69" s="594">
        <v>42048</v>
      </c>
      <c r="BT69" s="503">
        <f t="shared" si="83"/>
        <v>42413</v>
      </c>
      <c r="BU69" s="546">
        <v>110</v>
      </c>
      <c r="BV69" s="546">
        <v>2</v>
      </c>
      <c r="BW69" s="504">
        <f t="shared" si="84"/>
        <v>0</v>
      </c>
      <c r="BX69" s="505">
        <f t="shared" si="85"/>
        <v>1</v>
      </c>
      <c r="BY69" s="497">
        <f t="shared" si="86"/>
        <v>505</v>
      </c>
      <c r="BZ69" s="595">
        <f t="shared" si="87"/>
        <v>0</v>
      </c>
      <c r="CA69" s="537"/>
      <c r="CB69" s="568">
        <v>1</v>
      </c>
      <c r="CC69" s="605">
        <f t="shared" si="88"/>
        <v>505</v>
      </c>
      <c r="CD69" s="537">
        <v>2</v>
      </c>
      <c r="CE69" s="506" t="str">
        <f t="shared" si="89"/>
        <v>Excellent coverage</v>
      </c>
      <c r="CF69" s="492">
        <v>0</v>
      </c>
      <c r="CG69" s="538" t="s">
        <v>65</v>
      </c>
      <c r="CH69" s="580"/>
    </row>
    <row r="70" spans="2:86" s="40" customFormat="1" ht="30" customHeight="1" x14ac:dyDescent="0.2">
      <c r="B70" s="527" t="s">
        <v>158</v>
      </c>
      <c r="C70" s="488" t="s">
        <v>661</v>
      </c>
      <c r="D70" s="117" t="s">
        <v>268</v>
      </c>
      <c r="E70" s="488" t="s">
        <v>160</v>
      </c>
      <c r="F70" s="117">
        <v>97.807182999999995</v>
      </c>
      <c r="G70" s="117">
        <v>25.200333000000001</v>
      </c>
      <c r="H70" s="117" t="s">
        <v>509</v>
      </c>
      <c r="I70" s="117" t="s">
        <v>226</v>
      </c>
      <c r="J70" s="546">
        <v>170</v>
      </c>
      <c r="K70" s="546">
        <v>1156</v>
      </c>
      <c r="L70" s="546">
        <v>1156</v>
      </c>
      <c r="M70" s="490" t="str">
        <f t="shared" si="53"/>
        <v>2. Medium</v>
      </c>
      <c r="N70" s="528" t="s">
        <v>239</v>
      </c>
      <c r="O70" s="553" t="s">
        <v>239</v>
      </c>
      <c r="P70" s="545" t="str">
        <f t="shared" si="54"/>
        <v>Covered</v>
      </c>
      <c r="Q70" s="491">
        <v>42185</v>
      </c>
      <c r="R70" s="489" t="s">
        <v>240</v>
      </c>
      <c r="S70" s="491">
        <v>42185</v>
      </c>
      <c r="T70" s="528" t="s">
        <v>260</v>
      </c>
      <c r="U70" s="533" t="str">
        <f t="shared" si="55"/>
        <v>Documented</v>
      </c>
      <c r="V70" s="537">
        <v>0</v>
      </c>
      <c r="W70" s="492">
        <v>0</v>
      </c>
      <c r="X70" s="538" t="s">
        <v>19</v>
      </c>
      <c r="Y70" s="537">
        <v>0</v>
      </c>
      <c r="Z70" s="492">
        <v>0</v>
      </c>
      <c r="AA70" s="538">
        <v>30000</v>
      </c>
      <c r="AB70" s="567">
        <v>0</v>
      </c>
      <c r="AC70" s="568">
        <v>0</v>
      </c>
      <c r="AD70" s="574">
        <f t="shared" si="56"/>
        <v>1</v>
      </c>
      <c r="AE70" s="495">
        <f t="shared" si="57"/>
        <v>1156</v>
      </c>
      <c r="AF70" s="496">
        <f t="shared" si="58"/>
        <v>1</v>
      </c>
      <c r="AG70" s="497">
        <f t="shared" si="59"/>
        <v>1156</v>
      </c>
      <c r="AH70" s="494">
        <f t="shared" si="60"/>
        <v>1</v>
      </c>
      <c r="AI70" s="497">
        <f t="shared" si="61"/>
        <v>1156</v>
      </c>
      <c r="AJ70" s="498" t="str">
        <f t="shared" si="62"/>
        <v>80-100%</v>
      </c>
      <c r="AK70" s="494">
        <f t="shared" si="63"/>
        <v>0</v>
      </c>
      <c r="AL70" s="499">
        <f t="shared" si="64"/>
        <v>0</v>
      </c>
      <c r="AM70" s="497">
        <f t="shared" si="65"/>
        <v>2.89</v>
      </c>
      <c r="AN70" s="497">
        <f t="shared" si="66"/>
        <v>0</v>
      </c>
      <c r="AO70" s="497">
        <f t="shared" si="67"/>
        <v>0</v>
      </c>
      <c r="AP70" s="568">
        <v>1</v>
      </c>
      <c r="AQ70" s="577">
        <f t="shared" si="68"/>
        <v>1156</v>
      </c>
      <c r="AR70" s="581" t="s">
        <v>900</v>
      </c>
      <c r="AS70" s="537">
        <v>0</v>
      </c>
      <c r="AT70" s="492">
        <v>70</v>
      </c>
      <c r="AU70" s="492">
        <v>0</v>
      </c>
      <c r="AV70" s="492" t="s">
        <v>299</v>
      </c>
      <c r="AW70" s="500">
        <f t="shared" si="69"/>
        <v>1</v>
      </c>
      <c r="AX70" s="497">
        <f t="shared" si="70"/>
        <v>1156</v>
      </c>
      <c r="AY70" s="500">
        <f t="shared" si="71"/>
        <v>1</v>
      </c>
      <c r="AZ70" s="497">
        <f t="shared" si="72"/>
        <v>1156</v>
      </c>
      <c r="BA70" s="500">
        <f t="shared" si="73"/>
        <v>0</v>
      </c>
      <c r="BB70" s="497">
        <f t="shared" si="74"/>
        <v>0</v>
      </c>
      <c r="BC70" s="492">
        <v>0</v>
      </c>
      <c r="BD70" s="493">
        <v>1</v>
      </c>
      <c r="BE70" s="501">
        <f t="shared" si="75"/>
        <v>1156</v>
      </c>
      <c r="BF70" s="502">
        <f t="shared" si="76"/>
        <v>57.8</v>
      </c>
      <c r="BG70" s="492">
        <v>3</v>
      </c>
      <c r="BH70" s="492" t="s">
        <v>300</v>
      </c>
      <c r="BI70" s="500">
        <f t="shared" si="77"/>
        <v>0.25951557093425603</v>
      </c>
      <c r="BJ70" s="497">
        <f t="shared" si="78"/>
        <v>300</v>
      </c>
      <c r="BK70" s="502">
        <f t="shared" si="79"/>
        <v>8.56</v>
      </c>
      <c r="BL70" s="493">
        <v>0.26</v>
      </c>
      <c r="BM70" s="497">
        <f t="shared" si="80"/>
        <v>300.56</v>
      </c>
      <c r="BN70" s="492">
        <v>0</v>
      </c>
      <c r="BO70" s="500">
        <f t="shared" si="81"/>
        <v>0</v>
      </c>
      <c r="BP70" s="502">
        <f t="shared" si="82"/>
        <v>11.56</v>
      </c>
      <c r="BQ70" s="568">
        <v>0</v>
      </c>
      <c r="BR70" s="580" t="s">
        <v>875</v>
      </c>
      <c r="BS70" s="594">
        <v>42053</v>
      </c>
      <c r="BT70" s="503">
        <f t="shared" si="83"/>
        <v>42418</v>
      </c>
      <c r="BU70" s="546">
        <v>170</v>
      </c>
      <c r="BV70" s="546">
        <v>3</v>
      </c>
      <c r="BW70" s="504">
        <f t="shared" si="84"/>
        <v>0</v>
      </c>
      <c r="BX70" s="505">
        <f t="shared" si="85"/>
        <v>1</v>
      </c>
      <c r="BY70" s="497">
        <f t="shared" si="86"/>
        <v>1156</v>
      </c>
      <c r="BZ70" s="595">
        <f t="shared" si="87"/>
        <v>0</v>
      </c>
      <c r="CA70" s="537"/>
      <c r="CB70" s="568">
        <v>0.8</v>
      </c>
      <c r="CC70" s="605">
        <f t="shared" si="88"/>
        <v>924.80000000000007</v>
      </c>
      <c r="CD70" s="537">
        <v>3</v>
      </c>
      <c r="CE70" s="506" t="str">
        <f t="shared" si="89"/>
        <v>Excellent coverage</v>
      </c>
      <c r="CF70" s="492">
        <v>0</v>
      </c>
      <c r="CG70" s="538" t="s">
        <v>302</v>
      </c>
      <c r="CH70" s="580"/>
    </row>
    <row r="71" spans="2:86" s="40" customFormat="1" ht="30" customHeight="1" x14ac:dyDescent="0.2">
      <c r="B71" s="527" t="s">
        <v>158</v>
      </c>
      <c r="C71" s="488" t="s">
        <v>664</v>
      </c>
      <c r="D71" s="117" t="s">
        <v>265</v>
      </c>
      <c r="E71" s="488" t="s">
        <v>162</v>
      </c>
      <c r="F71" s="117">
        <v>97.451965000000001</v>
      </c>
      <c r="G71" s="117">
        <v>25.356632000000001</v>
      </c>
      <c r="H71" s="117" t="s">
        <v>509</v>
      </c>
      <c r="I71" s="117" t="s">
        <v>218</v>
      </c>
      <c r="J71" s="546">
        <v>21</v>
      </c>
      <c r="K71" s="546">
        <v>109</v>
      </c>
      <c r="L71" s="546">
        <v>109</v>
      </c>
      <c r="M71" s="490" t="str">
        <f t="shared" si="53"/>
        <v>1. Small</v>
      </c>
      <c r="N71" s="528" t="s">
        <v>284</v>
      </c>
      <c r="O71" s="553" t="s">
        <v>239</v>
      </c>
      <c r="P71" s="545" t="str">
        <f t="shared" si="54"/>
        <v>Covered</v>
      </c>
      <c r="Q71" s="491">
        <v>42185</v>
      </c>
      <c r="R71" s="489" t="s">
        <v>240</v>
      </c>
      <c r="S71" s="491">
        <v>42185</v>
      </c>
      <c r="T71" s="528" t="s">
        <v>260</v>
      </c>
      <c r="U71" s="533" t="str">
        <f t="shared" si="55"/>
        <v>Documented</v>
      </c>
      <c r="V71" s="537">
        <v>0</v>
      </c>
      <c r="W71" s="492">
        <v>0</v>
      </c>
      <c r="X71" s="538" t="s">
        <v>19</v>
      </c>
      <c r="Y71" s="537">
        <v>1</v>
      </c>
      <c r="Z71" s="492">
        <v>0</v>
      </c>
      <c r="AA71" s="538">
        <v>2000</v>
      </c>
      <c r="AB71" s="567">
        <v>0</v>
      </c>
      <c r="AC71" s="568">
        <v>1</v>
      </c>
      <c r="AD71" s="574">
        <f t="shared" si="56"/>
        <v>1</v>
      </c>
      <c r="AE71" s="495">
        <f t="shared" si="57"/>
        <v>109</v>
      </c>
      <c r="AF71" s="496">
        <f t="shared" si="58"/>
        <v>1</v>
      </c>
      <c r="AG71" s="497">
        <f t="shared" si="59"/>
        <v>109</v>
      </c>
      <c r="AH71" s="494">
        <f t="shared" si="60"/>
        <v>1</v>
      </c>
      <c r="AI71" s="497">
        <f t="shared" si="61"/>
        <v>109</v>
      </c>
      <c r="AJ71" s="498" t="str">
        <f t="shared" si="62"/>
        <v>80-100%</v>
      </c>
      <c r="AK71" s="494">
        <f t="shared" si="63"/>
        <v>0</v>
      </c>
      <c r="AL71" s="499">
        <f t="shared" si="64"/>
        <v>0</v>
      </c>
      <c r="AM71" s="497">
        <f t="shared" si="65"/>
        <v>0</v>
      </c>
      <c r="AN71" s="497">
        <f t="shared" si="66"/>
        <v>21</v>
      </c>
      <c r="AO71" s="497">
        <f t="shared" si="67"/>
        <v>0</v>
      </c>
      <c r="AP71" s="568">
        <v>1</v>
      </c>
      <c r="AQ71" s="577">
        <f t="shared" si="68"/>
        <v>109</v>
      </c>
      <c r="AR71" s="581"/>
      <c r="AS71" s="537">
        <v>0</v>
      </c>
      <c r="AT71" s="492">
        <v>0</v>
      </c>
      <c r="AU71" s="492">
        <v>6</v>
      </c>
      <c r="AV71" s="492" t="s">
        <v>299</v>
      </c>
      <c r="AW71" s="500">
        <f t="shared" si="69"/>
        <v>1</v>
      </c>
      <c r="AX71" s="497">
        <f t="shared" si="70"/>
        <v>109</v>
      </c>
      <c r="AY71" s="500">
        <f t="shared" si="71"/>
        <v>0</v>
      </c>
      <c r="AZ71" s="497">
        <f t="shared" si="72"/>
        <v>0</v>
      </c>
      <c r="BA71" s="500">
        <f t="shared" si="73"/>
        <v>1</v>
      </c>
      <c r="BB71" s="497">
        <f t="shared" si="74"/>
        <v>109</v>
      </c>
      <c r="BC71" s="492">
        <v>0</v>
      </c>
      <c r="BD71" s="493">
        <v>1</v>
      </c>
      <c r="BE71" s="501">
        <f t="shared" si="75"/>
        <v>109</v>
      </c>
      <c r="BF71" s="502">
        <f t="shared" si="76"/>
        <v>0</v>
      </c>
      <c r="BG71" s="492">
        <v>1</v>
      </c>
      <c r="BH71" s="492" t="s">
        <v>91</v>
      </c>
      <c r="BI71" s="500">
        <f t="shared" si="77"/>
        <v>0.91743119266055051</v>
      </c>
      <c r="BJ71" s="497">
        <f t="shared" si="78"/>
        <v>100</v>
      </c>
      <c r="BK71" s="502">
        <f t="shared" si="79"/>
        <v>9.000000000000008E-2</v>
      </c>
      <c r="BL71" s="493">
        <v>0.92</v>
      </c>
      <c r="BM71" s="497">
        <f t="shared" si="80"/>
        <v>100.28</v>
      </c>
      <c r="BN71" s="492">
        <v>3</v>
      </c>
      <c r="BO71" s="500">
        <f t="shared" si="81"/>
        <v>1</v>
      </c>
      <c r="BP71" s="502">
        <f t="shared" si="82"/>
        <v>0</v>
      </c>
      <c r="BQ71" s="568">
        <v>1</v>
      </c>
      <c r="BR71" s="580"/>
      <c r="BS71" s="594">
        <v>42053</v>
      </c>
      <c r="BT71" s="503">
        <f t="shared" si="83"/>
        <v>42418</v>
      </c>
      <c r="BU71" s="546">
        <v>21</v>
      </c>
      <c r="BV71" s="546">
        <v>3</v>
      </c>
      <c r="BW71" s="504">
        <f t="shared" si="84"/>
        <v>0</v>
      </c>
      <c r="BX71" s="505">
        <f t="shared" si="85"/>
        <v>1</v>
      </c>
      <c r="BY71" s="497">
        <f t="shared" si="86"/>
        <v>109</v>
      </c>
      <c r="BZ71" s="595">
        <f t="shared" si="87"/>
        <v>0</v>
      </c>
      <c r="CA71" s="537"/>
      <c r="CB71" s="568">
        <v>0.8</v>
      </c>
      <c r="CC71" s="605">
        <f t="shared" si="88"/>
        <v>87.2</v>
      </c>
      <c r="CD71" s="537">
        <v>1</v>
      </c>
      <c r="CE71" s="506" t="str">
        <f t="shared" si="89"/>
        <v>Excellent coverage</v>
      </c>
      <c r="CF71" s="492">
        <v>1</v>
      </c>
      <c r="CG71" s="538" t="s">
        <v>302</v>
      </c>
      <c r="CH71" s="580"/>
    </row>
    <row r="72" spans="2:86" s="40" customFormat="1" ht="30" customHeight="1" x14ac:dyDescent="0.2">
      <c r="B72" s="527" t="s">
        <v>158</v>
      </c>
      <c r="C72" s="488" t="s">
        <v>665</v>
      </c>
      <c r="D72" s="117" t="s">
        <v>268</v>
      </c>
      <c r="E72" s="488" t="s">
        <v>163</v>
      </c>
      <c r="F72" s="117">
        <v>97.715230000000005</v>
      </c>
      <c r="G72" s="117">
        <v>24.980250000000002</v>
      </c>
      <c r="H72" s="117" t="s">
        <v>509</v>
      </c>
      <c r="I72" s="117" t="s">
        <v>226</v>
      </c>
      <c r="J72" s="546">
        <v>645</v>
      </c>
      <c r="K72" s="546">
        <v>2810</v>
      </c>
      <c r="L72" s="546">
        <v>2810</v>
      </c>
      <c r="M72" s="490" t="str">
        <f t="shared" si="53"/>
        <v>4. Big</v>
      </c>
      <c r="N72" s="528" t="s">
        <v>285</v>
      </c>
      <c r="O72" s="553" t="s">
        <v>239</v>
      </c>
      <c r="P72" s="545" t="str">
        <f t="shared" si="54"/>
        <v>Covered</v>
      </c>
      <c r="Q72" s="491">
        <v>42185</v>
      </c>
      <c r="R72" s="489" t="s">
        <v>240</v>
      </c>
      <c r="S72" s="491">
        <v>42185</v>
      </c>
      <c r="T72" s="528" t="s">
        <v>260</v>
      </c>
      <c r="U72" s="533" t="str">
        <f t="shared" si="55"/>
        <v>Documented</v>
      </c>
      <c r="V72" s="537">
        <v>0</v>
      </c>
      <c r="W72" s="492">
        <v>0</v>
      </c>
      <c r="X72" s="538" t="s">
        <v>19</v>
      </c>
      <c r="Y72" s="537">
        <v>0</v>
      </c>
      <c r="Z72" s="492">
        <v>0</v>
      </c>
      <c r="AA72" s="538">
        <v>45000</v>
      </c>
      <c r="AB72" s="567">
        <v>0</v>
      </c>
      <c r="AC72" s="568">
        <v>0</v>
      </c>
      <c r="AD72" s="574">
        <f t="shared" si="56"/>
        <v>1</v>
      </c>
      <c r="AE72" s="495">
        <f t="shared" si="57"/>
        <v>2810</v>
      </c>
      <c r="AF72" s="496">
        <f t="shared" si="58"/>
        <v>1</v>
      </c>
      <c r="AG72" s="497">
        <f t="shared" si="59"/>
        <v>2810</v>
      </c>
      <c r="AH72" s="494">
        <f t="shared" si="60"/>
        <v>1</v>
      </c>
      <c r="AI72" s="497">
        <f t="shared" si="61"/>
        <v>2810</v>
      </c>
      <c r="AJ72" s="498" t="str">
        <f t="shared" si="62"/>
        <v>80-100%</v>
      </c>
      <c r="AK72" s="494">
        <f t="shared" si="63"/>
        <v>0</v>
      </c>
      <c r="AL72" s="499">
        <f t="shared" si="64"/>
        <v>0</v>
      </c>
      <c r="AM72" s="497">
        <f t="shared" si="65"/>
        <v>7.0250000000000004</v>
      </c>
      <c r="AN72" s="497">
        <f t="shared" si="66"/>
        <v>0</v>
      </c>
      <c r="AO72" s="497">
        <f t="shared" si="67"/>
        <v>0</v>
      </c>
      <c r="AP72" s="568">
        <v>1</v>
      </c>
      <c r="AQ72" s="577">
        <f t="shared" si="68"/>
        <v>2810</v>
      </c>
      <c r="AR72" s="581" t="s">
        <v>900</v>
      </c>
      <c r="AS72" s="537">
        <v>190</v>
      </c>
      <c r="AT72" s="492">
        <v>229</v>
      </c>
      <c r="AU72" s="492">
        <v>0</v>
      </c>
      <c r="AV72" s="492" t="s">
        <v>299</v>
      </c>
      <c r="AW72" s="500">
        <f t="shared" si="69"/>
        <v>1</v>
      </c>
      <c r="AX72" s="497">
        <f t="shared" si="70"/>
        <v>2810</v>
      </c>
      <c r="AY72" s="500">
        <f t="shared" si="71"/>
        <v>1</v>
      </c>
      <c r="AZ72" s="497">
        <f t="shared" si="72"/>
        <v>2810</v>
      </c>
      <c r="BA72" s="500">
        <f t="shared" si="73"/>
        <v>0</v>
      </c>
      <c r="BB72" s="497">
        <f t="shared" si="74"/>
        <v>0</v>
      </c>
      <c r="BC72" s="492">
        <v>0</v>
      </c>
      <c r="BD72" s="493">
        <v>1</v>
      </c>
      <c r="BE72" s="501">
        <f t="shared" si="75"/>
        <v>2810</v>
      </c>
      <c r="BF72" s="502">
        <f t="shared" si="76"/>
        <v>140.5</v>
      </c>
      <c r="BG72" s="492">
        <v>4</v>
      </c>
      <c r="BH72" s="492" t="s">
        <v>300</v>
      </c>
      <c r="BI72" s="500">
        <f t="shared" si="77"/>
        <v>0.14234875444839859</v>
      </c>
      <c r="BJ72" s="497">
        <f t="shared" si="78"/>
        <v>400.00000000000006</v>
      </c>
      <c r="BK72" s="502">
        <f t="shared" si="79"/>
        <v>24.1</v>
      </c>
      <c r="BL72" s="493">
        <v>0.14000000000000001</v>
      </c>
      <c r="BM72" s="497">
        <f t="shared" si="80"/>
        <v>393.40000000000003</v>
      </c>
      <c r="BN72" s="492">
        <v>0</v>
      </c>
      <c r="BO72" s="500">
        <f t="shared" si="81"/>
        <v>0</v>
      </c>
      <c r="BP72" s="502">
        <f t="shared" si="82"/>
        <v>28.1</v>
      </c>
      <c r="BQ72" s="568">
        <v>0</v>
      </c>
      <c r="BR72" s="580" t="s">
        <v>910</v>
      </c>
      <c r="BS72" s="594">
        <v>42053</v>
      </c>
      <c r="BT72" s="503">
        <f t="shared" si="83"/>
        <v>42418</v>
      </c>
      <c r="BU72" s="546">
        <v>645</v>
      </c>
      <c r="BV72" s="546">
        <v>3</v>
      </c>
      <c r="BW72" s="504">
        <f t="shared" si="84"/>
        <v>0</v>
      </c>
      <c r="BX72" s="505">
        <f t="shared" si="85"/>
        <v>1</v>
      </c>
      <c r="BY72" s="497">
        <f t="shared" si="86"/>
        <v>2810</v>
      </c>
      <c r="BZ72" s="595">
        <f t="shared" si="87"/>
        <v>0</v>
      </c>
      <c r="CA72" s="537"/>
      <c r="CB72" s="568">
        <v>1</v>
      </c>
      <c r="CC72" s="605">
        <f t="shared" si="88"/>
        <v>2810</v>
      </c>
      <c r="CD72" s="537">
        <v>5</v>
      </c>
      <c r="CE72" s="506" t="str">
        <f t="shared" si="89"/>
        <v>Good coverage</v>
      </c>
      <c r="CF72" s="492">
        <v>0</v>
      </c>
      <c r="CG72" s="538" t="s">
        <v>302</v>
      </c>
      <c r="CH72" s="580"/>
    </row>
    <row r="73" spans="2:86" s="40" customFormat="1" ht="30" customHeight="1" x14ac:dyDescent="0.2">
      <c r="B73" s="527" t="s">
        <v>158</v>
      </c>
      <c r="C73" s="488" t="s">
        <v>666</v>
      </c>
      <c r="D73" s="117" t="s">
        <v>265</v>
      </c>
      <c r="E73" s="488" t="s">
        <v>164</v>
      </c>
      <c r="F73" s="117">
        <v>97.435233999999994</v>
      </c>
      <c r="G73" s="117">
        <v>25.425276</v>
      </c>
      <c r="H73" s="117" t="s">
        <v>509</v>
      </c>
      <c r="I73" s="117" t="s">
        <v>218</v>
      </c>
      <c r="J73" s="546">
        <v>118</v>
      </c>
      <c r="K73" s="546">
        <v>641</v>
      </c>
      <c r="L73" s="546">
        <v>641</v>
      </c>
      <c r="M73" s="490" t="str">
        <f t="shared" si="53"/>
        <v>2. Medium</v>
      </c>
      <c r="N73" s="528" t="s">
        <v>284</v>
      </c>
      <c r="O73" s="553" t="s">
        <v>284</v>
      </c>
      <c r="P73" s="545" t="str">
        <f t="shared" si="54"/>
        <v>Covered</v>
      </c>
      <c r="Q73" s="491">
        <v>42155</v>
      </c>
      <c r="R73" s="489"/>
      <c r="S73" s="491"/>
      <c r="T73" s="528" t="s">
        <v>260</v>
      </c>
      <c r="U73" s="533" t="str">
        <f t="shared" si="55"/>
        <v>Documented</v>
      </c>
      <c r="V73" s="537">
        <v>0</v>
      </c>
      <c r="W73" s="492">
        <v>0</v>
      </c>
      <c r="X73" s="538" t="s">
        <v>19</v>
      </c>
      <c r="Y73" s="537">
        <v>4</v>
      </c>
      <c r="Z73" s="492">
        <v>0</v>
      </c>
      <c r="AA73" s="538">
        <v>2500</v>
      </c>
      <c r="AB73" s="567">
        <v>0</v>
      </c>
      <c r="AC73" s="568">
        <v>0</v>
      </c>
      <c r="AD73" s="574">
        <f t="shared" si="56"/>
        <v>1</v>
      </c>
      <c r="AE73" s="495">
        <f t="shared" si="57"/>
        <v>641</v>
      </c>
      <c r="AF73" s="496">
        <f t="shared" si="58"/>
        <v>1</v>
      </c>
      <c r="AG73" s="497">
        <f t="shared" si="59"/>
        <v>641</v>
      </c>
      <c r="AH73" s="494">
        <f t="shared" si="60"/>
        <v>1</v>
      </c>
      <c r="AI73" s="497">
        <f t="shared" si="61"/>
        <v>641</v>
      </c>
      <c r="AJ73" s="498" t="str">
        <f t="shared" si="62"/>
        <v>80-100%</v>
      </c>
      <c r="AK73" s="494">
        <f t="shared" si="63"/>
        <v>0</v>
      </c>
      <c r="AL73" s="499">
        <f t="shared" si="64"/>
        <v>0</v>
      </c>
      <c r="AM73" s="497">
        <f t="shared" si="65"/>
        <v>0</v>
      </c>
      <c r="AN73" s="497">
        <f t="shared" si="66"/>
        <v>0</v>
      </c>
      <c r="AO73" s="497">
        <f t="shared" si="67"/>
        <v>0</v>
      </c>
      <c r="AP73" s="568">
        <v>1</v>
      </c>
      <c r="AQ73" s="577">
        <f t="shared" si="68"/>
        <v>641</v>
      </c>
      <c r="AR73" s="581"/>
      <c r="AS73" s="537">
        <v>0</v>
      </c>
      <c r="AT73" s="492">
        <v>0</v>
      </c>
      <c r="AU73" s="492">
        <v>24</v>
      </c>
      <c r="AV73" s="492" t="s">
        <v>299</v>
      </c>
      <c r="AW73" s="500">
        <f t="shared" si="69"/>
        <v>0.74882995319812795</v>
      </c>
      <c r="AX73" s="497">
        <f t="shared" si="70"/>
        <v>480</v>
      </c>
      <c r="AY73" s="500">
        <f t="shared" si="71"/>
        <v>0</v>
      </c>
      <c r="AZ73" s="497">
        <f t="shared" si="72"/>
        <v>0</v>
      </c>
      <c r="BA73" s="500">
        <f t="shared" si="73"/>
        <v>0.74882995319812795</v>
      </c>
      <c r="BB73" s="497">
        <f t="shared" si="74"/>
        <v>480</v>
      </c>
      <c r="BC73" s="492">
        <v>0</v>
      </c>
      <c r="BD73" s="493">
        <v>0.75</v>
      </c>
      <c r="BE73" s="501">
        <f t="shared" si="75"/>
        <v>480.75</v>
      </c>
      <c r="BF73" s="502">
        <f t="shared" si="76"/>
        <v>8.0499999999999972</v>
      </c>
      <c r="BG73" s="492">
        <v>6</v>
      </c>
      <c r="BH73" s="492" t="s">
        <v>300</v>
      </c>
      <c r="BI73" s="500">
        <f t="shared" si="77"/>
        <v>0.93603744149765988</v>
      </c>
      <c r="BJ73" s="497">
        <f t="shared" si="78"/>
        <v>600</v>
      </c>
      <c r="BK73" s="502">
        <f t="shared" si="79"/>
        <v>0.41000000000000014</v>
      </c>
      <c r="BL73" s="493">
        <v>0.94</v>
      </c>
      <c r="BM73" s="497">
        <f t="shared" si="80"/>
        <v>602.54</v>
      </c>
      <c r="BN73" s="492">
        <v>15</v>
      </c>
      <c r="BO73" s="500">
        <f t="shared" si="81"/>
        <v>1</v>
      </c>
      <c r="BP73" s="502">
        <f t="shared" si="82"/>
        <v>0</v>
      </c>
      <c r="BQ73" s="568">
        <v>1</v>
      </c>
      <c r="BR73" s="580"/>
      <c r="BS73" s="594">
        <v>42048</v>
      </c>
      <c r="BT73" s="503">
        <f t="shared" si="83"/>
        <v>42413</v>
      </c>
      <c r="BU73" s="546">
        <v>118</v>
      </c>
      <c r="BV73" s="546">
        <v>2</v>
      </c>
      <c r="BW73" s="504">
        <f t="shared" si="84"/>
        <v>0</v>
      </c>
      <c r="BX73" s="505">
        <f t="shared" si="85"/>
        <v>1</v>
      </c>
      <c r="BY73" s="497">
        <f t="shared" si="86"/>
        <v>641</v>
      </c>
      <c r="BZ73" s="595">
        <f t="shared" si="87"/>
        <v>0</v>
      </c>
      <c r="CA73" s="537"/>
      <c r="CB73" s="568">
        <v>1</v>
      </c>
      <c r="CC73" s="605">
        <f t="shared" si="88"/>
        <v>641</v>
      </c>
      <c r="CD73" s="537">
        <v>2</v>
      </c>
      <c r="CE73" s="506" t="str">
        <f t="shared" si="89"/>
        <v>Excellent coverage</v>
      </c>
      <c r="CF73" s="492">
        <v>6</v>
      </c>
      <c r="CG73" s="538" t="s">
        <v>65</v>
      </c>
      <c r="CH73" s="580" t="s">
        <v>850</v>
      </c>
    </row>
    <row r="74" spans="2:86" s="40" customFormat="1" ht="30" customHeight="1" x14ac:dyDescent="0.2">
      <c r="B74" s="527" t="s">
        <v>158</v>
      </c>
      <c r="C74" s="488" t="s">
        <v>667</v>
      </c>
      <c r="D74" s="117" t="s">
        <v>265</v>
      </c>
      <c r="E74" s="488" t="s">
        <v>165</v>
      </c>
      <c r="F74" s="117">
        <v>97.438450000000003</v>
      </c>
      <c r="G74" s="117">
        <v>25.415900000000001</v>
      </c>
      <c r="H74" s="117" t="s">
        <v>509</v>
      </c>
      <c r="I74" s="117" t="s">
        <v>218</v>
      </c>
      <c r="J74" s="546">
        <v>238</v>
      </c>
      <c r="K74" s="546">
        <v>1234</v>
      </c>
      <c r="L74" s="546">
        <v>1234</v>
      </c>
      <c r="M74" s="490" t="str">
        <f t="shared" si="53"/>
        <v>2. Medium</v>
      </c>
      <c r="N74" s="528" t="s">
        <v>235</v>
      </c>
      <c r="O74" s="553" t="s">
        <v>235</v>
      </c>
      <c r="P74" s="545" t="str">
        <f t="shared" si="54"/>
        <v>Covered</v>
      </c>
      <c r="Q74" s="491" t="s">
        <v>708</v>
      </c>
      <c r="R74" s="489"/>
      <c r="S74" s="491"/>
      <c r="T74" s="528" t="s">
        <v>260</v>
      </c>
      <c r="U74" s="533" t="str">
        <f t="shared" si="55"/>
        <v>Documented</v>
      </c>
      <c r="V74" s="537">
        <v>0</v>
      </c>
      <c r="W74" s="492">
        <v>0</v>
      </c>
      <c r="X74" s="538" t="s">
        <v>19</v>
      </c>
      <c r="Y74" s="537">
        <v>10</v>
      </c>
      <c r="Z74" s="492">
        <v>1</v>
      </c>
      <c r="AA74" s="538">
        <v>15000</v>
      </c>
      <c r="AB74" s="567">
        <v>0</v>
      </c>
      <c r="AC74" s="568">
        <v>1</v>
      </c>
      <c r="AD74" s="574">
        <f t="shared" si="56"/>
        <v>1</v>
      </c>
      <c r="AE74" s="495">
        <f t="shared" si="57"/>
        <v>1234</v>
      </c>
      <c r="AF74" s="496">
        <f t="shared" si="58"/>
        <v>1</v>
      </c>
      <c r="AG74" s="497">
        <f t="shared" si="59"/>
        <v>1234</v>
      </c>
      <c r="AH74" s="494">
        <f t="shared" si="60"/>
        <v>1</v>
      </c>
      <c r="AI74" s="497">
        <f t="shared" si="61"/>
        <v>1234</v>
      </c>
      <c r="AJ74" s="498" t="str">
        <f t="shared" si="62"/>
        <v>80-100%</v>
      </c>
      <c r="AK74" s="494">
        <f t="shared" si="63"/>
        <v>0</v>
      </c>
      <c r="AL74" s="499">
        <f t="shared" si="64"/>
        <v>0</v>
      </c>
      <c r="AM74" s="497">
        <f t="shared" si="65"/>
        <v>0</v>
      </c>
      <c r="AN74" s="497">
        <f t="shared" si="66"/>
        <v>238</v>
      </c>
      <c r="AO74" s="497">
        <f t="shared" si="67"/>
        <v>0</v>
      </c>
      <c r="AP74" s="568">
        <v>1</v>
      </c>
      <c r="AQ74" s="577">
        <f t="shared" si="68"/>
        <v>1234</v>
      </c>
      <c r="AR74" s="581" t="s">
        <v>838</v>
      </c>
      <c r="AS74" s="537">
        <v>78</v>
      </c>
      <c r="AT74" s="492">
        <v>32</v>
      </c>
      <c r="AU74" s="492">
        <v>16</v>
      </c>
      <c r="AV74" s="492" t="s">
        <v>299</v>
      </c>
      <c r="AW74" s="500">
        <f t="shared" si="69"/>
        <v>0.77795786061588335</v>
      </c>
      <c r="AX74" s="497">
        <f t="shared" si="70"/>
        <v>960</v>
      </c>
      <c r="AY74" s="500">
        <f t="shared" si="71"/>
        <v>0.5186385737439223</v>
      </c>
      <c r="AZ74" s="497">
        <f t="shared" si="72"/>
        <v>640.00000000000011</v>
      </c>
      <c r="BA74" s="500">
        <f t="shared" si="73"/>
        <v>0.2593192868719611</v>
      </c>
      <c r="BB74" s="497">
        <f t="shared" si="74"/>
        <v>320</v>
      </c>
      <c r="BC74" s="492">
        <v>0</v>
      </c>
      <c r="BD74" s="493">
        <v>0.78</v>
      </c>
      <c r="BE74" s="501">
        <f t="shared" si="75"/>
        <v>962.52</v>
      </c>
      <c r="BF74" s="502">
        <f t="shared" si="76"/>
        <v>45.7</v>
      </c>
      <c r="BG74" s="492">
        <v>0</v>
      </c>
      <c r="BH74" s="492" t="s">
        <v>300</v>
      </c>
      <c r="BI74" s="500">
        <f t="shared" si="77"/>
        <v>0</v>
      </c>
      <c r="BJ74" s="497">
        <f t="shared" si="78"/>
        <v>0</v>
      </c>
      <c r="BK74" s="502">
        <f t="shared" si="79"/>
        <v>12.34</v>
      </c>
      <c r="BL74" s="493">
        <v>0</v>
      </c>
      <c r="BM74" s="497">
        <f t="shared" si="80"/>
        <v>0</v>
      </c>
      <c r="BN74" s="492">
        <v>0</v>
      </c>
      <c r="BO74" s="500">
        <f t="shared" si="81"/>
        <v>0</v>
      </c>
      <c r="BP74" s="502">
        <f t="shared" si="82"/>
        <v>12.34</v>
      </c>
      <c r="BQ74" s="568">
        <v>0</v>
      </c>
      <c r="BR74" s="580" t="s">
        <v>877</v>
      </c>
      <c r="BS74" s="594">
        <v>41781</v>
      </c>
      <c r="BT74" s="503">
        <f t="shared" si="83"/>
        <v>42146</v>
      </c>
      <c r="BU74" s="546">
        <v>238</v>
      </c>
      <c r="BV74" s="546">
        <v>2</v>
      </c>
      <c r="BW74" s="504">
        <f t="shared" si="84"/>
        <v>0</v>
      </c>
      <c r="BX74" s="505">
        <f t="shared" si="85"/>
        <v>1</v>
      </c>
      <c r="BY74" s="497">
        <f t="shared" si="86"/>
        <v>1234</v>
      </c>
      <c r="BZ74" s="595">
        <f t="shared" si="87"/>
        <v>8</v>
      </c>
      <c r="CA74" s="537"/>
      <c r="CB74" s="568">
        <v>0.5</v>
      </c>
      <c r="CC74" s="605">
        <f t="shared" si="88"/>
        <v>617</v>
      </c>
      <c r="CD74" s="537">
        <v>0</v>
      </c>
      <c r="CE74" s="506" t="str">
        <f t="shared" si="89"/>
        <v>No coverage</v>
      </c>
      <c r="CF74" s="492">
        <v>0</v>
      </c>
      <c r="CG74" s="538" t="s">
        <v>302</v>
      </c>
      <c r="CH74" s="580"/>
    </row>
    <row r="75" spans="2:86" s="40" customFormat="1" ht="30" customHeight="1" x14ac:dyDescent="0.2">
      <c r="B75" s="527" t="s">
        <v>158</v>
      </c>
      <c r="C75" s="488" t="s">
        <v>668</v>
      </c>
      <c r="D75" s="117" t="s">
        <v>265</v>
      </c>
      <c r="E75" s="488" t="s">
        <v>166</v>
      </c>
      <c r="F75" s="117">
        <v>97.437434999999994</v>
      </c>
      <c r="G75" s="117">
        <v>25.411413</v>
      </c>
      <c r="H75" s="117" t="s">
        <v>509</v>
      </c>
      <c r="I75" s="117" t="s">
        <v>218</v>
      </c>
      <c r="J75" s="546">
        <v>415</v>
      </c>
      <c r="K75" s="546">
        <v>2077</v>
      </c>
      <c r="L75" s="546">
        <v>2077</v>
      </c>
      <c r="M75" s="490" t="str">
        <f t="shared" si="53"/>
        <v>3. Large</v>
      </c>
      <c r="N75" s="528" t="s">
        <v>239</v>
      </c>
      <c r="O75" s="553" t="s">
        <v>239</v>
      </c>
      <c r="P75" s="545" t="str">
        <f t="shared" si="54"/>
        <v>Covered</v>
      </c>
      <c r="Q75" s="491">
        <v>42185</v>
      </c>
      <c r="R75" s="489" t="s">
        <v>240</v>
      </c>
      <c r="S75" s="491">
        <v>42185</v>
      </c>
      <c r="T75" s="528" t="s">
        <v>260</v>
      </c>
      <c r="U75" s="533" t="str">
        <f t="shared" si="55"/>
        <v>Documented</v>
      </c>
      <c r="V75" s="537">
        <v>0</v>
      </c>
      <c r="W75" s="492">
        <v>0</v>
      </c>
      <c r="X75" s="538" t="s">
        <v>19</v>
      </c>
      <c r="Y75" s="537">
        <v>8</v>
      </c>
      <c r="Z75" s="492">
        <v>0</v>
      </c>
      <c r="AA75" s="538">
        <v>16800</v>
      </c>
      <c r="AB75" s="567">
        <v>0</v>
      </c>
      <c r="AC75" s="568">
        <v>1</v>
      </c>
      <c r="AD75" s="574">
        <f t="shared" si="56"/>
        <v>1</v>
      </c>
      <c r="AE75" s="495">
        <f t="shared" si="57"/>
        <v>2077</v>
      </c>
      <c r="AF75" s="496">
        <f t="shared" si="58"/>
        <v>1</v>
      </c>
      <c r="AG75" s="497">
        <f t="shared" si="59"/>
        <v>2077</v>
      </c>
      <c r="AH75" s="494">
        <f t="shared" si="60"/>
        <v>1</v>
      </c>
      <c r="AI75" s="497">
        <f t="shared" si="61"/>
        <v>2077</v>
      </c>
      <c r="AJ75" s="498" t="str">
        <f t="shared" si="62"/>
        <v>80-100%</v>
      </c>
      <c r="AK75" s="494">
        <f t="shared" si="63"/>
        <v>0</v>
      </c>
      <c r="AL75" s="499">
        <f t="shared" si="64"/>
        <v>0</v>
      </c>
      <c r="AM75" s="497">
        <f t="shared" si="65"/>
        <v>0</v>
      </c>
      <c r="AN75" s="497">
        <f t="shared" si="66"/>
        <v>415</v>
      </c>
      <c r="AO75" s="497">
        <f t="shared" si="67"/>
        <v>0</v>
      </c>
      <c r="AP75" s="568">
        <v>1</v>
      </c>
      <c r="AQ75" s="577">
        <f t="shared" si="68"/>
        <v>2077</v>
      </c>
      <c r="AR75" s="581"/>
      <c r="AS75" s="537">
        <v>0</v>
      </c>
      <c r="AT75" s="492">
        <v>0</v>
      </c>
      <c r="AU75" s="492">
        <v>132</v>
      </c>
      <c r="AV75" s="492" t="s">
        <v>299</v>
      </c>
      <c r="AW75" s="500">
        <f t="shared" si="69"/>
        <v>1</v>
      </c>
      <c r="AX75" s="497">
        <f t="shared" si="70"/>
        <v>2077</v>
      </c>
      <c r="AY75" s="500">
        <f t="shared" si="71"/>
        <v>0</v>
      </c>
      <c r="AZ75" s="497">
        <f t="shared" si="72"/>
        <v>0</v>
      </c>
      <c r="BA75" s="500">
        <f t="shared" si="73"/>
        <v>1</v>
      </c>
      <c r="BB75" s="497">
        <f t="shared" si="74"/>
        <v>2077</v>
      </c>
      <c r="BC75" s="492">
        <v>4</v>
      </c>
      <c r="BD75" s="493">
        <v>1</v>
      </c>
      <c r="BE75" s="501">
        <f t="shared" si="75"/>
        <v>2077</v>
      </c>
      <c r="BF75" s="502">
        <f t="shared" si="76"/>
        <v>0</v>
      </c>
      <c r="BG75" s="492">
        <v>6</v>
      </c>
      <c r="BH75" s="492" t="s">
        <v>300</v>
      </c>
      <c r="BI75" s="500">
        <f t="shared" si="77"/>
        <v>0.28887818969667789</v>
      </c>
      <c r="BJ75" s="497">
        <f t="shared" si="78"/>
        <v>600</v>
      </c>
      <c r="BK75" s="502">
        <f t="shared" si="79"/>
        <v>14.77</v>
      </c>
      <c r="BL75" s="493">
        <v>0.28999999999999998</v>
      </c>
      <c r="BM75" s="497">
        <f t="shared" si="80"/>
        <v>602.32999999999993</v>
      </c>
      <c r="BN75" s="492">
        <v>45</v>
      </c>
      <c r="BO75" s="500">
        <f t="shared" si="81"/>
        <v>1</v>
      </c>
      <c r="BP75" s="502">
        <f t="shared" si="82"/>
        <v>0</v>
      </c>
      <c r="BQ75" s="568">
        <v>1</v>
      </c>
      <c r="BR75" s="580" t="s">
        <v>911</v>
      </c>
      <c r="BS75" s="594">
        <v>42053</v>
      </c>
      <c r="BT75" s="503">
        <f t="shared" si="83"/>
        <v>42418</v>
      </c>
      <c r="BU75" s="546">
        <v>415</v>
      </c>
      <c r="BV75" s="546">
        <v>3</v>
      </c>
      <c r="BW75" s="504">
        <f t="shared" si="84"/>
        <v>0</v>
      </c>
      <c r="BX75" s="505">
        <f t="shared" si="85"/>
        <v>1</v>
      </c>
      <c r="BY75" s="497">
        <f t="shared" si="86"/>
        <v>2077</v>
      </c>
      <c r="BZ75" s="595">
        <f t="shared" si="87"/>
        <v>0</v>
      </c>
      <c r="CA75" s="537"/>
      <c r="CB75" s="568">
        <v>0.8</v>
      </c>
      <c r="CC75" s="605">
        <f t="shared" si="88"/>
        <v>1661.6000000000001</v>
      </c>
      <c r="CD75" s="537">
        <v>4</v>
      </c>
      <c r="CE75" s="506" t="str">
        <f t="shared" si="89"/>
        <v>Good coverage</v>
      </c>
      <c r="CF75" s="492">
        <v>0</v>
      </c>
      <c r="CG75" s="538" t="s">
        <v>302</v>
      </c>
      <c r="CH75" s="580" t="s">
        <v>851</v>
      </c>
    </row>
    <row r="76" spans="2:86" s="40" customFormat="1" ht="30" customHeight="1" x14ac:dyDescent="0.2">
      <c r="B76" s="527" t="s">
        <v>158</v>
      </c>
      <c r="C76" s="488" t="s">
        <v>669</v>
      </c>
      <c r="D76" s="117" t="s">
        <v>265</v>
      </c>
      <c r="E76" s="488" t="s">
        <v>167</v>
      </c>
      <c r="F76" s="117">
        <v>97.426297000000005</v>
      </c>
      <c r="G76" s="117">
        <v>25.409566000000002</v>
      </c>
      <c r="H76" s="117" t="s">
        <v>509</v>
      </c>
      <c r="I76" s="117" t="s">
        <v>218</v>
      </c>
      <c r="J76" s="546">
        <v>44</v>
      </c>
      <c r="K76" s="546">
        <v>187</v>
      </c>
      <c r="L76" s="546">
        <v>187</v>
      </c>
      <c r="M76" s="490" t="str">
        <f t="shared" si="53"/>
        <v>1. Small</v>
      </c>
      <c r="N76" s="528" t="s">
        <v>239</v>
      </c>
      <c r="O76" s="553" t="s">
        <v>239</v>
      </c>
      <c r="P76" s="545" t="str">
        <f t="shared" si="54"/>
        <v>Covered</v>
      </c>
      <c r="Q76" s="491">
        <v>42185</v>
      </c>
      <c r="R76" s="489" t="s">
        <v>240</v>
      </c>
      <c r="S76" s="491">
        <v>42185</v>
      </c>
      <c r="T76" s="528" t="s">
        <v>260</v>
      </c>
      <c r="U76" s="533" t="str">
        <f t="shared" si="55"/>
        <v>Documented</v>
      </c>
      <c r="V76" s="537">
        <v>0</v>
      </c>
      <c r="W76" s="492">
        <v>0</v>
      </c>
      <c r="X76" s="538" t="s">
        <v>19</v>
      </c>
      <c r="Y76" s="537">
        <v>2</v>
      </c>
      <c r="Z76" s="492">
        <v>0</v>
      </c>
      <c r="AA76" s="538">
        <v>3000</v>
      </c>
      <c r="AB76" s="567">
        <v>0</v>
      </c>
      <c r="AC76" s="568">
        <v>1</v>
      </c>
      <c r="AD76" s="574">
        <f t="shared" si="56"/>
        <v>1</v>
      </c>
      <c r="AE76" s="495">
        <f t="shared" si="57"/>
        <v>187</v>
      </c>
      <c r="AF76" s="496">
        <f t="shared" si="58"/>
        <v>1</v>
      </c>
      <c r="AG76" s="497">
        <f t="shared" si="59"/>
        <v>187</v>
      </c>
      <c r="AH76" s="494">
        <f t="shared" si="60"/>
        <v>1</v>
      </c>
      <c r="AI76" s="497">
        <f t="shared" si="61"/>
        <v>187</v>
      </c>
      <c r="AJ76" s="498" t="str">
        <f t="shared" si="62"/>
        <v>80-100%</v>
      </c>
      <c r="AK76" s="494">
        <f t="shared" si="63"/>
        <v>0</v>
      </c>
      <c r="AL76" s="499">
        <f t="shared" si="64"/>
        <v>0</v>
      </c>
      <c r="AM76" s="497">
        <f t="shared" si="65"/>
        <v>0</v>
      </c>
      <c r="AN76" s="497">
        <f t="shared" si="66"/>
        <v>44</v>
      </c>
      <c r="AO76" s="497">
        <f t="shared" si="67"/>
        <v>0</v>
      </c>
      <c r="AP76" s="568">
        <v>1</v>
      </c>
      <c r="AQ76" s="577">
        <f t="shared" si="68"/>
        <v>187</v>
      </c>
      <c r="AR76" s="581"/>
      <c r="AS76" s="537">
        <v>0</v>
      </c>
      <c r="AT76" s="492">
        <v>0</v>
      </c>
      <c r="AU76" s="492">
        <v>14</v>
      </c>
      <c r="AV76" s="492" t="s">
        <v>299</v>
      </c>
      <c r="AW76" s="500">
        <f t="shared" si="69"/>
        <v>1</v>
      </c>
      <c r="AX76" s="497">
        <f t="shared" si="70"/>
        <v>187</v>
      </c>
      <c r="AY76" s="500">
        <f t="shared" si="71"/>
        <v>0</v>
      </c>
      <c r="AZ76" s="497">
        <f t="shared" si="72"/>
        <v>0</v>
      </c>
      <c r="BA76" s="500">
        <f t="shared" si="73"/>
        <v>1</v>
      </c>
      <c r="BB76" s="497">
        <f t="shared" si="74"/>
        <v>187</v>
      </c>
      <c r="BC76" s="492">
        <v>0</v>
      </c>
      <c r="BD76" s="493">
        <v>1</v>
      </c>
      <c r="BE76" s="501">
        <f t="shared" si="75"/>
        <v>187</v>
      </c>
      <c r="BF76" s="502">
        <f t="shared" si="76"/>
        <v>0</v>
      </c>
      <c r="BG76" s="492">
        <v>2</v>
      </c>
      <c r="BH76" s="492" t="s">
        <v>301</v>
      </c>
      <c r="BI76" s="500">
        <f t="shared" si="77"/>
        <v>1</v>
      </c>
      <c r="BJ76" s="497">
        <f t="shared" si="78"/>
        <v>187</v>
      </c>
      <c r="BK76" s="502">
        <f t="shared" si="79"/>
        <v>0</v>
      </c>
      <c r="BL76" s="493">
        <v>1</v>
      </c>
      <c r="BM76" s="497">
        <f t="shared" si="80"/>
        <v>187</v>
      </c>
      <c r="BN76" s="492">
        <v>3</v>
      </c>
      <c r="BO76" s="500">
        <f t="shared" si="81"/>
        <v>1</v>
      </c>
      <c r="BP76" s="502">
        <f t="shared" si="82"/>
        <v>0</v>
      </c>
      <c r="BQ76" s="568">
        <v>1</v>
      </c>
      <c r="BR76" s="580"/>
      <c r="BS76" s="594">
        <v>42053</v>
      </c>
      <c r="BT76" s="503">
        <f t="shared" si="83"/>
        <v>42418</v>
      </c>
      <c r="BU76" s="546">
        <v>44</v>
      </c>
      <c r="BV76" s="546">
        <v>3</v>
      </c>
      <c r="BW76" s="504">
        <f t="shared" si="84"/>
        <v>0</v>
      </c>
      <c r="BX76" s="505">
        <f t="shared" si="85"/>
        <v>1</v>
      </c>
      <c r="BY76" s="497">
        <f t="shared" si="86"/>
        <v>187</v>
      </c>
      <c r="BZ76" s="595">
        <f t="shared" si="87"/>
        <v>0</v>
      </c>
      <c r="CA76" s="537"/>
      <c r="CB76" s="568">
        <v>0.8</v>
      </c>
      <c r="CC76" s="605">
        <f t="shared" si="88"/>
        <v>149.6</v>
      </c>
      <c r="CD76" s="537">
        <v>1</v>
      </c>
      <c r="CE76" s="506" t="str">
        <f t="shared" si="89"/>
        <v>Excellent coverage</v>
      </c>
      <c r="CF76" s="492">
        <v>0</v>
      </c>
      <c r="CG76" s="538" t="s">
        <v>302</v>
      </c>
      <c r="CH76" s="580"/>
    </row>
    <row r="77" spans="2:86" s="40" customFormat="1" ht="30" customHeight="1" x14ac:dyDescent="0.2">
      <c r="B77" s="527" t="s">
        <v>158</v>
      </c>
      <c r="C77" s="488" t="s">
        <v>671</v>
      </c>
      <c r="D77" s="117" t="s">
        <v>268</v>
      </c>
      <c r="E77" s="488" t="s">
        <v>204</v>
      </c>
      <c r="F77" s="117">
        <v>97.751389000000003</v>
      </c>
      <c r="G77" s="117">
        <v>24.831944</v>
      </c>
      <c r="H77" s="117" t="s">
        <v>509</v>
      </c>
      <c r="I77" s="117" t="s">
        <v>226</v>
      </c>
      <c r="J77" s="546">
        <v>191</v>
      </c>
      <c r="K77" s="546">
        <v>770</v>
      </c>
      <c r="L77" s="546">
        <v>770</v>
      </c>
      <c r="M77" s="490" t="str">
        <f t="shared" si="53"/>
        <v>2. Medium</v>
      </c>
      <c r="N77" s="528" t="s">
        <v>239</v>
      </c>
      <c r="O77" s="553" t="s">
        <v>239</v>
      </c>
      <c r="P77" s="545" t="str">
        <f t="shared" si="54"/>
        <v>Covered</v>
      </c>
      <c r="Q77" s="491">
        <v>42185</v>
      </c>
      <c r="R77" s="489" t="s">
        <v>240</v>
      </c>
      <c r="S77" s="491">
        <v>42185</v>
      </c>
      <c r="T77" s="528" t="s">
        <v>260</v>
      </c>
      <c r="U77" s="533" t="str">
        <f t="shared" si="55"/>
        <v>Documented</v>
      </c>
      <c r="V77" s="537">
        <v>0</v>
      </c>
      <c r="W77" s="492">
        <v>0</v>
      </c>
      <c r="X77" s="538" t="s">
        <v>19</v>
      </c>
      <c r="Y77" s="537">
        <v>0</v>
      </c>
      <c r="Z77" s="492">
        <v>0</v>
      </c>
      <c r="AA77" s="538">
        <v>12000</v>
      </c>
      <c r="AB77" s="567">
        <v>0</v>
      </c>
      <c r="AC77" s="568">
        <v>0</v>
      </c>
      <c r="AD77" s="574">
        <f t="shared" si="56"/>
        <v>1</v>
      </c>
      <c r="AE77" s="495">
        <f t="shared" si="57"/>
        <v>770</v>
      </c>
      <c r="AF77" s="496">
        <f t="shared" si="58"/>
        <v>1</v>
      </c>
      <c r="AG77" s="497">
        <f t="shared" si="59"/>
        <v>770</v>
      </c>
      <c r="AH77" s="494">
        <f t="shared" si="60"/>
        <v>1</v>
      </c>
      <c r="AI77" s="497">
        <f t="shared" si="61"/>
        <v>770</v>
      </c>
      <c r="AJ77" s="498" t="str">
        <f t="shared" si="62"/>
        <v>80-100%</v>
      </c>
      <c r="AK77" s="494">
        <f t="shared" si="63"/>
        <v>0</v>
      </c>
      <c r="AL77" s="499">
        <f t="shared" si="64"/>
        <v>0</v>
      </c>
      <c r="AM77" s="497">
        <f t="shared" si="65"/>
        <v>1.925</v>
      </c>
      <c r="AN77" s="497">
        <f t="shared" si="66"/>
        <v>0</v>
      </c>
      <c r="AO77" s="497">
        <f t="shared" si="67"/>
        <v>0</v>
      </c>
      <c r="AP77" s="568">
        <v>1</v>
      </c>
      <c r="AQ77" s="577">
        <f t="shared" si="68"/>
        <v>770</v>
      </c>
      <c r="AR77" s="581" t="s">
        <v>900</v>
      </c>
      <c r="AS77" s="537">
        <v>11</v>
      </c>
      <c r="AT77" s="492">
        <v>50</v>
      </c>
      <c r="AU77" s="492">
        <v>0</v>
      </c>
      <c r="AV77" s="492" t="s">
        <v>299</v>
      </c>
      <c r="AW77" s="500">
        <f t="shared" si="69"/>
        <v>1</v>
      </c>
      <c r="AX77" s="497">
        <f t="shared" si="70"/>
        <v>770</v>
      </c>
      <c r="AY77" s="500">
        <f t="shared" si="71"/>
        <v>1</v>
      </c>
      <c r="AZ77" s="497">
        <f t="shared" si="72"/>
        <v>770</v>
      </c>
      <c r="BA77" s="500">
        <f t="shared" si="73"/>
        <v>0</v>
      </c>
      <c r="BB77" s="497">
        <f t="shared" si="74"/>
        <v>0</v>
      </c>
      <c r="BC77" s="492">
        <v>0</v>
      </c>
      <c r="BD77" s="493">
        <v>1</v>
      </c>
      <c r="BE77" s="501">
        <f t="shared" si="75"/>
        <v>770</v>
      </c>
      <c r="BF77" s="502">
        <f t="shared" si="76"/>
        <v>38.5</v>
      </c>
      <c r="BG77" s="492">
        <v>4</v>
      </c>
      <c r="BH77" s="492" t="s">
        <v>300</v>
      </c>
      <c r="BI77" s="500">
        <f t="shared" si="77"/>
        <v>0.51948051948051943</v>
      </c>
      <c r="BJ77" s="497">
        <f t="shared" si="78"/>
        <v>399.99999999999994</v>
      </c>
      <c r="BK77" s="502">
        <f t="shared" si="79"/>
        <v>3.7</v>
      </c>
      <c r="BL77" s="493">
        <v>0.52</v>
      </c>
      <c r="BM77" s="497">
        <f t="shared" si="80"/>
        <v>400.40000000000003</v>
      </c>
      <c r="BN77" s="492">
        <v>0</v>
      </c>
      <c r="BO77" s="500">
        <f t="shared" si="81"/>
        <v>0</v>
      </c>
      <c r="BP77" s="502">
        <f t="shared" si="82"/>
        <v>7.7</v>
      </c>
      <c r="BQ77" s="568">
        <v>0</v>
      </c>
      <c r="BR77" s="580" t="s">
        <v>878</v>
      </c>
      <c r="BS77" s="594">
        <v>42053</v>
      </c>
      <c r="BT77" s="503">
        <f t="shared" si="83"/>
        <v>42418</v>
      </c>
      <c r="BU77" s="546">
        <v>191</v>
      </c>
      <c r="BV77" s="546">
        <v>3</v>
      </c>
      <c r="BW77" s="504">
        <f t="shared" si="84"/>
        <v>0</v>
      </c>
      <c r="BX77" s="505">
        <f t="shared" si="85"/>
        <v>1</v>
      </c>
      <c r="BY77" s="497">
        <f t="shared" si="86"/>
        <v>770</v>
      </c>
      <c r="BZ77" s="595">
        <f t="shared" si="87"/>
        <v>0</v>
      </c>
      <c r="CA77" s="537"/>
      <c r="CB77" s="568">
        <v>0.8</v>
      </c>
      <c r="CC77" s="605">
        <f t="shared" si="88"/>
        <v>616</v>
      </c>
      <c r="CD77" s="537">
        <v>3</v>
      </c>
      <c r="CE77" s="506" t="str">
        <f t="shared" si="89"/>
        <v>Excellent coverage</v>
      </c>
      <c r="CF77" s="492">
        <v>0</v>
      </c>
      <c r="CG77" s="538" t="s">
        <v>302</v>
      </c>
      <c r="CH77" s="580"/>
    </row>
    <row r="78" spans="2:86" s="40" customFormat="1" ht="30" customHeight="1" x14ac:dyDescent="0.2">
      <c r="B78" s="527" t="s">
        <v>158</v>
      </c>
      <c r="C78" s="488" t="s">
        <v>672</v>
      </c>
      <c r="D78" s="117" t="s">
        <v>268</v>
      </c>
      <c r="E78" s="488" t="s">
        <v>169</v>
      </c>
      <c r="F78" s="117">
        <v>97.990555999999998</v>
      </c>
      <c r="G78" s="117">
        <v>25.265277999999999</v>
      </c>
      <c r="H78" s="117" t="s">
        <v>509</v>
      </c>
      <c r="I78" s="117" t="s">
        <v>226</v>
      </c>
      <c r="J78" s="546">
        <v>109</v>
      </c>
      <c r="K78" s="546">
        <v>640</v>
      </c>
      <c r="L78" s="546">
        <v>640</v>
      </c>
      <c r="M78" s="490" t="str">
        <f t="shared" si="53"/>
        <v>2. Medium</v>
      </c>
      <c r="N78" s="528" t="s">
        <v>285</v>
      </c>
      <c r="O78" s="553" t="s">
        <v>235</v>
      </c>
      <c r="P78" s="545" t="str">
        <f t="shared" si="54"/>
        <v>Covered</v>
      </c>
      <c r="Q78" s="491" t="s">
        <v>708</v>
      </c>
      <c r="R78" s="489"/>
      <c r="S78" s="491"/>
      <c r="T78" s="528" t="s">
        <v>260</v>
      </c>
      <c r="U78" s="533" t="str">
        <f t="shared" si="55"/>
        <v>Documented</v>
      </c>
      <c r="V78" s="537">
        <v>0</v>
      </c>
      <c r="W78" s="492">
        <v>0</v>
      </c>
      <c r="X78" s="538" t="s">
        <v>19</v>
      </c>
      <c r="Y78" s="537">
        <v>0</v>
      </c>
      <c r="Z78" s="492">
        <v>0</v>
      </c>
      <c r="AA78" s="538">
        <v>13000</v>
      </c>
      <c r="AB78" s="567">
        <v>0</v>
      </c>
      <c r="AC78" s="568">
        <v>1</v>
      </c>
      <c r="AD78" s="574">
        <f t="shared" si="56"/>
        <v>1</v>
      </c>
      <c r="AE78" s="495">
        <f t="shared" si="57"/>
        <v>640</v>
      </c>
      <c r="AF78" s="496">
        <f t="shared" si="58"/>
        <v>1</v>
      </c>
      <c r="AG78" s="497">
        <f t="shared" si="59"/>
        <v>640</v>
      </c>
      <c r="AH78" s="494">
        <f t="shared" si="60"/>
        <v>1</v>
      </c>
      <c r="AI78" s="497">
        <f t="shared" si="61"/>
        <v>640</v>
      </c>
      <c r="AJ78" s="498" t="str">
        <f t="shared" si="62"/>
        <v>80-100%</v>
      </c>
      <c r="AK78" s="494">
        <f t="shared" si="63"/>
        <v>0</v>
      </c>
      <c r="AL78" s="499">
        <f t="shared" si="64"/>
        <v>0</v>
      </c>
      <c r="AM78" s="497">
        <f t="shared" si="65"/>
        <v>1.6</v>
      </c>
      <c r="AN78" s="497">
        <f t="shared" si="66"/>
        <v>109</v>
      </c>
      <c r="AO78" s="497">
        <f t="shared" si="67"/>
        <v>0</v>
      </c>
      <c r="AP78" s="568">
        <v>1</v>
      </c>
      <c r="AQ78" s="577">
        <f t="shared" si="68"/>
        <v>640</v>
      </c>
      <c r="AR78" s="581" t="s">
        <v>901</v>
      </c>
      <c r="AS78" s="537">
        <v>80</v>
      </c>
      <c r="AT78" s="492">
        <v>109</v>
      </c>
      <c r="AU78" s="492">
        <v>14</v>
      </c>
      <c r="AV78" s="492" t="s">
        <v>299</v>
      </c>
      <c r="AW78" s="500">
        <f t="shared" si="69"/>
        <v>1</v>
      </c>
      <c r="AX78" s="497">
        <f t="shared" si="70"/>
        <v>640</v>
      </c>
      <c r="AY78" s="500">
        <f t="shared" si="71"/>
        <v>0.5625</v>
      </c>
      <c r="AZ78" s="497">
        <f t="shared" si="72"/>
        <v>360</v>
      </c>
      <c r="BA78" s="500">
        <f t="shared" si="73"/>
        <v>0.4375</v>
      </c>
      <c r="BB78" s="497">
        <f t="shared" si="74"/>
        <v>280</v>
      </c>
      <c r="BC78" s="492">
        <v>0</v>
      </c>
      <c r="BD78" s="493">
        <v>1</v>
      </c>
      <c r="BE78" s="501">
        <f t="shared" si="75"/>
        <v>640</v>
      </c>
      <c r="BF78" s="502">
        <f t="shared" si="76"/>
        <v>18</v>
      </c>
      <c r="BG78" s="492">
        <v>2</v>
      </c>
      <c r="BH78" s="492" t="s">
        <v>300</v>
      </c>
      <c r="BI78" s="500">
        <f t="shared" si="77"/>
        <v>0.3125</v>
      </c>
      <c r="BJ78" s="497">
        <f t="shared" si="78"/>
        <v>200</v>
      </c>
      <c r="BK78" s="502">
        <f t="shared" si="79"/>
        <v>4.4000000000000004</v>
      </c>
      <c r="BL78" s="493">
        <v>0.31</v>
      </c>
      <c r="BM78" s="497">
        <f t="shared" si="80"/>
        <v>198.4</v>
      </c>
      <c r="BN78" s="492">
        <v>4</v>
      </c>
      <c r="BO78" s="500">
        <f t="shared" si="81"/>
        <v>0.625</v>
      </c>
      <c r="BP78" s="502">
        <f t="shared" si="82"/>
        <v>2.4000000000000004</v>
      </c>
      <c r="BQ78" s="568">
        <v>0.63</v>
      </c>
      <c r="BR78" s="580" t="s">
        <v>874</v>
      </c>
      <c r="BS78" s="594">
        <v>42123</v>
      </c>
      <c r="BT78" s="503">
        <f t="shared" si="83"/>
        <v>42488</v>
      </c>
      <c r="BU78" s="546">
        <v>109</v>
      </c>
      <c r="BV78" s="546">
        <v>3</v>
      </c>
      <c r="BW78" s="504">
        <f t="shared" si="84"/>
        <v>0</v>
      </c>
      <c r="BX78" s="505">
        <f t="shared" si="85"/>
        <v>1</v>
      </c>
      <c r="BY78" s="497">
        <f t="shared" si="86"/>
        <v>640</v>
      </c>
      <c r="BZ78" s="595">
        <f t="shared" si="87"/>
        <v>0</v>
      </c>
      <c r="CA78" s="537"/>
      <c r="CB78" s="568">
        <v>0</v>
      </c>
      <c r="CC78" s="605">
        <f t="shared" si="88"/>
        <v>0</v>
      </c>
      <c r="CD78" s="537">
        <v>0</v>
      </c>
      <c r="CE78" s="506" t="str">
        <f t="shared" si="89"/>
        <v>No coverage</v>
      </c>
      <c r="CF78" s="492">
        <v>0</v>
      </c>
      <c r="CG78" s="538" t="s">
        <v>302</v>
      </c>
      <c r="CH78" s="580"/>
    </row>
    <row r="79" spans="2:86" s="40" customFormat="1" ht="30" customHeight="1" x14ac:dyDescent="0.2">
      <c r="B79" s="527" t="s">
        <v>158</v>
      </c>
      <c r="C79" s="488" t="s">
        <v>673</v>
      </c>
      <c r="D79" s="117" t="s">
        <v>265</v>
      </c>
      <c r="E79" s="488" t="s">
        <v>170</v>
      </c>
      <c r="F79" s="117">
        <v>97.441483000000005</v>
      </c>
      <c r="G79" s="117">
        <v>25.354883999999998</v>
      </c>
      <c r="H79" s="117" t="s">
        <v>509</v>
      </c>
      <c r="I79" s="117" t="s">
        <v>218</v>
      </c>
      <c r="J79" s="546">
        <v>86</v>
      </c>
      <c r="K79" s="546">
        <v>346</v>
      </c>
      <c r="L79" s="546">
        <v>246</v>
      </c>
      <c r="M79" s="490" t="str">
        <f t="shared" si="53"/>
        <v>2. Medium</v>
      </c>
      <c r="N79" s="528" t="s">
        <v>284</v>
      </c>
      <c r="O79" s="553" t="s">
        <v>284</v>
      </c>
      <c r="P79" s="545" t="str">
        <f t="shared" si="54"/>
        <v>Covered</v>
      </c>
      <c r="Q79" s="491">
        <v>42155</v>
      </c>
      <c r="R79" s="489"/>
      <c r="S79" s="491"/>
      <c r="T79" s="528" t="s">
        <v>260</v>
      </c>
      <c r="U79" s="533" t="str">
        <f t="shared" si="55"/>
        <v>Documented</v>
      </c>
      <c r="V79" s="537">
        <v>0</v>
      </c>
      <c r="W79" s="492">
        <v>0</v>
      </c>
      <c r="X79" s="538" t="s">
        <v>19</v>
      </c>
      <c r="Y79" s="537">
        <v>1</v>
      </c>
      <c r="Z79" s="492">
        <v>1</v>
      </c>
      <c r="AA79" s="538">
        <v>0</v>
      </c>
      <c r="AB79" s="567">
        <v>0</v>
      </c>
      <c r="AC79" s="568">
        <v>0</v>
      </c>
      <c r="AD79" s="574">
        <f t="shared" si="56"/>
        <v>1</v>
      </c>
      <c r="AE79" s="495">
        <f t="shared" si="57"/>
        <v>246</v>
      </c>
      <c r="AF79" s="496">
        <f t="shared" si="58"/>
        <v>1</v>
      </c>
      <c r="AG79" s="497">
        <f t="shared" si="59"/>
        <v>246</v>
      </c>
      <c r="AH79" s="494">
        <f t="shared" si="60"/>
        <v>1</v>
      </c>
      <c r="AI79" s="497">
        <f t="shared" si="61"/>
        <v>246</v>
      </c>
      <c r="AJ79" s="498" t="str">
        <f t="shared" si="62"/>
        <v>80-100%</v>
      </c>
      <c r="AK79" s="494">
        <f t="shared" si="63"/>
        <v>0</v>
      </c>
      <c r="AL79" s="499">
        <f t="shared" si="64"/>
        <v>0</v>
      </c>
      <c r="AM79" s="497">
        <f t="shared" si="65"/>
        <v>0</v>
      </c>
      <c r="AN79" s="497">
        <f t="shared" si="66"/>
        <v>0</v>
      </c>
      <c r="AO79" s="497">
        <f t="shared" si="67"/>
        <v>0</v>
      </c>
      <c r="AP79" s="568">
        <v>1</v>
      </c>
      <c r="AQ79" s="577">
        <f t="shared" si="68"/>
        <v>246</v>
      </c>
      <c r="AR79" s="581"/>
      <c r="AS79" s="537">
        <v>0</v>
      </c>
      <c r="AT79" s="492">
        <v>0</v>
      </c>
      <c r="AU79" s="492">
        <v>8</v>
      </c>
      <c r="AV79" s="492" t="s">
        <v>299</v>
      </c>
      <c r="AW79" s="500">
        <f t="shared" si="69"/>
        <v>0.65040650406504064</v>
      </c>
      <c r="AX79" s="497">
        <f t="shared" si="70"/>
        <v>160</v>
      </c>
      <c r="AY79" s="500">
        <f t="shared" si="71"/>
        <v>0</v>
      </c>
      <c r="AZ79" s="497">
        <f t="shared" si="72"/>
        <v>0</v>
      </c>
      <c r="BA79" s="500">
        <f t="shared" si="73"/>
        <v>0.65040650406504064</v>
      </c>
      <c r="BB79" s="497">
        <f t="shared" si="74"/>
        <v>160</v>
      </c>
      <c r="BC79" s="492">
        <v>0</v>
      </c>
      <c r="BD79" s="493">
        <v>0.65</v>
      </c>
      <c r="BE79" s="501">
        <f t="shared" si="75"/>
        <v>159.9</v>
      </c>
      <c r="BF79" s="502">
        <f t="shared" si="76"/>
        <v>4.3000000000000007</v>
      </c>
      <c r="BG79" s="492">
        <v>2</v>
      </c>
      <c r="BH79" s="492" t="s">
        <v>300</v>
      </c>
      <c r="BI79" s="500">
        <f t="shared" si="77"/>
        <v>0.81300813008130079</v>
      </c>
      <c r="BJ79" s="497">
        <f t="shared" si="78"/>
        <v>200</v>
      </c>
      <c r="BK79" s="502">
        <f t="shared" si="79"/>
        <v>1.46</v>
      </c>
      <c r="BL79" s="493">
        <v>0.81</v>
      </c>
      <c r="BM79" s="497">
        <f t="shared" si="80"/>
        <v>199.26000000000002</v>
      </c>
      <c r="BN79" s="492">
        <v>3</v>
      </c>
      <c r="BO79" s="500">
        <f t="shared" si="81"/>
        <v>1</v>
      </c>
      <c r="BP79" s="502">
        <f t="shared" si="82"/>
        <v>0.45999999999999996</v>
      </c>
      <c r="BQ79" s="568">
        <v>1</v>
      </c>
      <c r="BR79" s="580"/>
      <c r="BS79" s="594">
        <v>42048</v>
      </c>
      <c r="BT79" s="503">
        <f t="shared" si="83"/>
        <v>42413</v>
      </c>
      <c r="BU79" s="546">
        <v>86</v>
      </c>
      <c r="BV79" s="546">
        <v>2</v>
      </c>
      <c r="BW79" s="504">
        <f t="shared" si="84"/>
        <v>0</v>
      </c>
      <c r="BX79" s="505">
        <f t="shared" si="85"/>
        <v>1</v>
      </c>
      <c r="BY79" s="497">
        <f t="shared" si="86"/>
        <v>246</v>
      </c>
      <c r="BZ79" s="595">
        <f t="shared" si="87"/>
        <v>0</v>
      </c>
      <c r="CA79" s="537"/>
      <c r="CB79" s="568">
        <v>1</v>
      </c>
      <c r="CC79" s="605">
        <f t="shared" si="88"/>
        <v>246</v>
      </c>
      <c r="CD79" s="537">
        <v>2</v>
      </c>
      <c r="CE79" s="506" t="str">
        <f t="shared" si="89"/>
        <v>Excellent coverage</v>
      </c>
      <c r="CF79" s="492">
        <v>0</v>
      </c>
      <c r="CG79" s="538" t="s">
        <v>65</v>
      </c>
      <c r="CH79" s="580"/>
    </row>
    <row r="80" spans="2:86" s="40" customFormat="1" ht="30" customHeight="1" x14ac:dyDescent="0.2">
      <c r="B80" s="527" t="s">
        <v>158</v>
      </c>
      <c r="C80" s="488" t="s">
        <v>674</v>
      </c>
      <c r="D80" s="117" t="s">
        <v>265</v>
      </c>
      <c r="E80" s="488" t="s">
        <v>171</v>
      </c>
      <c r="F80" s="117">
        <v>97.438271</v>
      </c>
      <c r="G80" s="117">
        <v>25.351655000000001</v>
      </c>
      <c r="H80" s="117" t="s">
        <v>509</v>
      </c>
      <c r="I80" s="117" t="s">
        <v>218</v>
      </c>
      <c r="J80" s="546">
        <v>67</v>
      </c>
      <c r="K80" s="546">
        <v>315</v>
      </c>
      <c r="L80" s="546">
        <v>315</v>
      </c>
      <c r="M80" s="490" t="str">
        <f t="shared" si="53"/>
        <v>2. Medium</v>
      </c>
      <c r="N80" s="528" t="s">
        <v>239</v>
      </c>
      <c r="O80" s="553" t="s">
        <v>239</v>
      </c>
      <c r="P80" s="545" t="str">
        <f t="shared" si="54"/>
        <v>Covered</v>
      </c>
      <c r="Q80" s="491">
        <v>42185</v>
      </c>
      <c r="R80" s="489" t="s">
        <v>240</v>
      </c>
      <c r="S80" s="491">
        <v>42185</v>
      </c>
      <c r="T80" s="528" t="s">
        <v>260</v>
      </c>
      <c r="U80" s="533" t="str">
        <f t="shared" si="55"/>
        <v>Documented</v>
      </c>
      <c r="V80" s="537">
        <v>0</v>
      </c>
      <c r="W80" s="492">
        <v>0</v>
      </c>
      <c r="X80" s="538" t="s">
        <v>19</v>
      </c>
      <c r="Y80" s="537">
        <v>2</v>
      </c>
      <c r="Z80" s="492">
        <v>1</v>
      </c>
      <c r="AA80" s="538">
        <v>0</v>
      </c>
      <c r="AB80" s="567">
        <v>0</v>
      </c>
      <c r="AC80" s="568">
        <v>1</v>
      </c>
      <c r="AD80" s="574">
        <f t="shared" si="56"/>
        <v>1</v>
      </c>
      <c r="AE80" s="495">
        <f t="shared" si="57"/>
        <v>315</v>
      </c>
      <c r="AF80" s="496">
        <f t="shared" si="58"/>
        <v>1</v>
      </c>
      <c r="AG80" s="497">
        <f t="shared" si="59"/>
        <v>315</v>
      </c>
      <c r="AH80" s="494">
        <f t="shared" si="60"/>
        <v>1</v>
      </c>
      <c r="AI80" s="497">
        <f t="shared" si="61"/>
        <v>315</v>
      </c>
      <c r="AJ80" s="498" t="str">
        <f t="shared" si="62"/>
        <v>80-100%</v>
      </c>
      <c r="AK80" s="494">
        <f t="shared" si="63"/>
        <v>0</v>
      </c>
      <c r="AL80" s="499">
        <f t="shared" si="64"/>
        <v>0</v>
      </c>
      <c r="AM80" s="497">
        <f t="shared" si="65"/>
        <v>0</v>
      </c>
      <c r="AN80" s="497">
        <f t="shared" si="66"/>
        <v>67</v>
      </c>
      <c r="AO80" s="497">
        <f t="shared" si="67"/>
        <v>0</v>
      </c>
      <c r="AP80" s="568">
        <v>1</v>
      </c>
      <c r="AQ80" s="577">
        <f t="shared" si="68"/>
        <v>315</v>
      </c>
      <c r="AR80" s="581"/>
      <c r="AS80" s="537">
        <v>0</v>
      </c>
      <c r="AT80" s="492">
        <v>0</v>
      </c>
      <c r="AU80" s="492">
        <v>12</v>
      </c>
      <c r="AV80" s="492" t="s">
        <v>299</v>
      </c>
      <c r="AW80" s="500">
        <f t="shared" si="69"/>
        <v>0.76190476190476186</v>
      </c>
      <c r="AX80" s="497">
        <f t="shared" si="70"/>
        <v>240</v>
      </c>
      <c r="AY80" s="500">
        <f t="shared" si="71"/>
        <v>0</v>
      </c>
      <c r="AZ80" s="497">
        <f t="shared" si="72"/>
        <v>0</v>
      </c>
      <c r="BA80" s="500">
        <f t="shared" si="73"/>
        <v>0.76190476190476186</v>
      </c>
      <c r="BB80" s="497">
        <f t="shared" si="74"/>
        <v>240</v>
      </c>
      <c r="BC80" s="492">
        <v>0</v>
      </c>
      <c r="BD80" s="493">
        <v>0.76</v>
      </c>
      <c r="BE80" s="501">
        <f t="shared" si="75"/>
        <v>239.4</v>
      </c>
      <c r="BF80" s="502">
        <f t="shared" si="76"/>
        <v>3.75</v>
      </c>
      <c r="BG80" s="492">
        <v>2</v>
      </c>
      <c r="BH80" s="492" t="s">
        <v>300</v>
      </c>
      <c r="BI80" s="500">
        <f t="shared" si="77"/>
        <v>0.63492063492063489</v>
      </c>
      <c r="BJ80" s="497">
        <f t="shared" si="78"/>
        <v>200</v>
      </c>
      <c r="BK80" s="502">
        <f t="shared" si="79"/>
        <v>1.1499999999999999</v>
      </c>
      <c r="BL80" s="493">
        <v>0.63</v>
      </c>
      <c r="BM80" s="497">
        <f t="shared" si="80"/>
        <v>198.45</v>
      </c>
      <c r="BN80" s="492">
        <v>3</v>
      </c>
      <c r="BO80" s="500">
        <f t="shared" si="81"/>
        <v>0.95238095238095233</v>
      </c>
      <c r="BP80" s="502">
        <f t="shared" si="82"/>
        <v>0.14999999999999991</v>
      </c>
      <c r="BQ80" s="568">
        <v>0.95</v>
      </c>
      <c r="BR80" s="580" t="s">
        <v>912</v>
      </c>
      <c r="BS80" s="594">
        <v>42053</v>
      </c>
      <c r="BT80" s="503">
        <f t="shared" si="83"/>
        <v>42418</v>
      </c>
      <c r="BU80" s="546">
        <v>67</v>
      </c>
      <c r="BV80" s="546">
        <v>3</v>
      </c>
      <c r="BW80" s="504">
        <f t="shared" si="84"/>
        <v>0</v>
      </c>
      <c r="BX80" s="505">
        <f t="shared" si="85"/>
        <v>1</v>
      </c>
      <c r="BY80" s="497">
        <f t="shared" si="86"/>
        <v>315</v>
      </c>
      <c r="BZ80" s="595">
        <f t="shared" si="87"/>
        <v>0</v>
      </c>
      <c r="CA80" s="537"/>
      <c r="CB80" s="568">
        <v>0.8</v>
      </c>
      <c r="CC80" s="605">
        <f t="shared" si="88"/>
        <v>252</v>
      </c>
      <c r="CD80" s="537">
        <v>1</v>
      </c>
      <c r="CE80" s="506" t="str">
        <f t="shared" si="89"/>
        <v>Excellent coverage</v>
      </c>
      <c r="CF80" s="492">
        <v>0</v>
      </c>
      <c r="CG80" s="538" t="s">
        <v>302</v>
      </c>
      <c r="CH80" s="580"/>
    </row>
    <row r="81" spans="2:86" s="40" customFormat="1" ht="30" customHeight="1" x14ac:dyDescent="0.2">
      <c r="B81" s="527" t="s">
        <v>158</v>
      </c>
      <c r="C81" s="488" t="s">
        <v>675</v>
      </c>
      <c r="D81" s="117" t="s">
        <v>265</v>
      </c>
      <c r="E81" s="488" t="s">
        <v>172</v>
      </c>
      <c r="F81" s="117">
        <v>97.437568999999996</v>
      </c>
      <c r="G81" s="117">
        <v>25.346004000000001</v>
      </c>
      <c r="H81" s="117" t="s">
        <v>509</v>
      </c>
      <c r="I81" s="117" t="s">
        <v>218</v>
      </c>
      <c r="J81" s="546">
        <v>31</v>
      </c>
      <c r="K81" s="546">
        <v>169</v>
      </c>
      <c r="L81" s="546">
        <v>169</v>
      </c>
      <c r="M81" s="490" t="str">
        <f t="shared" si="53"/>
        <v>1. Small</v>
      </c>
      <c r="N81" s="528" t="s">
        <v>284</v>
      </c>
      <c r="O81" s="553" t="s">
        <v>284</v>
      </c>
      <c r="P81" s="545" t="str">
        <f t="shared" si="54"/>
        <v>Covered</v>
      </c>
      <c r="Q81" s="491">
        <v>42155</v>
      </c>
      <c r="R81" s="489"/>
      <c r="S81" s="491"/>
      <c r="T81" s="528" t="s">
        <v>260</v>
      </c>
      <c r="U81" s="533" t="str">
        <f t="shared" si="55"/>
        <v>Documented</v>
      </c>
      <c r="V81" s="537">
        <v>0</v>
      </c>
      <c r="W81" s="492">
        <v>0</v>
      </c>
      <c r="X81" s="538" t="s">
        <v>19</v>
      </c>
      <c r="Y81" s="537">
        <v>2</v>
      </c>
      <c r="Z81" s="492">
        <v>0</v>
      </c>
      <c r="AA81" s="538">
        <v>3000</v>
      </c>
      <c r="AB81" s="567">
        <v>0</v>
      </c>
      <c r="AC81" s="568">
        <v>0</v>
      </c>
      <c r="AD81" s="574">
        <f t="shared" si="56"/>
        <v>1</v>
      </c>
      <c r="AE81" s="495">
        <f t="shared" si="57"/>
        <v>169</v>
      </c>
      <c r="AF81" s="496">
        <f t="shared" si="58"/>
        <v>1</v>
      </c>
      <c r="AG81" s="497">
        <f t="shared" si="59"/>
        <v>169</v>
      </c>
      <c r="AH81" s="494">
        <f t="shared" si="60"/>
        <v>1</v>
      </c>
      <c r="AI81" s="497">
        <f t="shared" si="61"/>
        <v>169</v>
      </c>
      <c r="AJ81" s="498" t="str">
        <f t="shared" si="62"/>
        <v>80-100%</v>
      </c>
      <c r="AK81" s="494">
        <f t="shared" si="63"/>
        <v>0</v>
      </c>
      <c r="AL81" s="499">
        <f t="shared" si="64"/>
        <v>0</v>
      </c>
      <c r="AM81" s="497">
        <f t="shared" si="65"/>
        <v>0</v>
      </c>
      <c r="AN81" s="497">
        <f t="shared" si="66"/>
        <v>0</v>
      </c>
      <c r="AO81" s="497">
        <f t="shared" si="67"/>
        <v>0</v>
      </c>
      <c r="AP81" s="568">
        <v>1</v>
      </c>
      <c r="AQ81" s="577">
        <f t="shared" si="68"/>
        <v>169</v>
      </c>
      <c r="AR81" s="581"/>
      <c r="AS81" s="537">
        <v>0</v>
      </c>
      <c r="AT81" s="492">
        <v>0</v>
      </c>
      <c r="AU81" s="492">
        <v>7</v>
      </c>
      <c r="AV81" s="492" t="s">
        <v>299</v>
      </c>
      <c r="AW81" s="500">
        <f t="shared" si="69"/>
        <v>0.82840236686390534</v>
      </c>
      <c r="AX81" s="497">
        <f t="shared" si="70"/>
        <v>140</v>
      </c>
      <c r="AY81" s="500">
        <f t="shared" si="71"/>
        <v>0</v>
      </c>
      <c r="AZ81" s="497">
        <f t="shared" si="72"/>
        <v>0</v>
      </c>
      <c r="BA81" s="500">
        <f t="shared" si="73"/>
        <v>0.82840236686390534</v>
      </c>
      <c r="BB81" s="497">
        <f t="shared" si="74"/>
        <v>140</v>
      </c>
      <c r="BC81" s="492">
        <v>0</v>
      </c>
      <c r="BD81" s="493">
        <v>0.83</v>
      </c>
      <c r="BE81" s="501">
        <f t="shared" si="75"/>
        <v>140.26999999999998</v>
      </c>
      <c r="BF81" s="502">
        <f t="shared" si="76"/>
        <v>1.4499999999999993</v>
      </c>
      <c r="BG81" s="492">
        <v>4</v>
      </c>
      <c r="BH81" s="492" t="s">
        <v>300</v>
      </c>
      <c r="BI81" s="500">
        <f t="shared" si="77"/>
        <v>1</v>
      </c>
      <c r="BJ81" s="497">
        <f t="shared" si="78"/>
        <v>169</v>
      </c>
      <c r="BK81" s="502">
        <f t="shared" si="79"/>
        <v>0</v>
      </c>
      <c r="BL81" s="493">
        <v>1</v>
      </c>
      <c r="BM81" s="497">
        <f t="shared" si="80"/>
        <v>169</v>
      </c>
      <c r="BN81" s="492">
        <v>3</v>
      </c>
      <c r="BO81" s="500">
        <f t="shared" si="81"/>
        <v>1</v>
      </c>
      <c r="BP81" s="502">
        <f t="shared" si="82"/>
        <v>0</v>
      </c>
      <c r="BQ81" s="568">
        <v>1</v>
      </c>
      <c r="BR81" s="580"/>
      <c r="BS81" s="594">
        <v>42048</v>
      </c>
      <c r="BT81" s="503">
        <f t="shared" si="83"/>
        <v>42413</v>
      </c>
      <c r="BU81" s="546">
        <v>31</v>
      </c>
      <c r="BV81" s="546">
        <v>2</v>
      </c>
      <c r="BW81" s="504">
        <f t="shared" si="84"/>
        <v>0</v>
      </c>
      <c r="BX81" s="505">
        <f t="shared" si="85"/>
        <v>1</v>
      </c>
      <c r="BY81" s="497">
        <f t="shared" si="86"/>
        <v>169</v>
      </c>
      <c r="BZ81" s="595">
        <f t="shared" si="87"/>
        <v>0</v>
      </c>
      <c r="CA81" s="537"/>
      <c r="CB81" s="568">
        <v>1</v>
      </c>
      <c r="CC81" s="605">
        <f t="shared" si="88"/>
        <v>169</v>
      </c>
      <c r="CD81" s="537">
        <v>2</v>
      </c>
      <c r="CE81" s="506" t="str">
        <f t="shared" si="89"/>
        <v>Excellent coverage</v>
      </c>
      <c r="CF81" s="492">
        <v>0</v>
      </c>
      <c r="CG81" s="538" t="s">
        <v>65</v>
      </c>
      <c r="CH81" s="580"/>
    </row>
    <row r="82" spans="2:86" s="40" customFormat="1" ht="30" customHeight="1" x14ac:dyDescent="0.2">
      <c r="B82" s="527" t="s">
        <v>158</v>
      </c>
      <c r="C82" s="488" t="s">
        <v>676</v>
      </c>
      <c r="D82" s="117" t="s">
        <v>265</v>
      </c>
      <c r="E82" s="488" t="s">
        <v>173</v>
      </c>
      <c r="F82" s="117">
        <v>97.432495000000003</v>
      </c>
      <c r="G82" s="117">
        <v>25.350809000000002</v>
      </c>
      <c r="H82" s="117" t="s">
        <v>509</v>
      </c>
      <c r="I82" s="117" t="s">
        <v>218</v>
      </c>
      <c r="J82" s="546">
        <v>91</v>
      </c>
      <c r="K82" s="546">
        <v>467</v>
      </c>
      <c r="L82" s="546">
        <v>467</v>
      </c>
      <c r="M82" s="490" t="str">
        <f t="shared" si="53"/>
        <v>2. Medium</v>
      </c>
      <c r="N82" s="528" t="s">
        <v>284</v>
      </c>
      <c r="O82" s="553" t="s">
        <v>284</v>
      </c>
      <c r="P82" s="545" t="str">
        <f t="shared" si="54"/>
        <v>Covered</v>
      </c>
      <c r="Q82" s="491">
        <v>42155</v>
      </c>
      <c r="R82" s="489"/>
      <c r="S82" s="491"/>
      <c r="T82" s="528" t="s">
        <v>260</v>
      </c>
      <c r="U82" s="533" t="str">
        <f t="shared" si="55"/>
        <v>Documented</v>
      </c>
      <c r="V82" s="537">
        <v>0</v>
      </c>
      <c r="W82" s="492">
        <v>0</v>
      </c>
      <c r="X82" s="538" t="s">
        <v>19</v>
      </c>
      <c r="Y82" s="537">
        <v>4</v>
      </c>
      <c r="Z82" s="492">
        <v>0</v>
      </c>
      <c r="AA82" s="538">
        <v>3600</v>
      </c>
      <c r="AB82" s="567">
        <v>0</v>
      </c>
      <c r="AC82" s="568">
        <v>0</v>
      </c>
      <c r="AD82" s="574">
        <f t="shared" si="56"/>
        <v>1</v>
      </c>
      <c r="AE82" s="495">
        <f t="shared" si="57"/>
        <v>467</v>
      </c>
      <c r="AF82" s="496">
        <f t="shared" si="58"/>
        <v>1</v>
      </c>
      <c r="AG82" s="497">
        <f t="shared" si="59"/>
        <v>467</v>
      </c>
      <c r="AH82" s="494">
        <f t="shared" si="60"/>
        <v>1</v>
      </c>
      <c r="AI82" s="497">
        <f t="shared" si="61"/>
        <v>467</v>
      </c>
      <c r="AJ82" s="498" t="str">
        <f t="shared" si="62"/>
        <v>80-100%</v>
      </c>
      <c r="AK82" s="494">
        <f t="shared" si="63"/>
        <v>0</v>
      </c>
      <c r="AL82" s="499">
        <f t="shared" si="64"/>
        <v>0</v>
      </c>
      <c r="AM82" s="497">
        <f t="shared" si="65"/>
        <v>0</v>
      </c>
      <c r="AN82" s="497">
        <f t="shared" si="66"/>
        <v>0</v>
      </c>
      <c r="AO82" s="497">
        <f t="shared" si="67"/>
        <v>0</v>
      </c>
      <c r="AP82" s="568">
        <v>1</v>
      </c>
      <c r="AQ82" s="577">
        <f t="shared" si="68"/>
        <v>467</v>
      </c>
      <c r="AR82" s="581"/>
      <c r="AS82" s="537">
        <v>6</v>
      </c>
      <c r="AT82" s="492">
        <v>8</v>
      </c>
      <c r="AU82" s="492">
        <v>19</v>
      </c>
      <c r="AV82" s="492" t="s">
        <v>299</v>
      </c>
      <c r="AW82" s="500">
        <f t="shared" si="69"/>
        <v>1</v>
      </c>
      <c r="AX82" s="497">
        <f t="shared" si="70"/>
        <v>467</v>
      </c>
      <c r="AY82" s="500">
        <f t="shared" si="71"/>
        <v>0.1862955032119914</v>
      </c>
      <c r="AZ82" s="497">
        <f t="shared" si="72"/>
        <v>86.999999999999986</v>
      </c>
      <c r="BA82" s="500">
        <f t="shared" si="73"/>
        <v>0.8137044967880086</v>
      </c>
      <c r="BB82" s="497">
        <f t="shared" si="74"/>
        <v>380</v>
      </c>
      <c r="BC82" s="492">
        <v>0</v>
      </c>
      <c r="BD82" s="493">
        <v>1</v>
      </c>
      <c r="BE82" s="501">
        <f t="shared" si="75"/>
        <v>467</v>
      </c>
      <c r="BF82" s="502">
        <f t="shared" si="76"/>
        <v>4.3500000000000014</v>
      </c>
      <c r="BG82" s="492">
        <v>5</v>
      </c>
      <c r="BH82" s="492" t="s">
        <v>300</v>
      </c>
      <c r="BI82" s="500">
        <f t="shared" si="77"/>
        <v>1</v>
      </c>
      <c r="BJ82" s="497">
        <f t="shared" si="78"/>
        <v>467</v>
      </c>
      <c r="BK82" s="502">
        <f t="shared" si="79"/>
        <v>0</v>
      </c>
      <c r="BL82" s="493">
        <v>1</v>
      </c>
      <c r="BM82" s="497">
        <f t="shared" si="80"/>
        <v>467</v>
      </c>
      <c r="BN82" s="492">
        <v>6</v>
      </c>
      <c r="BO82" s="500">
        <f t="shared" si="81"/>
        <v>1</v>
      </c>
      <c r="BP82" s="502">
        <f t="shared" si="82"/>
        <v>0</v>
      </c>
      <c r="BQ82" s="568">
        <v>1</v>
      </c>
      <c r="BR82" s="580"/>
      <c r="BS82" s="594">
        <v>42048</v>
      </c>
      <c r="BT82" s="503">
        <f t="shared" si="83"/>
        <v>42413</v>
      </c>
      <c r="BU82" s="546">
        <v>91</v>
      </c>
      <c r="BV82" s="546">
        <v>2</v>
      </c>
      <c r="BW82" s="504">
        <f t="shared" si="84"/>
        <v>0</v>
      </c>
      <c r="BX82" s="505">
        <f t="shared" si="85"/>
        <v>1</v>
      </c>
      <c r="BY82" s="497">
        <f t="shared" si="86"/>
        <v>467</v>
      </c>
      <c r="BZ82" s="595">
        <f t="shared" si="87"/>
        <v>0</v>
      </c>
      <c r="CA82" s="537"/>
      <c r="CB82" s="568">
        <v>1</v>
      </c>
      <c r="CC82" s="605">
        <f t="shared" si="88"/>
        <v>467</v>
      </c>
      <c r="CD82" s="537">
        <v>2</v>
      </c>
      <c r="CE82" s="506" t="str">
        <f t="shared" si="89"/>
        <v>Excellent coverage</v>
      </c>
      <c r="CF82" s="492">
        <v>1</v>
      </c>
      <c r="CG82" s="538" t="s">
        <v>65</v>
      </c>
      <c r="CH82" s="580"/>
    </row>
    <row r="83" spans="2:86" s="40" customFormat="1" ht="30" customHeight="1" x14ac:dyDescent="0.2">
      <c r="B83" s="527" t="s">
        <v>158</v>
      </c>
      <c r="C83" s="488" t="s">
        <v>677</v>
      </c>
      <c r="D83" s="117" t="s">
        <v>268</v>
      </c>
      <c r="E83" s="488" t="s">
        <v>174</v>
      </c>
      <c r="F83" s="117">
        <v>98.025662999999994</v>
      </c>
      <c r="G83" s="117">
        <v>25.418084</v>
      </c>
      <c r="H83" s="117" t="s">
        <v>509</v>
      </c>
      <c r="I83" s="117" t="s">
        <v>226</v>
      </c>
      <c r="J83" s="546">
        <v>198</v>
      </c>
      <c r="K83" s="546">
        <v>872</v>
      </c>
      <c r="L83" s="546">
        <v>872</v>
      </c>
      <c r="M83" s="490" t="str">
        <f t="shared" si="53"/>
        <v>2. Medium</v>
      </c>
      <c r="N83" s="528" t="s">
        <v>239</v>
      </c>
      <c r="O83" s="553" t="s">
        <v>239</v>
      </c>
      <c r="P83" s="545" t="str">
        <f t="shared" si="54"/>
        <v>Covered</v>
      </c>
      <c r="Q83" s="491">
        <v>42185</v>
      </c>
      <c r="R83" s="489" t="s">
        <v>240</v>
      </c>
      <c r="S83" s="491">
        <v>42185</v>
      </c>
      <c r="T83" s="528" t="s">
        <v>260</v>
      </c>
      <c r="U83" s="533" t="str">
        <f t="shared" si="55"/>
        <v>Documented</v>
      </c>
      <c r="V83" s="537">
        <v>0</v>
      </c>
      <c r="W83" s="492">
        <v>0</v>
      </c>
      <c r="X83" s="538" t="s">
        <v>19</v>
      </c>
      <c r="Y83" s="537">
        <v>0</v>
      </c>
      <c r="Z83" s="492">
        <v>0</v>
      </c>
      <c r="AA83" s="538">
        <v>18000</v>
      </c>
      <c r="AB83" s="567">
        <v>0</v>
      </c>
      <c r="AC83" s="568">
        <v>0</v>
      </c>
      <c r="AD83" s="574">
        <f t="shared" si="56"/>
        <v>1</v>
      </c>
      <c r="AE83" s="495">
        <f t="shared" si="57"/>
        <v>872</v>
      </c>
      <c r="AF83" s="496">
        <f t="shared" si="58"/>
        <v>1</v>
      </c>
      <c r="AG83" s="497">
        <f t="shared" si="59"/>
        <v>872</v>
      </c>
      <c r="AH83" s="494">
        <f t="shared" si="60"/>
        <v>1</v>
      </c>
      <c r="AI83" s="497">
        <f t="shared" si="61"/>
        <v>872</v>
      </c>
      <c r="AJ83" s="498" t="str">
        <f t="shared" si="62"/>
        <v>80-100%</v>
      </c>
      <c r="AK83" s="494">
        <f t="shared" si="63"/>
        <v>0</v>
      </c>
      <c r="AL83" s="499">
        <f t="shared" si="64"/>
        <v>0</v>
      </c>
      <c r="AM83" s="497">
        <f t="shared" si="65"/>
        <v>2.1800000000000002</v>
      </c>
      <c r="AN83" s="497">
        <f t="shared" si="66"/>
        <v>0</v>
      </c>
      <c r="AO83" s="497">
        <f t="shared" si="67"/>
        <v>0</v>
      </c>
      <c r="AP83" s="568">
        <v>1</v>
      </c>
      <c r="AQ83" s="577">
        <f t="shared" si="68"/>
        <v>872</v>
      </c>
      <c r="AR83" s="581" t="s">
        <v>900</v>
      </c>
      <c r="AS83" s="537">
        <v>0</v>
      </c>
      <c r="AT83" s="492">
        <v>44</v>
      </c>
      <c r="AU83" s="492">
        <v>0</v>
      </c>
      <c r="AV83" s="492" t="s">
        <v>299</v>
      </c>
      <c r="AW83" s="500">
        <f t="shared" si="69"/>
        <v>1</v>
      </c>
      <c r="AX83" s="497">
        <f t="shared" si="70"/>
        <v>872</v>
      </c>
      <c r="AY83" s="500">
        <f t="shared" si="71"/>
        <v>1</v>
      </c>
      <c r="AZ83" s="497">
        <f t="shared" si="72"/>
        <v>872</v>
      </c>
      <c r="BA83" s="500">
        <f t="shared" si="73"/>
        <v>0</v>
      </c>
      <c r="BB83" s="497">
        <f t="shared" si="74"/>
        <v>0</v>
      </c>
      <c r="BC83" s="492">
        <v>0</v>
      </c>
      <c r="BD83" s="493">
        <v>1</v>
      </c>
      <c r="BE83" s="501">
        <f t="shared" si="75"/>
        <v>872</v>
      </c>
      <c r="BF83" s="502">
        <f t="shared" si="76"/>
        <v>43.6</v>
      </c>
      <c r="BG83" s="492">
        <v>3</v>
      </c>
      <c r="BH83" s="492" t="s">
        <v>300</v>
      </c>
      <c r="BI83" s="500">
        <f t="shared" si="77"/>
        <v>0.34403669724770641</v>
      </c>
      <c r="BJ83" s="497">
        <f t="shared" si="78"/>
        <v>300</v>
      </c>
      <c r="BK83" s="502">
        <f t="shared" si="79"/>
        <v>5.7200000000000006</v>
      </c>
      <c r="BL83" s="493">
        <v>0.34</v>
      </c>
      <c r="BM83" s="497">
        <f t="shared" si="80"/>
        <v>296.48</v>
      </c>
      <c r="BN83" s="492">
        <v>0</v>
      </c>
      <c r="BO83" s="500">
        <f t="shared" si="81"/>
        <v>0</v>
      </c>
      <c r="BP83" s="502">
        <f t="shared" si="82"/>
        <v>8.7200000000000006</v>
      </c>
      <c r="BQ83" s="568">
        <v>0</v>
      </c>
      <c r="BR83" s="580" t="s">
        <v>876</v>
      </c>
      <c r="BS83" s="594">
        <v>42053</v>
      </c>
      <c r="BT83" s="503">
        <f t="shared" si="83"/>
        <v>42418</v>
      </c>
      <c r="BU83" s="546">
        <v>198</v>
      </c>
      <c r="BV83" s="546">
        <v>3</v>
      </c>
      <c r="BW83" s="504">
        <f t="shared" si="84"/>
        <v>0</v>
      </c>
      <c r="BX83" s="505">
        <f t="shared" si="85"/>
        <v>1</v>
      </c>
      <c r="BY83" s="497">
        <f t="shared" si="86"/>
        <v>872</v>
      </c>
      <c r="BZ83" s="595">
        <f t="shared" si="87"/>
        <v>0</v>
      </c>
      <c r="CA83" s="537"/>
      <c r="CB83" s="568">
        <v>0.8</v>
      </c>
      <c r="CC83" s="605">
        <f t="shared" si="88"/>
        <v>697.6</v>
      </c>
      <c r="CD83" s="537">
        <v>3</v>
      </c>
      <c r="CE83" s="506" t="str">
        <f t="shared" si="89"/>
        <v>Excellent coverage</v>
      </c>
      <c r="CF83" s="492">
        <v>0</v>
      </c>
      <c r="CG83" s="538" t="s">
        <v>302</v>
      </c>
      <c r="CH83" s="580"/>
    </row>
    <row r="84" spans="2:86" s="40" customFormat="1" ht="30" customHeight="1" x14ac:dyDescent="0.2">
      <c r="B84" s="527" t="s">
        <v>158</v>
      </c>
      <c r="C84" s="488" t="s">
        <v>678</v>
      </c>
      <c r="D84" s="117" t="s">
        <v>265</v>
      </c>
      <c r="E84" s="488" t="s">
        <v>175</v>
      </c>
      <c r="F84" s="117">
        <v>97.427959999999999</v>
      </c>
      <c r="G84" s="117">
        <v>25.33351</v>
      </c>
      <c r="H84" s="117" t="s">
        <v>509</v>
      </c>
      <c r="I84" s="117" t="s">
        <v>218</v>
      </c>
      <c r="J84" s="546">
        <v>67</v>
      </c>
      <c r="K84" s="546">
        <v>307</v>
      </c>
      <c r="L84" s="546">
        <v>307</v>
      </c>
      <c r="M84" s="490" t="str">
        <f t="shared" si="53"/>
        <v>2. Medium</v>
      </c>
      <c r="N84" s="528" t="s">
        <v>284</v>
      </c>
      <c r="O84" s="553" t="s">
        <v>284</v>
      </c>
      <c r="P84" s="545" t="str">
        <f t="shared" si="54"/>
        <v>Covered</v>
      </c>
      <c r="Q84" s="491">
        <v>42155</v>
      </c>
      <c r="R84" s="489"/>
      <c r="S84" s="491"/>
      <c r="T84" s="528" t="s">
        <v>260</v>
      </c>
      <c r="U84" s="533" t="str">
        <f t="shared" si="55"/>
        <v>Documented</v>
      </c>
      <c r="V84" s="537">
        <v>0</v>
      </c>
      <c r="W84" s="492">
        <v>0</v>
      </c>
      <c r="X84" s="538" t="s">
        <v>19</v>
      </c>
      <c r="Y84" s="537">
        <v>3</v>
      </c>
      <c r="Z84" s="492">
        <v>0</v>
      </c>
      <c r="AA84" s="538">
        <v>0</v>
      </c>
      <c r="AB84" s="567">
        <v>0</v>
      </c>
      <c r="AC84" s="568">
        <v>0</v>
      </c>
      <c r="AD84" s="574">
        <f t="shared" si="56"/>
        <v>1</v>
      </c>
      <c r="AE84" s="495">
        <f t="shared" si="57"/>
        <v>307</v>
      </c>
      <c r="AF84" s="496">
        <f t="shared" si="58"/>
        <v>1</v>
      </c>
      <c r="AG84" s="497">
        <f t="shared" si="59"/>
        <v>307</v>
      </c>
      <c r="AH84" s="494">
        <f t="shared" si="60"/>
        <v>1</v>
      </c>
      <c r="AI84" s="497">
        <f t="shared" si="61"/>
        <v>307</v>
      </c>
      <c r="AJ84" s="498" t="str">
        <f t="shared" si="62"/>
        <v>80-100%</v>
      </c>
      <c r="AK84" s="494">
        <f t="shared" si="63"/>
        <v>0</v>
      </c>
      <c r="AL84" s="499">
        <f t="shared" si="64"/>
        <v>0</v>
      </c>
      <c r="AM84" s="497">
        <f t="shared" si="65"/>
        <v>0</v>
      </c>
      <c r="AN84" s="497">
        <f t="shared" si="66"/>
        <v>0</v>
      </c>
      <c r="AO84" s="497">
        <f t="shared" si="67"/>
        <v>0</v>
      </c>
      <c r="AP84" s="568">
        <v>1</v>
      </c>
      <c r="AQ84" s="577">
        <f t="shared" si="68"/>
        <v>307</v>
      </c>
      <c r="AR84" s="581"/>
      <c r="AS84" s="537">
        <v>0</v>
      </c>
      <c r="AT84" s="492">
        <v>0</v>
      </c>
      <c r="AU84" s="492">
        <v>13</v>
      </c>
      <c r="AV84" s="492" t="s">
        <v>299</v>
      </c>
      <c r="AW84" s="500">
        <f t="shared" si="69"/>
        <v>0.84690553745928343</v>
      </c>
      <c r="AX84" s="497">
        <f t="shared" si="70"/>
        <v>260</v>
      </c>
      <c r="AY84" s="500">
        <f t="shared" si="71"/>
        <v>0</v>
      </c>
      <c r="AZ84" s="497">
        <f t="shared" si="72"/>
        <v>0</v>
      </c>
      <c r="BA84" s="500">
        <f t="shared" si="73"/>
        <v>0.84690553745928343</v>
      </c>
      <c r="BB84" s="497">
        <f t="shared" si="74"/>
        <v>260</v>
      </c>
      <c r="BC84" s="492">
        <v>0</v>
      </c>
      <c r="BD84" s="493">
        <v>0.85</v>
      </c>
      <c r="BE84" s="501">
        <f t="shared" si="75"/>
        <v>260.95</v>
      </c>
      <c r="BF84" s="502">
        <f t="shared" si="76"/>
        <v>2.3499999999999996</v>
      </c>
      <c r="BG84" s="492">
        <v>4</v>
      </c>
      <c r="BH84" s="492" t="s">
        <v>300</v>
      </c>
      <c r="BI84" s="500">
        <f t="shared" si="77"/>
        <v>1</v>
      </c>
      <c r="BJ84" s="497">
        <f t="shared" si="78"/>
        <v>307</v>
      </c>
      <c r="BK84" s="502">
        <f t="shared" si="79"/>
        <v>0</v>
      </c>
      <c r="BL84" s="493">
        <v>1</v>
      </c>
      <c r="BM84" s="497">
        <f t="shared" si="80"/>
        <v>307</v>
      </c>
      <c r="BN84" s="492">
        <v>9</v>
      </c>
      <c r="BO84" s="500">
        <f t="shared" si="81"/>
        <v>1</v>
      </c>
      <c r="BP84" s="502">
        <f t="shared" si="82"/>
        <v>0</v>
      </c>
      <c r="BQ84" s="568">
        <v>1</v>
      </c>
      <c r="BR84" s="580"/>
      <c r="BS84" s="594">
        <v>42048</v>
      </c>
      <c r="BT84" s="503">
        <f t="shared" si="83"/>
        <v>42413</v>
      </c>
      <c r="BU84" s="546">
        <v>67</v>
      </c>
      <c r="BV84" s="546">
        <v>2</v>
      </c>
      <c r="BW84" s="504">
        <f t="shared" si="84"/>
        <v>0</v>
      </c>
      <c r="BX84" s="505">
        <f t="shared" si="85"/>
        <v>1</v>
      </c>
      <c r="BY84" s="497">
        <f t="shared" si="86"/>
        <v>307</v>
      </c>
      <c r="BZ84" s="595">
        <f t="shared" si="87"/>
        <v>0</v>
      </c>
      <c r="CA84" s="537"/>
      <c r="CB84" s="568">
        <v>1</v>
      </c>
      <c r="CC84" s="605">
        <f t="shared" si="88"/>
        <v>307</v>
      </c>
      <c r="CD84" s="537">
        <v>2</v>
      </c>
      <c r="CE84" s="506" t="str">
        <f t="shared" si="89"/>
        <v>Excellent coverage</v>
      </c>
      <c r="CF84" s="492">
        <v>0</v>
      </c>
      <c r="CG84" s="538" t="s">
        <v>65</v>
      </c>
      <c r="CH84" s="580" t="s">
        <v>850</v>
      </c>
    </row>
    <row r="85" spans="2:86" s="40" customFormat="1" ht="30" customHeight="1" x14ac:dyDescent="0.2">
      <c r="B85" s="527" t="s">
        <v>158</v>
      </c>
      <c r="C85" s="488" t="s">
        <v>679</v>
      </c>
      <c r="D85" s="117" t="s">
        <v>265</v>
      </c>
      <c r="E85" s="488" t="s">
        <v>176</v>
      </c>
      <c r="F85" s="117">
        <v>97.443702000000002</v>
      </c>
      <c r="G85" s="117">
        <v>25.351241999999999</v>
      </c>
      <c r="H85" s="117" t="s">
        <v>509</v>
      </c>
      <c r="I85" s="117" t="s">
        <v>218</v>
      </c>
      <c r="J85" s="546">
        <v>91</v>
      </c>
      <c r="K85" s="546">
        <v>368</v>
      </c>
      <c r="L85" s="546">
        <v>268</v>
      </c>
      <c r="M85" s="490" t="str">
        <f t="shared" si="53"/>
        <v>2. Medium</v>
      </c>
      <c r="N85" s="528" t="s">
        <v>284</v>
      </c>
      <c r="O85" s="553" t="s">
        <v>284</v>
      </c>
      <c r="P85" s="545" t="str">
        <f t="shared" si="54"/>
        <v>Covered</v>
      </c>
      <c r="Q85" s="491">
        <v>42155</v>
      </c>
      <c r="R85" s="489"/>
      <c r="S85" s="491"/>
      <c r="T85" s="528" t="s">
        <v>260</v>
      </c>
      <c r="U85" s="533" t="str">
        <f t="shared" si="55"/>
        <v>Documented</v>
      </c>
      <c r="V85" s="537">
        <v>0</v>
      </c>
      <c r="W85" s="492">
        <v>0</v>
      </c>
      <c r="X85" s="538" t="s">
        <v>19</v>
      </c>
      <c r="Y85" s="537">
        <v>3</v>
      </c>
      <c r="Z85" s="492">
        <v>0</v>
      </c>
      <c r="AA85" s="538">
        <v>3000</v>
      </c>
      <c r="AB85" s="567">
        <v>0</v>
      </c>
      <c r="AC85" s="568">
        <v>0</v>
      </c>
      <c r="AD85" s="574">
        <f t="shared" si="56"/>
        <v>1</v>
      </c>
      <c r="AE85" s="495">
        <f t="shared" si="57"/>
        <v>268</v>
      </c>
      <c r="AF85" s="496">
        <f t="shared" si="58"/>
        <v>1</v>
      </c>
      <c r="AG85" s="497">
        <f t="shared" si="59"/>
        <v>268</v>
      </c>
      <c r="AH85" s="494">
        <f t="shared" si="60"/>
        <v>1</v>
      </c>
      <c r="AI85" s="497">
        <f t="shared" si="61"/>
        <v>268</v>
      </c>
      <c r="AJ85" s="498" t="str">
        <f t="shared" si="62"/>
        <v>80-100%</v>
      </c>
      <c r="AK85" s="494">
        <f t="shared" si="63"/>
        <v>0</v>
      </c>
      <c r="AL85" s="499">
        <f t="shared" si="64"/>
        <v>0</v>
      </c>
      <c r="AM85" s="497">
        <f t="shared" si="65"/>
        <v>0</v>
      </c>
      <c r="AN85" s="497">
        <f t="shared" si="66"/>
        <v>0</v>
      </c>
      <c r="AO85" s="497">
        <f t="shared" si="67"/>
        <v>0</v>
      </c>
      <c r="AP85" s="568">
        <v>1</v>
      </c>
      <c r="AQ85" s="577">
        <f t="shared" si="68"/>
        <v>268</v>
      </c>
      <c r="AR85" s="581"/>
      <c r="AS85" s="537">
        <v>2</v>
      </c>
      <c r="AT85" s="492">
        <v>0</v>
      </c>
      <c r="AU85" s="492">
        <v>6</v>
      </c>
      <c r="AV85" s="492" t="s">
        <v>299</v>
      </c>
      <c r="AW85" s="500">
        <f t="shared" si="69"/>
        <v>0.44776119402985076</v>
      </c>
      <c r="AX85" s="497">
        <f t="shared" si="70"/>
        <v>120</v>
      </c>
      <c r="AY85" s="500">
        <f t="shared" si="71"/>
        <v>0</v>
      </c>
      <c r="AZ85" s="497">
        <f t="shared" si="72"/>
        <v>0</v>
      </c>
      <c r="BA85" s="500">
        <f t="shared" si="73"/>
        <v>0.44776119402985076</v>
      </c>
      <c r="BB85" s="497">
        <f t="shared" si="74"/>
        <v>120</v>
      </c>
      <c r="BC85" s="492">
        <v>0</v>
      </c>
      <c r="BD85" s="493">
        <v>0.45</v>
      </c>
      <c r="BE85" s="501">
        <f t="shared" si="75"/>
        <v>120.60000000000001</v>
      </c>
      <c r="BF85" s="502">
        <f t="shared" si="76"/>
        <v>7.4</v>
      </c>
      <c r="BG85" s="492">
        <v>3</v>
      </c>
      <c r="BH85" s="492" t="s">
        <v>300</v>
      </c>
      <c r="BI85" s="500">
        <f t="shared" si="77"/>
        <v>1</v>
      </c>
      <c r="BJ85" s="497">
        <f t="shared" si="78"/>
        <v>268</v>
      </c>
      <c r="BK85" s="502">
        <f t="shared" si="79"/>
        <v>0.68000000000000016</v>
      </c>
      <c r="BL85" s="493">
        <v>1</v>
      </c>
      <c r="BM85" s="497">
        <f t="shared" si="80"/>
        <v>268</v>
      </c>
      <c r="BN85" s="492">
        <v>6</v>
      </c>
      <c r="BO85" s="500">
        <f t="shared" si="81"/>
        <v>1</v>
      </c>
      <c r="BP85" s="502">
        <f t="shared" si="82"/>
        <v>0</v>
      </c>
      <c r="BQ85" s="568">
        <v>1</v>
      </c>
      <c r="BR85" s="580"/>
      <c r="BS85" s="594">
        <v>42048</v>
      </c>
      <c r="BT85" s="503">
        <f t="shared" si="83"/>
        <v>42413</v>
      </c>
      <c r="BU85" s="546">
        <v>91</v>
      </c>
      <c r="BV85" s="546">
        <v>2</v>
      </c>
      <c r="BW85" s="504">
        <f t="shared" si="84"/>
        <v>0</v>
      </c>
      <c r="BX85" s="505">
        <f t="shared" si="85"/>
        <v>1</v>
      </c>
      <c r="BY85" s="497">
        <f t="shared" si="86"/>
        <v>268</v>
      </c>
      <c r="BZ85" s="595">
        <f t="shared" si="87"/>
        <v>0</v>
      </c>
      <c r="CA85" s="537"/>
      <c r="CB85" s="568">
        <v>1</v>
      </c>
      <c r="CC85" s="605">
        <f t="shared" si="88"/>
        <v>268</v>
      </c>
      <c r="CD85" s="537">
        <v>2</v>
      </c>
      <c r="CE85" s="506" t="str">
        <f t="shared" si="89"/>
        <v>Excellent coverage</v>
      </c>
      <c r="CF85" s="492">
        <v>0</v>
      </c>
      <c r="CG85" s="538" t="s">
        <v>65</v>
      </c>
      <c r="CH85" s="580"/>
    </row>
    <row r="86" spans="2:86" s="40" customFormat="1" ht="30" customHeight="1" x14ac:dyDescent="0.2">
      <c r="B86" s="527" t="s">
        <v>158</v>
      </c>
      <c r="C86" s="488" t="s">
        <v>680</v>
      </c>
      <c r="D86" s="117" t="s">
        <v>265</v>
      </c>
      <c r="E86" s="488" t="s">
        <v>177</v>
      </c>
      <c r="F86" s="117">
        <v>97.438259000000002</v>
      </c>
      <c r="G86" s="117">
        <v>25.355841999999999</v>
      </c>
      <c r="H86" s="117" t="s">
        <v>509</v>
      </c>
      <c r="I86" s="117" t="s">
        <v>218</v>
      </c>
      <c r="J86" s="546">
        <v>33</v>
      </c>
      <c r="K86" s="546">
        <v>85</v>
      </c>
      <c r="L86" s="546">
        <v>85</v>
      </c>
      <c r="M86" s="490" t="str">
        <f t="shared" si="53"/>
        <v>1. Small</v>
      </c>
      <c r="N86" s="528" t="s">
        <v>239</v>
      </c>
      <c r="O86" s="553" t="s">
        <v>239</v>
      </c>
      <c r="P86" s="545" t="str">
        <f t="shared" si="54"/>
        <v>Covered</v>
      </c>
      <c r="Q86" s="491">
        <v>42185</v>
      </c>
      <c r="R86" s="489" t="s">
        <v>240</v>
      </c>
      <c r="S86" s="491">
        <v>42185</v>
      </c>
      <c r="T86" s="528" t="s">
        <v>260</v>
      </c>
      <c r="U86" s="533" t="str">
        <f t="shared" si="55"/>
        <v>Documented</v>
      </c>
      <c r="V86" s="537">
        <v>0</v>
      </c>
      <c r="W86" s="492">
        <v>0</v>
      </c>
      <c r="X86" s="538" t="s">
        <v>19</v>
      </c>
      <c r="Y86" s="537">
        <v>2</v>
      </c>
      <c r="Z86" s="492">
        <v>0</v>
      </c>
      <c r="AA86" s="538">
        <v>6000</v>
      </c>
      <c r="AB86" s="567">
        <v>0</v>
      </c>
      <c r="AC86" s="568">
        <v>1</v>
      </c>
      <c r="AD86" s="574">
        <f t="shared" si="56"/>
        <v>1</v>
      </c>
      <c r="AE86" s="495">
        <f t="shared" si="57"/>
        <v>85</v>
      </c>
      <c r="AF86" s="496">
        <f t="shared" si="58"/>
        <v>1</v>
      </c>
      <c r="AG86" s="497">
        <f t="shared" si="59"/>
        <v>85</v>
      </c>
      <c r="AH86" s="494">
        <f t="shared" si="60"/>
        <v>1</v>
      </c>
      <c r="AI86" s="497">
        <f t="shared" si="61"/>
        <v>85</v>
      </c>
      <c r="AJ86" s="498" t="str">
        <f t="shared" si="62"/>
        <v>80-100%</v>
      </c>
      <c r="AK86" s="494">
        <f t="shared" si="63"/>
        <v>0</v>
      </c>
      <c r="AL86" s="499">
        <f t="shared" si="64"/>
        <v>0</v>
      </c>
      <c r="AM86" s="497">
        <f t="shared" si="65"/>
        <v>0</v>
      </c>
      <c r="AN86" s="497">
        <f t="shared" si="66"/>
        <v>33</v>
      </c>
      <c r="AO86" s="497">
        <f t="shared" si="67"/>
        <v>0</v>
      </c>
      <c r="AP86" s="568">
        <v>1</v>
      </c>
      <c r="AQ86" s="577">
        <f t="shared" si="68"/>
        <v>85</v>
      </c>
      <c r="AR86" s="581"/>
      <c r="AS86" s="537">
        <v>0</v>
      </c>
      <c r="AT86" s="492">
        <v>0</v>
      </c>
      <c r="AU86" s="492">
        <v>16</v>
      </c>
      <c r="AV86" s="492" t="s">
        <v>300</v>
      </c>
      <c r="AW86" s="500">
        <f t="shared" si="69"/>
        <v>1</v>
      </c>
      <c r="AX86" s="497">
        <f t="shared" si="70"/>
        <v>85</v>
      </c>
      <c r="AY86" s="500">
        <f t="shared" si="71"/>
        <v>0</v>
      </c>
      <c r="AZ86" s="497">
        <f t="shared" si="72"/>
        <v>0</v>
      </c>
      <c r="BA86" s="500">
        <f t="shared" si="73"/>
        <v>1</v>
      </c>
      <c r="BB86" s="497">
        <f t="shared" si="74"/>
        <v>85</v>
      </c>
      <c r="BC86" s="492">
        <v>0</v>
      </c>
      <c r="BD86" s="493">
        <v>1</v>
      </c>
      <c r="BE86" s="501">
        <f t="shared" si="75"/>
        <v>85</v>
      </c>
      <c r="BF86" s="502">
        <f t="shared" si="76"/>
        <v>0</v>
      </c>
      <c r="BG86" s="492">
        <v>1</v>
      </c>
      <c r="BH86" s="492" t="s">
        <v>91</v>
      </c>
      <c r="BI86" s="500">
        <f t="shared" si="77"/>
        <v>1</v>
      </c>
      <c r="BJ86" s="497">
        <f t="shared" si="78"/>
        <v>85</v>
      </c>
      <c r="BK86" s="502">
        <f t="shared" si="79"/>
        <v>0</v>
      </c>
      <c r="BL86" s="493">
        <v>1</v>
      </c>
      <c r="BM86" s="497">
        <f t="shared" si="80"/>
        <v>85</v>
      </c>
      <c r="BN86" s="492">
        <v>3</v>
      </c>
      <c r="BO86" s="500">
        <f t="shared" si="81"/>
        <v>1</v>
      </c>
      <c r="BP86" s="502">
        <f t="shared" si="82"/>
        <v>0</v>
      </c>
      <c r="BQ86" s="568">
        <v>1</v>
      </c>
      <c r="BR86" s="580"/>
      <c r="BS86" s="594">
        <v>42053</v>
      </c>
      <c r="BT86" s="503">
        <f t="shared" si="83"/>
        <v>42418</v>
      </c>
      <c r="BU86" s="546">
        <v>33</v>
      </c>
      <c r="BV86" s="546">
        <v>3</v>
      </c>
      <c r="BW86" s="504">
        <f t="shared" si="84"/>
        <v>0</v>
      </c>
      <c r="BX86" s="505">
        <f t="shared" si="85"/>
        <v>1</v>
      </c>
      <c r="BY86" s="497">
        <f t="shared" si="86"/>
        <v>85</v>
      </c>
      <c r="BZ86" s="595">
        <f t="shared" si="87"/>
        <v>0</v>
      </c>
      <c r="CA86" s="537"/>
      <c r="CB86" s="568">
        <v>0.8</v>
      </c>
      <c r="CC86" s="605">
        <f t="shared" si="88"/>
        <v>68</v>
      </c>
      <c r="CD86" s="537">
        <v>1</v>
      </c>
      <c r="CE86" s="506" t="str">
        <f t="shared" si="89"/>
        <v>Excellent coverage</v>
      </c>
      <c r="CF86" s="492">
        <v>0</v>
      </c>
      <c r="CG86" s="538" t="s">
        <v>302</v>
      </c>
      <c r="CH86" s="580"/>
    </row>
    <row r="87" spans="2:86" s="40" customFormat="1" ht="30" customHeight="1" x14ac:dyDescent="0.2">
      <c r="B87" s="527" t="s">
        <v>158</v>
      </c>
      <c r="C87" s="488" t="s">
        <v>681</v>
      </c>
      <c r="D87" s="117" t="s">
        <v>268</v>
      </c>
      <c r="E87" s="488" t="s">
        <v>789</v>
      </c>
      <c r="F87" s="117" t="s">
        <v>543</v>
      </c>
      <c r="G87" s="117" t="s">
        <v>543</v>
      </c>
      <c r="H87" s="117" t="s">
        <v>509</v>
      </c>
      <c r="I87" s="117" t="s">
        <v>226</v>
      </c>
      <c r="J87" s="546">
        <v>48</v>
      </c>
      <c r="K87" s="546">
        <v>218</v>
      </c>
      <c r="L87" s="546">
        <v>218</v>
      </c>
      <c r="M87" s="490" t="str">
        <f t="shared" si="53"/>
        <v>1. Small</v>
      </c>
      <c r="N87" s="528" t="s">
        <v>285</v>
      </c>
      <c r="O87" s="553" t="s">
        <v>237</v>
      </c>
      <c r="P87" s="545" t="str">
        <f t="shared" si="54"/>
        <v>Covered</v>
      </c>
      <c r="Q87" s="491">
        <v>42124</v>
      </c>
      <c r="R87" s="489"/>
      <c r="S87" s="491"/>
      <c r="T87" s="528" t="s">
        <v>260</v>
      </c>
      <c r="U87" s="533" t="str">
        <f t="shared" si="55"/>
        <v>Documented</v>
      </c>
      <c r="V87" s="537">
        <v>0</v>
      </c>
      <c r="W87" s="492">
        <v>0</v>
      </c>
      <c r="X87" s="538" t="s">
        <v>19</v>
      </c>
      <c r="Y87" s="537">
        <v>0</v>
      </c>
      <c r="Z87" s="492">
        <v>0</v>
      </c>
      <c r="AA87" s="538">
        <v>30240</v>
      </c>
      <c r="AB87" s="567">
        <v>0</v>
      </c>
      <c r="AC87" s="568">
        <v>1</v>
      </c>
      <c r="AD87" s="574">
        <f t="shared" si="56"/>
        <v>1</v>
      </c>
      <c r="AE87" s="495">
        <f t="shared" si="57"/>
        <v>218</v>
      </c>
      <c r="AF87" s="496">
        <f t="shared" si="58"/>
        <v>1</v>
      </c>
      <c r="AG87" s="497">
        <f t="shared" si="59"/>
        <v>218</v>
      </c>
      <c r="AH87" s="494">
        <f t="shared" si="60"/>
        <v>1</v>
      </c>
      <c r="AI87" s="497">
        <f t="shared" si="61"/>
        <v>218</v>
      </c>
      <c r="AJ87" s="498" t="str">
        <f t="shared" si="62"/>
        <v>80-100%</v>
      </c>
      <c r="AK87" s="494">
        <f t="shared" si="63"/>
        <v>0</v>
      </c>
      <c r="AL87" s="499">
        <f t="shared" si="64"/>
        <v>0</v>
      </c>
      <c r="AM87" s="497">
        <f t="shared" si="65"/>
        <v>0.54500000000000004</v>
      </c>
      <c r="AN87" s="497">
        <f t="shared" si="66"/>
        <v>48</v>
      </c>
      <c r="AO87" s="497">
        <f t="shared" si="67"/>
        <v>0</v>
      </c>
      <c r="AP87" s="568">
        <v>1</v>
      </c>
      <c r="AQ87" s="577">
        <f t="shared" si="68"/>
        <v>218</v>
      </c>
      <c r="AR87" s="581"/>
      <c r="AS87" s="537">
        <v>0</v>
      </c>
      <c r="AT87" s="492">
        <v>0</v>
      </c>
      <c r="AU87" s="492">
        <v>12</v>
      </c>
      <c r="AV87" s="492" t="s">
        <v>91</v>
      </c>
      <c r="AW87" s="500">
        <f t="shared" si="69"/>
        <v>1</v>
      </c>
      <c r="AX87" s="497">
        <f t="shared" si="70"/>
        <v>218</v>
      </c>
      <c r="AY87" s="500">
        <f t="shared" si="71"/>
        <v>0</v>
      </c>
      <c r="AZ87" s="497">
        <f t="shared" si="72"/>
        <v>0</v>
      </c>
      <c r="BA87" s="500">
        <f t="shared" si="73"/>
        <v>1</v>
      </c>
      <c r="BB87" s="497">
        <f t="shared" si="74"/>
        <v>218</v>
      </c>
      <c r="BC87" s="492">
        <v>0</v>
      </c>
      <c r="BD87" s="493">
        <v>1</v>
      </c>
      <c r="BE87" s="501">
        <f t="shared" si="75"/>
        <v>218</v>
      </c>
      <c r="BF87" s="502">
        <f t="shared" si="76"/>
        <v>0</v>
      </c>
      <c r="BG87" s="492">
        <v>4</v>
      </c>
      <c r="BH87" s="492" t="s">
        <v>91</v>
      </c>
      <c r="BI87" s="500">
        <f t="shared" si="77"/>
        <v>1</v>
      </c>
      <c r="BJ87" s="497">
        <f t="shared" si="78"/>
        <v>218</v>
      </c>
      <c r="BK87" s="502">
        <f t="shared" si="79"/>
        <v>0</v>
      </c>
      <c r="BL87" s="493">
        <v>1</v>
      </c>
      <c r="BM87" s="497">
        <f t="shared" si="80"/>
        <v>218</v>
      </c>
      <c r="BN87" s="492">
        <v>6</v>
      </c>
      <c r="BO87" s="500">
        <f t="shared" si="81"/>
        <v>1</v>
      </c>
      <c r="BP87" s="502">
        <f t="shared" si="82"/>
        <v>0</v>
      </c>
      <c r="BQ87" s="568">
        <v>1</v>
      </c>
      <c r="BR87" s="580"/>
      <c r="BS87" s="594">
        <v>41730</v>
      </c>
      <c r="BT87" s="503" t="str">
        <f t="shared" si="83"/>
        <v>To be realised</v>
      </c>
      <c r="BU87" s="546">
        <v>48</v>
      </c>
      <c r="BV87" s="546">
        <v>12</v>
      </c>
      <c r="BW87" s="504">
        <f t="shared" si="84"/>
        <v>48</v>
      </c>
      <c r="BX87" s="505">
        <f t="shared" si="85"/>
        <v>0</v>
      </c>
      <c r="BY87" s="497">
        <f t="shared" si="86"/>
        <v>0</v>
      </c>
      <c r="BZ87" s="595">
        <f t="shared" si="87"/>
        <v>0</v>
      </c>
      <c r="CA87" s="537" t="s">
        <v>918</v>
      </c>
      <c r="CB87" s="568">
        <v>0.5</v>
      </c>
      <c r="CC87" s="605">
        <f t="shared" si="88"/>
        <v>109</v>
      </c>
      <c r="CD87" s="537">
        <v>0</v>
      </c>
      <c r="CE87" s="506" t="str">
        <f t="shared" si="89"/>
        <v>No coverage</v>
      </c>
      <c r="CF87" s="492">
        <v>0</v>
      </c>
      <c r="CG87" s="538" t="s">
        <v>66</v>
      </c>
      <c r="CH87" s="580"/>
    </row>
    <row r="88" spans="2:86" s="40" customFormat="1" ht="30" customHeight="1" x14ac:dyDescent="0.2">
      <c r="B88" s="527" t="s">
        <v>158</v>
      </c>
      <c r="C88" s="488" t="s">
        <v>681</v>
      </c>
      <c r="D88" s="117" t="s">
        <v>268</v>
      </c>
      <c r="E88" s="488" t="s">
        <v>790</v>
      </c>
      <c r="F88" s="117">
        <v>97.567116999999996</v>
      </c>
      <c r="G88" s="117">
        <v>24.768383</v>
      </c>
      <c r="H88" s="117" t="s">
        <v>530</v>
      </c>
      <c r="I88" s="117" t="s">
        <v>226</v>
      </c>
      <c r="J88" s="546">
        <v>659</v>
      </c>
      <c r="K88" s="546">
        <v>3541</v>
      </c>
      <c r="L88" s="546">
        <v>3541</v>
      </c>
      <c r="M88" s="490" t="str">
        <f t="shared" si="53"/>
        <v>4. Big</v>
      </c>
      <c r="N88" s="528"/>
      <c r="O88" s="553" t="s">
        <v>237</v>
      </c>
      <c r="P88" s="545" t="str">
        <f t="shared" si="54"/>
        <v>Covered</v>
      </c>
      <c r="Q88" s="491">
        <v>42124</v>
      </c>
      <c r="R88" s="489"/>
      <c r="S88" s="491"/>
      <c r="T88" s="528" t="s">
        <v>260</v>
      </c>
      <c r="U88" s="533" t="str">
        <f t="shared" si="55"/>
        <v>Documented</v>
      </c>
      <c r="V88" s="537">
        <v>0</v>
      </c>
      <c r="W88" s="492">
        <v>0</v>
      </c>
      <c r="X88" s="538" t="s">
        <v>19</v>
      </c>
      <c r="Y88" s="537">
        <v>3</v>
      </c>
      <c r="Z88" s="492">
        <v>0</v>
      </c>
      <c r="AA88" s="538">
        <v>70000</v>
      </c>
      <c r="AB88" s="567">
        <v>0</v>
      </c>
      <c r="AC88" s="568">
        <v>1</v>
      </c>
      <c r="AD88" s="574">
        <f t="shared" si="56"/>
        <v>1</v>
      </c>
      <c r="AE88" s="495">
        <f t="shared" si="57"/>
        <v>3541</v>
      </c>
      <c r="AF88" s="496">
        <f t="shared" si="58"/>
        <v>1</v>
      </c>
      <c r="AG88" s="497">
        <f t="shared" si="59"/>
        <v>3541</v>
      </c>
      <c r="AH88" s="494">
        <f t="shared" si="60"/>
        <v>1</v>
      </c>
      <c r="AI88" s="497">
        <f t="shared" si="61"/>
        <v>3541</v>
      </c>
      <c r="AJ88" s="498" t="str">
        <f t="shared" si="62"/>
        <v>80-100%</v>
      </c>
      <c r="AK88" s="494">
        <f t="shared" si="63"/>
        <v>0</v>
      </c>
      <c r="AL88" s="499">
        <f t="shared" si="64"/>
        <v>0</v>
      </c>
      <c r="AM88" s="497">
        <f t="shared" si="65"/>
        <v>5.8524999999999991</v>
      </c>
      <c r="AN88" s="497">
        <f t="shared" si="66"/>
        <v>659</v>
      </c>
      <c r="AO88" s="497">
        <f t="shared" si="67"/>
        <v>0</v>
      </c>
      <c r="AP88" s="568">
        <v>1</v>
      </c>
      <c r="AQ88" s="577">
        <f t="shared" si="68"/>
        <v>3541</v>
      </c>
      <c r="AR88" s="581"/>
      <c r="AS88" s="537">
        <v>0</v>
      </c>
      <c r="AT88" s="492">
        <v>0</v>
      </c>
      <c r="AU88" s="492">
        <v>659</v>
      </c>
      <c r="AV88" s="492" t="s">
        <v>91</v>
      </c>
      <c r="AW88" s="500">
        <f t="shared" si="69"/>
        <v>1</v>
      </c>
      <c r="AX88" s="497">
        <f t="shared" si="70"/>
        <v>3541</v>
      </c>
      <c r="AY88" s="500">
        <f t="shared" si="71"/>
        <v>0</v>
      </c>
      <c r="AZ88" s="497">
        <f t="shared" si="72"/>
        <v>0</v>
      </c>
      <c r="BA88" s="500">
        <f t="shared" si="73"/>
        <v>1</v>
      </c>
      <c r="BB88" s="497">
        <f t="shared" si="74"/>
        <v>3541</v>
      </c>
      <c r="BC88" s="492">
        <v>0</v>
      </c>
      <c r="BD88" s="493">
        <v>1</v>
      </c>
      <c r="BE88" s="501">
        <f t="shared" si="75"/>
        <v>3541</v>
      </c>
      <c r="BF88" s="502">
        <f t="shared" si="76"/>
        <v>0</v>
      </c>
      <c r="BG88" s="492">
        <v>0</v>
      </c>
      <c r="BH88" s="492" t="s">
        <v>91</v>
      </c>
      <c r="BI88" s="500">
        <f t="shared" si="77"/>
        <v>0</v>
      </c>
      <c r="BJ88" s="497">
        <f t="shared" si="78"/>
        <v>0</v>
      </c>
      <c r="BK88" s="502">
        <f t="shared" si="79"/>
        <v>35.409999999999997</v>
      </c>
      <c r="BL88" s="493">
        <v>0</v>
      </c>
      <c r="BM88" s="497">
        <f t="shared" si="80"/>
        <v>0</v>
      </c>
      <c r="BN88" s="492">
        <v>0</v>
      </c>
      <c r="BO88" s="500">
        <f t="shared" si="81"/>
        <v>0</v>
      </c>
      <c r="BP88" s="502">
        <f t="shared" si="82"/>
        <v>35.409999999999997</v>
      </c>
      <c r="BQ88" s="568">
        <v>0</v>
      </c>
      <c r="BR88" s="580" t="s">
        <v>913</v>
      </c>
      <c r="BS88" s="594">
        <v>41730</v>
      </c>
      <c r="BT88" s="503" t="str">
        <f>IF(BS88="","To be realised",IF(BS88="n/a","n/a",IF(BS88+365&lt;$E$2,"To be realised",BS88+365)))</f>
        <v>To be realised</v>
      </c>
      <c r="BU88" s="546">
        <v>659</v>
      </c>
      <c r="BV88" s="546">
        <v>12</v>
      </c>
      <c r="BW88" s="504">
        <f>IF(BT88="n/a",0,IF(BT88="To be realised",J88,IF((J88-BU88)&lt;0,0,(J88-BU88))))</f>
        <v>659</v>
      </c>
      <c r="BX88" s="505">
        <f t="shared" si="85"/>
        <v>0</v>
      </c>
      <c r="BY88" s="497">
        <f t="shared" si="86"/>
        <v>0</v>
      </c>
      <c r="BZ88" s="595">
        <f>IF(BS88="","Column BN to be completed", IF(BS88="n/a",0,IF(($E$2-BS88-30)/30-BV88&lt;0,0,ROUND((($E$2-BS88-30)/30-BV88),0))))</f>
        <v>0</v>
      </c>
      <c r="CA88" s="537" t="s">
        <v>918</v>
      </c>
      <c r="CB88" s="568">
        <v>0</v>
      </c>
      <c r="CC88" s="605">
        <f t="shared" si="88"/>
        <v>0</v>
      </c>
      <c r="CD88" s="537">
        <v>0</v>
      </c>
      <c r="CE88" s="506" t="str">
        <f t="shared" si="89"/>
        <v>No coverage</v>
      </c>
      <c r="CF88" s="492">
        <v>0</v>
      </c>
      <c r="CG88" s="538" t="s">
        <v>66</v>
      </c>
      <c r="CH88" s="580"/>
    </row>
    <row r="89" spans="2:86" s="40" customFormat="1" ht="30" customHeight="1" x14ac:dyDescent="0.2">
      <c r="B89" s="527" t="s">
        <v>158</v>
      </c>
      <c r="C89" s="488" t="s">
        <v>681</v>
      </c>
      <c r="D89" s="117" t="s">
        <v>268</v>
      </c>
      <c r="E89" s="488" t="s">
        <v>178</v>
      </c>
      <c r="F89" s="117">
        <v>97.567116999999996</v>
      </c>
      <c r="G89" s="117">
        <v>24.768383</v>
      </c>
      <c r="H89" s="117" t="s">
        <v>509</v>
      </c>
      <c r="I89" s="117" t="s">
        <v>226</v>
      </c>
      <c r="J89" s="546">
        <v>281</v>
      </c>
      <c r="K89" s="546">
        <v>1534</v>
      </c>
      <c r="L89" s="546">
        <v>1534</v>
      </c>
      <c r="M89" s="490" t="str">
        <f t="shared" si="53"/>
        <v>3. Large</v>
      </c>
      <c r="N89" s="528" t="s">
        <v>285</v>
      </c>
      <c r="O89" s="553" t="s">
        <v>237</v>
      </c>
      <c r="P89" s="545" t="str">
        <f t="shared" si="54"/>
        <v>Covered</v>
      </c>
      <c r="Q89" s="491">
        <v>42124</v>
      </c>
      <c r="R89" s="489"/>
      <c r="S89" s="491"/>
      <c r="T89" s="528" t="s">
        <v>260</v>
      </c>
      <c r="U89" s="533" t="str">
        <f t="shared" si="55"/>
        <v>Documented</v>
      </c>
      <c r="V89" s="537">
        <v>0</v>
      </c>
      <c r="W89" s="492">
        <v>0</v>
      </c>
      <c r="X89" s="538" t="s">
        <v>19</v>
      </c>
      <c r="Y89" s="537">
        <v>0</v>
      </c>
      <c r="Z89" s="492">
        <v>0</v>
      </c>
      <c r="AA89" s="538">
        <v>53805</v>
      </c>
      <c r="AB89" s="567">
        <v>0</v>
      </c>
      <c r="AC89" s="568">
        <v>1</v>
      </c>
      <c r="AD89" s="574">
        <f t="shared" si="56"/>
        <v>1</v>
      </c>
      <c r="AE89" s="495">
        <f t="shared" si="57"/>
        <v>1534</v>
      </c>
      <c r="AF89" s="496">
        <f t="shared" si="58"/>
        <v>1</v>
      </c>
      <c r="AG89" s="497">
        <f t="shared" si="59"/>
        <v>1534</v>
      </c>
      <c r="AH89" s="494">
        <f t="shared" si="60"/>
        <v>1</v>
      </c>
      <c r="AI89" s="497">
        <f t="shared" si="61"/>
        <v>1534</v>
      </c>
      <c r="AJ89" s="498" t="str">
        <f t="shared" si="62"/>
        <v>80-100%</v>
      </c>
      <c r="AK89" s="494">
        <f t="shared" si="63"/>
        <v>0</v>
      </c>
      <c r="AL89" s="499">
        <f t="shared" si="64"/>
        <v>0</v>
      </c>
      <c r="AM89" s="497">
        <f t="shared" si="65"/>
        <v>3.835</v>
      </c>
      <c r="AN89" s="497">
        <f t="shared" si="66"/>
        <v>281</v>
      </c>
      <c r="AO89" s="497">
        <f t="shared" si="67"/>
        <v>0</v>
      </c>
      <c r="AP89" s="568">
        <v>1</v>
      </c>
      <c r="AQ89" s="577">
        <f t="shared" si="68"/>
        <v>1534</v>
      </c>
      <c r="AR89" s="581"/>
      <c r="AS89" s="537">
        <v>0</v>
      </c>
      <c r="AT89" s="492">
        <v>29</v>
      </c>
      <c r="AU89" s="492">
        <v>53</v>
      </c>
      <c r="AV89" s="492" t="s">
        <v>91</v>
      </c>
      <c r="AW89" s="500">
        <f t="shared" si="69"/>
        <v>1</v>
      </c>
      <c r="AX89" s="497">
        <f t="shared" si="70"/>
        <v>1534</v>
      </c>
      <c r="AY89" s="500">
        <f t="shared" si="71"/>
        <v>0.30899608865710559</v>
      </c>
      <c r="AZ89" s="497">
        <f t="shared" si="72"/>
        <v>474</v>
      </c>
      <c r="BA89" s="500">
        <f t="shared" si="73"/>
        <v>0.69100391134289441</v>
      </c>
      <c r="BB89" s="497">
        <f t="shared" si="74"/>
        <v>1060</v>
      </c>
      <c r="BC89" s="492">
        <v>0</v>
      </c>
      <c r="BD89" s="493">
        <v>1</v>
      </c>
      <c r="BE89" s="501">
        <f t="shared" si="75"/>
        <v>1534</v>
      </c>
      <c r="BF89" s="502">
        <f t="shared" si="76"/>
        <v>23.700000000000003</v>
      </c>
      <c r="BG89" s="492">
        <v>16</v>
      </c>
      <c r="BH89" s="492" t="s">
        <v>91</v>
      </c>
      <c r="BI89" s="500">
        <f t="shared" si="77"/>
        <v>1</v>
      </c>
      <c r="BJ89" s="497">
        <f t="shared" si="78"/>
        <v>1534</v>
      </c>
      <c r="BK89" s="502">
        <f t="shared" si="79"/>
        <v>0</v>
      </c>
      <c r="BL89" s="493">
        <v>1</v>
      </c>
      <c r="BM89" s="497">
        <f t="shared" si="80"/>
        <v>1534</v>
      </c>
      <c r="BN89" s="492">
        <v>7</v>
      </c>
      <c r="BO89" s="500">
        <f t="shared" si="81"/>
        <v>0.45632333767926986</v>
      </c>
      <c r="BP89" s="502">
        <f t="shared" si="82"/>
        <v>8.34</v>
      </c>
      <c r="BQ89" s="568">
        <v>0.46</v>
      </c>
      <c r="BR89" s="580" t="s">
        <v>914</v>
      </c>
      <c r="BS89" s="594">
        <v>41730</v>
      </c>
      <c r="BT89" s="503" t="str">
        <f t="shared" ref="BT89:BT152" si="90">IF(BS89="","To be realised",IF(BS89="n/a","n/a",IF(BS89+365&lt;$E$2,"To be realised",BS89+365)))</f>
        <v>To be realised</v>
      </c>
      <c r="BU89" s="546">
        <v>281</v>
      </c>
      <c r="BV89" s="546">
        <v>12</v>
      </c>
      <c r="BW89" s="504">
        <f t="shared" ref="BW89:BW152" si="91">IF(BT89="n/a",0,IF(BT89="To be realised",J89,IF((J89-BU89)&lt;0,0,(J89-BU89))))</f>
        <v>281</v>
      </c>
      <c r="BX89" s="505">
        <f t="shared" si="85"/>
        <v>0</v>
      </c>
      <c r="BY89" s="497">
        <f t="shared" si="86"/>
        <v>0</v>
      </c>
      <c r="BZ89" s="595">
        <f t="shared" ref="BZ89:BZ152" si="92">IF(BS89="","Column BN to be completed", IF(BS89="n/a",0,IF(($E$2-BS89-30)/30-BV89&lt;0,0,ROUND((($E$2-BS89-30)/30-BV89),0))))</f>
        <v>0</v>
      </c>
      <c r="CA89" s="537" t="s">
        <v>918</v>
      </c>
      <c r="CB89" s="568">
        <v>0.5</v>
      </c>
      <c r="CC89" s="605">
        <f t="shared" si="88"/>
        <v>767</v>
      </c>
      <c r="CD89" s="537">
        <v>5</v>
      </c>
      <c r="CE89" s="506" t="str">
        <f t="shared" si="89"/>
        <v>Excellent coverage</v>
      </c>
      <c r="CF89" s="492">
        <v>0</v>
      </c>
      <c r="CG89" s="538" t="s">
        <v>302</v>
      </c>
      <c r="CH89" s="580"/>
    </row>
    <row r="90" spans="2:86" s="40" customFormat="1" ht="30" customHeight="1" x14ac:dyDescent="0.2">
      <c r="B90" s="527" t="s">
        <v>158</v>
      </c>
      <c r="C90" s="488" t="s">
        <v>682</v>
      </c>
      <c r="D90" s="117" t="s">
        <v>268</v>
      </c>
      <c r="E90" s="488" t="s">
        <v>179</v>
      </c>
      <c r="F90" s="117">
        <v>97.756789999999995</v>
      </c>
      <c r="G90" s="117">
        <v>25.106670000000001</v>
      </c>
      <c r="H90" s="117" t="s">
        <v>509</v>
      </c>
      <c r="I90" s="117" t="s">
        <v>226</v>
      </c>
      <c r="J90" s="546">
        <v>646</v>
      </c>
      <c r="K90" s="546">
        <v>2440</v>
      </c>
      <c r="L90" s="546">
        <v>2440</v>
      </c>
      <c r="M90" s="490" t="str">
        <f t="shared" si="53"/>
        <v>4. Big</v>
      </c>
      <c r="N90" s="528" t="s">
        <v>239</v>
      </c>
      <c r="O90" s="553" t="s">
        <v>239</v>
      </c>
      <c r="P90" s="545" t="str">
        <f t="shared" si="54"/>
        <v>Covered</v>
      </c>
      <c r="Q90" s="491">
        <v>42185</v>
      </c>
      <c r="R90" s="489" t="s">
        <v>240</v>
      </c>
      <c r="S90" s="491">
        <v>42185</v>
      </c>
      <c r="T90" s="528" t="s">
        <v>260</v>
      </c>
      <c r="U90" s="533" t="str">
        <f t="shared" si="55"/>
        <v>Documented</v>
      </c>
      <c r="V90" s="537">
        <v>0</v>
      </c>
      <c r="W90" s="492">
        <v>0</v>
      </c>
      <c r="X90" s="538" t="s">
        <v>19</v>
      </c>
      <c r="Y90" s="537">
        <v>0</v>
      </c>
      <c r="Z90" s="492">
        <v>0</v>
      </c>
      <c r="AA90" s="538">
        <v>40000</v>
      </c>
      <c r="AB90" s="567">
        <v>0</v>
      </c>
      <c r="AC90" s="568">
        <v>0</v>
      </c>
      <c r="AD90" s="574">
        <f t="shared" si="56"/>
        <v>1</v>
      </c>
      <c r="AE90" s="495">
        <f t="shared" si="57"/>
        <v>2440</v>
      </c>
      <c r="AF90" s="496">
        <f t="shared" si="58"/>
        <v>1</v>
      </c>
      <c r="AG90" s="497">
        <f t="shared" si="59"/>
        <v>2440</v>
      </c>
      <c r="AH90" s="494">
        <f t="shared" si="60"/>
        <v>1</v>
      </c>
      <c r="AI90" s="497">
        <f t="shared" si="61"/>
        <v>2440</v>
      </c>
      <c r="AJ90" s="498" t="str">
        <f t="shared" si="62"/>
        <v>80-100%</v>
      </c>
      <c r="AK90" s="494">
        <f t="shared" si="63"/>
        <v>0</v>
      </c>
      <c r="AL90" s="499">
        <f t="shared" si="64"/>
        <v>0</v>
      </c>
      <c r="AM90" s="497">
        <f t="shared" si="65"/>
        <v>6.1</v>
      </c>
      <c r="AN90" s="497">
        <f t="shared" si="66"/>
        <v>0</v>
      </c>
      <c r="AO90" s="497">
        <f t="shared" si="67"/>
        <v>0</v>
      </c>
      <c r="AP90" s="568">
        <v>1</v>
      </c>
      <c r="AQ90" s="577">
        <f t="shared" si="68"/>
        <v>2440</v>
      </c>
      <c r="AR90" s="581" t="s">
        <v>900</v>
      </c>
      <c r="AS90" s="537">
        <v>80</v>
      </c>
      <c r="AT90" s="492">
        <v>160</v>
      </c>
      <c r="AU90" s="492">
        <v>0</v>
      </c>
      <c r="AV90" s="492" t="s">
        <v>299</v>
      </c>
      <c r="AW90" s="500">
        <f t="shared" si="69"/>
        <v>1</v>
      </c>
      <c r="AX90" s="497">
        <f t="shared" si="70"/>
        <v>2440</v>
      </c>
      <c r="AY90" s="500">
        <f t="shared" si="71"/>
        <v>1</v>
      </c>
      <c r="AZ90" s="497">
        <f t="shared" si="72"/>
        <v>2440</v>
      </c>
      <c r="BA90" s="500">
        <f t="shared" si="73"/>
        <v>0</v>
      </c>
      <c r="BB90" s="497">
        <f t="shared" si="74"/>
        <v>0</v>
      </c>
      <c r="BC90" s="492">
        <v>0</v>
      </c>
      <c r="BD90" s="493">
        <v>1</v>
      </c>
      <c r="BE90" s="501">
        <f t="shared" si="75"/>
        <v>2440</v>
      </c>
      <c r="BF90" s="502">
        <f t="shared" si="76"/>
        <v>122</v>
      </c>
      <c r="BG90" s="492">
        <v>12</v>
      </c>
      <c r="BH90" s="492" t="s">
        <v>300</v>
      </c>
      <c r="BI90" s="500">
        <f t="shared" si="77"/>
        <v>0.49180327868852458</v>
      </c>
      <c r="BJ90" s="497">
        <f t="shared" si="78"/>
        <v>1200</v>
      </c>
      <c r="BK90" s="502">
        <f t="shared" si="79"/>
        <v>12.399999999999999</v>
      </c>
      <c r="BL90" s="493">
        <v>0.49</v>
      </c>
      <c r="BM90" s="497">
        <f t="shared" si="80"/>
        <v>1195.5999999999999</v>
      </c>
      <c r="BN90" s="492">
        <v>0</v>
      </c>
      <c r="BO90" s="500">
        <f t="shared" si="81"/>
        <v>0</v>
      </c>
      <c r="BP90" s="502">
        <f t="shared" si="82"/>
        <v>24.4</v>
      </c>
      <c r="BQ90" s="568">
        <v>0</v>
      </c>
      <c r="BR90" s="580" t="s">
        <v>915</v>
      </c>
      <c r="BS90" s="594">
        <v>42053</v>
      </c>
      <c r="BT90" s="503">
        <f t="shared" si="90"/>
        <v>42418</v>
      </c>
      <c r="BU90" s="546">
        <v>646</v>
      </c>
      <c r="BV90" s="546">
        <v>3</v>
      </c>
      <c r="BW90" s="504">
        <f t="shared" si="91"/>
        <v>0</v>
      </c>
      <c r="BX90" s="505">
        <f t="shared" si="85"/>
        <v>1</v>
      </c>
      <c r="BY90" s="497">
        <f t="shared" si="86"/>
        <v>2440</v>
      </c>
      <c r="BZ90" s="595">
        <f t="shared" si="92"/>
        <v>0</v>
      </c>
      <c r="CA90" s="537"/>
      <c r="CB90" s="568">
        <v>0.8</v>
      </c>
      <c r="CC90" s="605">
        <f t="shared" si="88"/>
        <v>1952</v>
      </c>
      <c r="CD90" s="537">
        <v>5</v>
      </c>
      <c r="CE90" s="506" t="str">
        <f t="shared" si="89"/>
        <v>Excellent coverage</v>
      </c>
      <c r="CF90" s="492">
        <v>0</v>
      </c>
      <c r="CG90" s="538" t="s">
        <v>302</v>
      </c>
      <c r="CH90" s="580"/>
    </row>
    <row r="91" spans="2:86" s="40" customFormat="1" ht="30" customHeight="1" x14ac:dyDescent="0.2">
      <c r="B91" s="527" t="s">
        <v>107</v>
      </c>
      <c r="C91" s="488"/>
      <c r="D91" s="117" t="s">
        <v>323</v>
      </c>
      <c r="E91" s="488" t="s">
        <v>542</v>
      </c>
      <c r="F91" s="117">
        <v>98.134313888888897</v>
      </c>
      <c r="G91" s="117">
        <v>25.8873472222222</v>
      </c>
      <c r="H91" s="117" t="s">
        <v>510</v>
      </c>
      <c r="I91" s="117" t="s">
        <v>218</v>
      </c>
      <c r="J91" s="546">
        <v>0</v>
      </c>
      <c r="K91" s="546">
        <v>45</v>
      </c>
      <c r="L91" s="546">
        <v>45</v>
      </c>
      <c r="M91" s="490" t="str">
        <f t="shared" si="53"/>
        <v>1. Small</v>
      </c>
      <c r="N91" s="528" t="s">
        <v>235</v>
      </c>
      <c r="O91" s="553" t="s">
        <v>235</v>
      </c>
      <c r="P91" s="545" t="str">
        <f t="shared" si="54"/>
        <v>Covered</v>
      </c>
      <c r="Q91" s="491" t="s">
        <v>708</v>
      </c>
      <c r="R91" s="489"/>
      <c r="S91" s="491"/>
      <c r="T91" s="528" t="s">
        <v>260</v>
      </c>
      <c r="U91" s="533" t="str">
        <f t="shared" si="55"/>
        <v>Documented</v>
      </c>
      <c r="V91" s="537">
        <v>0</v>
      </c>
      <c r="W91" s="492">
        <v>0</v>
      </c>
      <c r="X91" s="538" t="s">
        <v>19</v>
      </c>
      <c r="Y91" s="537">
        <v>0</v>
      </c>
      <c r="Z91" s="492">
        <v>0</v>
      </c>
      <c r="AA91" s="538">
        <v>860</v>
      </c>
      <c r="AB91" s="567">
        <v>0</v>
      </c>
      <c r="AC91" s="568">
        <v>1</v>
      </c>
      <c r="AD91" s="574">
        <f t="shared" si="56"/>
        <v>1</v>
      </c>
      <c r="AE91" s="495">
        <f t="shared" si="57"/>
        <v>45</v>
      </c>
      <c r="AF91" s="496">
        <f t="shared" si="58"/>
        <v>1</v>
      </c>
      <c r="AG91" s="497">
        <f t="shared" si="59"/>
        <v>45</v>
      </c>
      <c r="AH91" s="494">
        <f t="shared" si="60"/>
        <v>1</v>
      </c>
      <c r="AI91" s="497">
        <f t="shared" si="61"/>
        <v>45</v>
      </c>
      <c r="AJ91" s="498" t="str">
        <f t="shared" si="62"/>
        <v>80-100%</v>
      </c>
      <c r="AK91" s="494">
        <f t="shared" si="63"/>
        <v>0</v>
      </c>
      <c r="AL91" s="499">
        <f t="shared" si="64"/>
        <v>0</v>
      </c>
      <c r="AM91" s="497">
        <f t="shared" si="65"/>
        <v>0.1125</v>
      </c>
      <c r="AN91" s="497">
        <f t="shared" si="66"/>
        <v>0</v>
      </c>
      <c r="AO91" s="497">
        <f t="shared" si="67"/>
        <v>0</v>
      </c>
      <c r="AP91" s="568">
        <v>1</v>
      </c>
      <c r="AQ91" s="577">
        <f t="shared" si="68"/>
        <v>45</v>
      </c>
      <c r="AR91" s="581" t="s">
        <v>902</v>
      </c>
      <c r="AS91" s="537">
        <v>4</v>
      </c>
      <c r="AT91" s="492">
        <v>2</v>
      </c>
      <c r="AU91" s="492">
        <v>2</v>
      </c>
      <c r="AV91" s="492" t="s">
        <v>300</v>
      </c>
      <c r="AW91" s="500">
        <f t="shared" si="69"/>
        <v>1</v>
      </c>
      <c r="AX91" s="497">
        <f t="shared" si="70"/>
        <v>45</v>
      </c>
      <c r="AY91" s="500">
        <f t="shared" si="71"/>
        <v>0.11111111111111116</v>
      </c>
      <c r="AZ91" s="497">
        <f t="shared" si="72"/>
        <v>5.0000000000000018</v>
      </c>
      <c r="BA91" s="500">
        <f t="shared" si="73"/>
        <v>0.88888888888888884</v>
      </c>
      <c r="BB91" s="497">
        <f t="shared" si="74"/>
        <v>40</v>
      </c>
      <c r="BC91" s="492">
        <v>0</v>
      </c>
      <c r="BD91" s="493">
        <v>1</v>
      </c>
      <c r="BE91" s="501">
        <f t="shared" si="75"/>
        <v>45</v>
      </c>
      <c r="BF91" s="502">
        <f t="shared" si="76"/>
        <v>0.25</v>
      </c>
      <c r="BG91" s="492">
        <v>2</v>
      </c>
      <c r="BH91" s="492" t="s">
        <v>300</v>
      </c>
      <c r="BI91" s="500">
        <f t="shared" si="77"/>
        <v>1</v>
      </c>
      <c r="BJ91" s="497">
        <f t="shared" si="78"/>
        <v>45</v>
      </c>
      <c r="BK91" s="502">
        <f t="shared" si="79"/>
        <v>0</v>
      </c>
      <c r="BL91" s="493">
        <v>1</v>
      </c>
      <c r="BM91" s="497">
        <f t="shared" si="80"/>
        <v>45</v>
      </c>
      <c r="BN91" s="492">
        <v>5</v>
      </c>
      <c r="BO91" s="500">
        <f t="shared" si="81"/>
        <v>1</v>
      </c>
      <c r="BP91" s="502">
        <f t="shared" si="82"/>
        <v>0</v>
      </c>
      <c r="BQ91" s="568">
        <v>1</v>
      </c>
      <c r="BR91" s="580"/>
      <c r="BS91" s="594">
        <v>41780</v>
      </c>
      <c r="BT91" s="503">
        <f t="shared" si="90"/>
        <v>42145</v>
      </c>
      <c r="BU91" s="546">
        <v>43</v>
      </c>
      <c r="BV91" s="546">
        <v>10</v>
      </c>
      <c r="BW91" s="504">
        <f t="shared" si="91"/>
        <v>0</v>
      </c>
      <c r="BX91" s="505">
        <f t="shared" si="85"/>
        <v>1</v>
      </c>
      <c r="BY91" s="497">
        <f t="shared" si="86"/>
        <v>45</v>
      </c>
      <c r="BZ91" s="595">
        <f t="shared" si="92"/>
        <v>0</v>
      </c>
      <c r="CA91" s="537"/>
      <c r="CB91" s="568">
        <v>0</v>
      </c>
      <c r="CC91" s="605">
        <f t="shared" si="88"/>
        <v>0</v>
      </c>
      <c r="CD91" s="537">
        <v>0</v>
      </c>
      <c r="CE91" s="506" t="str">
        <f t="shared" si="89"/>
        <v>No coverage</v>
      </c>
      <c r="CF91" s="492">
        <v>0</v>
      </c>
      <c r="CG91" s="538" t="s">
        <v>65</v>
      </c>
      <c r="CH91" s="580"/>
    </row>
    <row r="92" spans="2:86" s="40" customFormat="1" ht="30" customHeight="1" x14ac:dyDescent="0.2">
      <c r="B92" s="527" t="s">
        <v>158</v>
      </c>
      <c r="C92" s="488" t="s">
        <v>662</v>
      </c>
      <c r="D92" s="117" t="s">
        <v>268</v>
      </c>
      <c r="E92" s="488" t="s">
        <v>693</v>
      </c>
      <c r="F92" s="117">
        <v>97.541793999999996</v>
      </c>
      <c r="G92" s="117">
        <v>24.752471</v>
      </c>
      <c r="H92" s="117" t="s">
        <v>510</v>
      </c>
      <c r="I92" s="117" t="s">
        <v>226</v>
      </c>
      <c r="J92" s="546">
        <v>0</v>
      </c>
      <c r="K92" s="546">
        <v>391</v>
      </c>
      <c r="L92" s="546">
        <v>391</v>
      </c>
      <c r="M92" s="490" t="str">
        <f t="shared" si="53"/>
        <v>1. Small</v>
      </c>
      <c r="N92" s="528"/>
      <c r="O92" s="553" t="s">
        <v>237</v>
      </c>
      <c r="P92" s="545" t="str">
        <f t="shared" si="54"/>
        <v>Covered</v>
      </c>
      <c r="Q92" s="491">
        <v>42124</v>
      </c>
      <c r="R92" s="489"/>
      <c r="S92" s="491"/>
      <c r="T92" s="528" t="s">
        <v>260</v>
      </c>
      <c r="U92" s="533" t="str">
        <f t="shared" si="55"/>
        <v>Documented</v>
      </c>
      <c r="V92" s="537">
        <v>0</v>
      </c>
      <c r="W92" s="492">
        <v>0</v>
      </c>
      <c r="X92" s="538" t="s">
        <v>19</v>
      </c>
      <c r="Y92" s="537">
        <v>0</v>
      </c>
      <c r="Z92" s="492">
        <v>0</v>
      </c>
      <c r="AA92" s="538">
        <v>6000</v>
      </c>
      <c r="AB92" s="567">
        <v>0</v>
      </c>
      <c r="AC92" s="568">
        <v>1</v>
      </c>
      <c r="AD92" s="574">
        <f t="shared" si="56"/>
        <v>1</v>
      </c>
      <c r="AE92" s="495">
        <f t="shared" si="57"/>
        <v>391</v>
      </c>
      <c r="AF92" s="496">
        <f t="shared" si="58"/>
        <v>1</v>
      </c>
      <c r="AG92" s="497">
        <f t="shared" si="59"/>
        <v>391</v>
      </c>
      <c r="AH92" s="494">
        <f t="shared" si="60"/>
        <v>1</v>
      </c>
      <c r="AI92" s="497">
        <f t="shared" si="61"/>
        <v>391</v>
      </c>
      <c r="AJ92" s="498" t="str">
        <f t="shared" si="62"/>
        <v>80-100%</v>
      </c>
      <c r="AK92" s="494">
        <f t="shared" si="63"/>
        <v>0</v>
      </c>
      <c r="AL92" s="499">
        <f t="shared" si="64"/>
        <v>0</v>
      </c>
      <c r="AM92" s="497">
        <f t="shared" si="65"/>
        <v>0.97750000000000004</v>
      </c>
      <c r="AN92" s="497">
        <f t="shared" si="66"/>
        <v>0</v>
      </c>
      <c r="AO92" s="497">
        <f t="shared" si="67"/>
        <v>0</v>
      </c>
      <c r="AP92" s="568">
        <v>1</v>
      </c>
      <c r="AQ92" s="577">
        <f t="shared" si="68"/>
        <v>391</v>
      </c>
      <c r="AR92" s="581"/>
      <c r="AS92" s="537">
        <v>0</v>
      </c>
      <c r="AT92" s="492">
        <v>8</v>
      </c>
      <c r="AU92" s="492">
        <v>20</v>
      </c>
      <c r="AV92" s="492" t="s">
        <v>300</v>
      </c>
      <c r="AW92" s="500">
        <f t="shared" si="69"/>
        <v>1</v>
      </c>
      <c r="AX92" s="497">
        <f t="shared" si="70"/>
        <v>391</v>
      </c>
      <c r="AY92" s="500">
        <f t="shared" si="71"/>
        <v>0</v>
      </c>
      <c r="AZ92" s="497">
        <f t="shared" si="72"/>
        <v>0</v>
      </c>
      <c r="BA92" s="500">
        <f t="shared" si="73"/>
        <v>1</v>
      </c>
      <c r="BB92" s="497">
        <f t="shared" si="74"/>
        <v>391</v>
      </c>
      <c r="BC92" s="492">
        <v>0</v>
      </c>
      <c r="BD92" s="493">
        <v>1</v>
      </c>
      <c r="BE92" s="501">
        <f t="shared" si="75"/>
        <v>391</v>
      </c>
      <c r="BF92" s="502">
        <f t="shared" si="76"/>
        <v>0</v>
      </c>
      <c r="BG92" s="492">
        <v>4</v>
      </c>
      <c r="BH92" s="492" t="s">
        <v>300</v>
      </c>
      <c r="BI92" s="500">
        <f t="shared" si="77"/>
        <v>1</v>
      </c>
      <c r="BJ92" s="497">
        <f t="shared" si="78"/>
        <v>391</v>
      </c>
      <c r="BK92" s="502">
        <f t="shared" si="79"/>
        <v>0</v>
      </c>
      <c r="BL92" s="493">
        <v>1</v>
      </c>
      <c r="BM92" s="497">
        <f t="shared" si="80"/>
        <v>391</v>
      </c>
      <c r="BN92" s="492">
        <v>1</v>
      </c>
      <c r="BO92" s="500">
        <f t="shared" si="81"/>
        <v>0.25575447570332482</v>
      </c>
      <c r="BP92" s="502">
        <f t="shared" si="82"/>
        <v>2.91</v>
      </c>
      <c r="BQ92" s="568">
        <v>0.26</v>
      </c>
      <c r="BR92" s="580"/>
      <c r="BS92" s="594"/>
      <c r="BT92" s="503" t="str">
        <f t="shared" si="90"/>
        <v>To be realised</v>
      </c>
      <c r="BU92" s="546">
        <v>0</v>
      </c>
      <c r="BV92" s="546">
        <v>0</v>
      </c>
      <c r="BW92" s="504">
        <f t="shared" si="91"/>
        <v>0</v>
      </c>
      <c r="BX92" s="505">
        <f t="shared" si="85"/>
        <v>1</v>
      </c>
      <c r="BY92" s="497">
        <f t="shared" si="86"/>
        <v>391</v>
      </c>
      <c r="BZ92" s="595" t="str">
        <f t="shared" si="92"/>
        <v>Column BN to be completed</v>
      </c>
      <c r="CA92" s="537" t="s">
        <v>918</v>
      </c>
      <c r="CB92" s="568">
        <v>0</v>
      </c>
      <c r="CC92" s="605">
        <f t="shared" si="88"/>
        <v>0</v>
      </c>
      <c r="CD92" s="537">
        <v>0</v>
      </c>
      <c r="CE92" s="506" t="str">
        <f t="shared" si="89"/>
        <v>No coverage</v>
      </c>
      <c r="CF92" s="492">
        <v>0</v>
      </c>
      <c r="CG92" s="538" t="s">
        <v>66</v>
      </c>
      <c r="CH92" s="580"/>
    </row>
    <row r="93" spans="2:86" s="40" customFormat="1" ht="30" customHeight="1" x14ac:dyDescent="0.2">
      <c r="B93" s="527" t="s">
        <v>158</v>
      </c>
      <c r="C93" s="488" t="s">
        <v>662</v>
      </c>
      <c r="D93" s="117" t="s">
        <v>268</v>
      </c>
      <c r="E93" s="488" t="s">
        <v>694</v>
      </c>
      <c r="F93" s="117">
        <v>97.541793999999996</v>
      </c>
      <c r="G93" s="117">
        <v>24.752471</v>
      </c>
      <c r="H93" s="117" t="s">
        <v>510</v>
      </c>
      <c r="I93" s="117" t="s">
        <v>226</v>
      </c>
      <c r="J93" s="546">
        <v>0</v>
      </c>
      <c r="K93" s="546">
        <v>528</v>
      </c>
      <c r="L93" s="546">
        <v>528</v>
      </c>
      <c r="M93" s="490" t="str">
        <f t="shared" si="53"/>
        <v>1. Small</v>
      </c>
      <c r="N93" s="528"/>
      <c r="O93" s="553" t="s">
        <v>237</v>
      </c>
      <c r="P93" s="545" t="str">
        <f t="shared" si="54"/>
        <v>Covered</v>
      </c>
      <c r="Q93" s="491">
        <v>42124</v>
      </c>
      <c r="R93" s="489"/>
      <c r="S93" s="491"/>
      <c r="T93" s="528" t="s">
        <v>260</v>
      </c>
      <c r="U93" s="533" t="str">
        <f t="shared" si="55"/>
        <v>Documented</v>
      </c>
      <c r="V93" s="537">
        <v>0</v>
      </c>
      <c r="W93" s="492">
        <v>0</v>
      </c>
      <c r="X93" s="538" t="s">
        <v>19</v>
      </c>
      <c r="Y93" s="537">
        <v>1</v>
      </c>
      <c r="Z93" s="492">
        <v>0</v>
      </c>
      <c r="AA93" s="538">
        <v>7920</v>
      </c>
      <c r="AB93" s="567">
        <v>0</v>
      </c>
      <c r="AC93" s="568">
        <v>1</v>
      </c>
      <c r="AD93" s="574">
        <f t="shared" si="56"/>
        <v>1</v>
      </c>
      <c r="AE93" s="495">
        <f t="shared" si="57"/>
        <v>528</v>
      </c>
      <c r="AF93" s="496">
        <f t="shared" si="58"/>
        <v>1</v>
      </c>
      <c r="AG93" s="497">
        <f t="shared" si="59"/>
        <v>528</v>
      </c>
      <c r="AH93" s="494">
        <f t="shared" si="60"/>
        <v>1</v>
      </c>
      <c r="AI93" s="497">
        <f t="shared" si="61"/>
        <v>528</v>
      </c>
      <c r="AJ93" s="498" t="str">
        <f t="shared" si="62"/>
        <v>80-100%</v>
      </c>
      <c r="AK93" s="494">
        <f t="shared" si="63"/>
        <v>0</v>
      </c>
      <c r="AL93" s="499">
        <f t="shared" si="64"/>
        <v>0</v>
      </c>
      <c r="AM93" s="497">
        <f t="shared" si="65"/>
        <v>0.32000000000000006</v>
      </c>
      <c r="AN93" s="497">
        <f t="shared" si="66"/>
        <v>0</v>
      </c>
      <c r="AO93" s="497">
        <f t="shared" si="67"/>
        <v>0</v>
      </c>
      <c r="AP93" s="568">
        <v>1</v>
      </c>
      <c r="AQ93" s="577">
        <f t="shared" si="68"/>
        <v>528</v>
      </c>
      <c r="AR93" s="581"/>
      <c r="AS93" s="537">
        <v>0</v>
      </c>
      <c r="AT93" s="492">
        <v>7</v>
      </c>
      <c r="AU93" s="492">
        <v>15</v>
      </c>
      <c r="AV93" s="492" t="s">
        <v>300</v>
      </c>
      <c r="AW93" s="500">
        <f t="shared" si="69"/>
        <v>0.83333333333333337</v>
      </c>
      <c r="AX93" s="497">
        <f t="shared" si="70"/>
        <v>440</v>
      </c>
      <c r="AY93" s="500">
        <f t="shared" si="71"/>
        <v>0.26515151515151514</v>
      </c>
      <c r="AZ93" s="497">
        <f t="shared" si="72"/>
        <v>140</v>
      </c>
      <c r="BA93" s="500">
        <f t="shared" si="73"/>
        <v>0.56818181818181823</v>
      </c>
      <c r="BB93" s="497">
        <f t="shared" si="74"/>
        <v>300</v>
      </c>
      <c r="BC93" s="492">
        <v>0</v>
      </c>
      <c r="BD93" s="493">
        <v>0.83</v>
      </c>
      <c r="BE93" s="501">
        <f t="shared" si="75"/>
        <v>438.23999999999995</v>
      </c>
      <c r="BF93" s="502">
        <f t="shared" si="76"/>
        <v>11.399999999999999</v>
      </c>
      <c r="BG93" s="492">
        <v>4</v>
      </c>
      <c r="BH93" s="492" t="s">
        <v>300</v>
      </c>
      <c r="BI93" s="500">
        <f t="shared" si="77"/>
        <v>0.75757575757575757</v>
      </c>
      <c r="BJ93" s="497">
        <f t="shared" si="78"/>
        <v>400</v>
      </c>
      <c r="BK93" s="502">
        <f t="shared" si="79"/>
        <v>1.2800000000000002</v>
      </c>
      <c r="BL93" s="493">
        <v>0.76</v>
      </c>
      <c r="BM93" s="497">
        <f t="shared" si="80"/>
        <v>401.28000000000003</v>
      </c>
      <c r="BN93" s="492">
        <v>0</v>
      </c>
      <c r="BO93" s="500">
        <f t="shared" si="81"/>
        <v>0</v>
      </c>
      <c r="BP93" s="502">
        <f t="shared" si="82"/>
        <v>5.28</v>
      </c>
      <c r="BQ93" s="568">
        <v>0</v>
      </c>
      <c r="BR93" s="580"/>
      <c r="BS93" s="594"/>
      <c r="BT93" s="503" t="str">
        <f t="shared" si="90"/>
        <v>To be realised</v>
      </c>
      <c r="BU93" s="546">
        <v>0</v>
      </c>
      <c r="BV93" s="546">
        <v>0</v>
      </c>
      <c r="BW93" s="504">
        <f t="shared" si="91"/>
        <v>0</v>
      </c>
      <c r="BX93" s="505">
        <f t="shared" si="85"/>
        <v>1</v>
      </c>
      <c r="BY93" s="497">
        <f t="shared" si="86"/>
        <v>528</v>
      </c>
      <c r="BZ93" s="595" t="str">
        <f t="shared" si="92"/>
        <v>Column BN to be completed</v>
      </c>
      <c r="CA93" s="537" t="s">
        <v>918</v>
      </c>
      <c r="CB93" s="568">
        <v>0</v>
      </c>
      <c r="CC93" s="605">
        <f t="shared" si="88"/>
        <v>0</v>
      </c>
      <c r="CD93" s="537">
        <v>0</v>
      </c>
      <c r="CE93" s="506" t="str">
        <f t="shared" si="89"/>
        <v>No coverage</v>
      </c>
      <c r="CF93" s="492">
        <v>0</v>
      </c>
      <c r="CG93" s="538" t="s">
        <v>66</v>
      </c>
      <c r="CH93" s="580"/>
    </row>
    <row r="94" spans="2:86" s="40" customFormat="1" ht="30" customHeight="1" x14ac:dyDescent="0.2">
      <c r="B94" s="527" t="s">
        <v>224</v>
      </c>
      <c r="C94" s="488" t="s">
        <v>791</v>
      </c>
      <c r="D94" s="117" t="s">
        <v>323</v>
      </c>
      <c r="E94" s="488" t="s">
        <v>763</v>
      </c>
      <c r="F94" s="117">
        <v>97.561105999999995</v>
      </c>
      <c r="G94" s="117">
        <v>27.248964999999998</v>
      </c>
      <c r="H94" s="117" t="s">
        <v>530</v>
      </c>
      <c r="I94" s="117" t="s">
        <v>218</v>
      </c>
      <c r="J94" s="546">
        <v>12</v>
      </c>
      <c r="K94" s="546">
        <v>52</v>
      </c>
      <c r="L94" s="546">
        <v>52</v>
      </c>
      <c r="M94" s="490" t="str">
        <f t="shared" si="53"/>
        <v>1. Small</v>
      </c>
      <c r="N94" s="528"/>
      <c r="O94" s="553" t="s">
        <v>239</v>
      </c>
      <c r="P94" s="545" t="str">
        <f t="shared" si="54"/>
        <v>Covered</v>
      </c>
      <c r="Q94" s="491" t="s">
        <v>708</v>
      </c>
      <c r="R94" s="489"/>
      <c r="S94" s="491"/>
      <c r="T94" s="528" t="s">
        <v>260</v>
      </c>
      <c r="U94" s="533" t="str">
        <f t="shared" si="55"/>
        <v>Documented</v>
      </c>
      <c r="V94" s="537">
        <v>0</v>
      </c>
      <c r="W94" s="492">
        <v>0</v>
      </c>
      <c r="X94" s="538" t="s">
        <v>19</v>
      </c>
      <c r="Y94" s="537">
        <v>1</v>
      </c>
      <c r="Z94" s="492">
        <v>0</v>
      </c>
      <c r="AA94" s="538">
        <v>0</v>
      </c>
      <c r="AB94" s="567">
        <v>0</v>
      </c>
      <c r="AC94" s="568">
        <v>0</v>
      </c>
      <c r="AD94" s="574">
        <f t="shared" si="56"/>
        <v>1</v>
      </c>
      <c r="AE94" s="495">
        <f t="shared" si="57"/>
        <v>52</v>
      </c>
      <c r="AF94" s="496">
        <f t="shared" si="58"/>
        <v>1</v>
      </c>
      <c r="AG94" s="497">
        <f t="shared" si="59"/>
        <v>52</v>
      </c>
      <c r="AH94" s="494">
        <f t="shared" si="60"/>
        <v>1</v>
      </c>
      <c r="AI94" s="497">
        <f t="shared" si="61"/>
        <v>52</v>
      </c>
      <c r="AJ94" s="498" t="str">
        <f t="shared" si="62"/>
        <v>80-100%</v>
      </c>
      <c r="AK94" s="494">
        <f t="shared" si="63"/>
        <v>0</v>
      </c>
      <c r="AL94" s="499">
        <f t="shared" si="64"/>
        <v>0</v>
      </c>
      <c r="AM94" s="497">
        <f t="shared" si="65"/>
        <v>0</v>
      </c>
      <c r="AN94" s="497">
        <f t="shared" si="66"/>
        <v>0</v>
      </c>
      <c r="AO94" s="497">
        <f t="shared" si="67"/>
        <v>0</v>
      </c>
      <c r="AP94" s="568">
        <v>1</v>
      </c>
      <c r="AQ94" s="577">
        <f t="shared" si="68"/>
        <v>52</v>
      </c>
      <c r="AR94" s="581" t="s">
        <v>834</v>
      </c>
      <c r="AS94" s="537">
        <v>10</v>
      </c>
      <c r="AT94" s="492">
        <v>10</v>
      </c>
      <c r="AU94" s="492">
        <v>0</v>
      </c>
      <c r="AV94" s="492" t="s">
        <v>91</v>
      </c>
      <c r="AW94" s="500">
        <f t="shared" si="69"/>
        <v>1</v>
      </c>
      <c r="AX94" s="497">
        <f t="shared" si="70"/>
        <v>52</v>
      </c>
      <c r="AY94" s="500">
        <f t="shared" si="71"/>
        <v>1</v>
      </c>
      <c r="AZ94" s="497">
        <f t="shared" si="72"/>
        <v>52</v>
      </c>
      <c r="BA94" s="500">
        <f t="shared" si="73"/>
        <v>0</v>
      </c>
      <c r="BB94" s="497">
        <f t="shared" si="74"/>
        <v>0</v>
      </c>
      <c r="BC94" s="492">
        <v>0</v>
      </c>
      <c r="BD94" s="493">
        <v>1</v>
      </c>
      <c r="BE94" s="501">
        <f t="shared" si="75"/>
        <v>52</v>
      </c>
      <c r="BF94" s="502">
        <f t="shared" si="76"/>
        <v>2.6</v>
      </c>
      <c r="BG94" s="492">
        <v>0</v>
      </c>
      <c r="BH94" s="492" t="s">
        <v>91</v>
      </c>
      <c r="BI94" s="500">
        <f t="shared" si="77"/>
        <v>0</v>
      </c>
      <c r="BJ94" s="497">
        <f t="shared" si="78"/>
        <v>0</v>
      </c>
      <c r="BK94" s="502">
        <f t="shared" si="79"/>
        <v>0.52</v>
      </c>
      <c r="BL94" s="493">
        <v>0</v>
      </c>
      <c r="BM94" s="497">
        <f t="shared" si="80"/>
        <v>0</v>
      </c>
      <c r="BN94" s="492">
        <v>0</v>
      </c>
      <c r="BO94" s="500">
        <f t="shared" si="81"/>
        <v>0</v>
      </c>
      <c r="BP94" s="502">
        <f t="shared" si="82"/>
        <v>0.52</v>
      </c>
      <c r="BQ94" s="568">
        <v>0</v>
      </c>
      <c r="BR94" s="580"/>
      <c r="BS94" s="594"/>
      <c r="BT94" s="503" t="str">
        <f t="shared" si="90"/>
        <v>To be realised</v>
      </c>
      <c r="BU94" s="546">
        <v>0</v>
      </c>
      <c r="BV94" s="546">
        <v>0</v>
      </c>
      <c r="BW94" s="504">
        <f t="shared" si="91"/>
        <v>12</v>
      </c>
      <c r="BX94" s="505">
        <f t="shared" si="85"/>
        <v>0</v>
      </c>
      <c r="BY94" s="497">
        <f t="shared" si="86"/>
        <v>0</v>
      </c>
      <c r="BZ94" s="595" t="str">
        <f t="shared" si="92"/>
        <v>Column BN to be completed</v>
      </c>
      <c r="CA94" s="537"/>
      <c r="CB94" s="568">
        <v>0</v>
      </c>
      <c r="CC94" s="605">
        <f t="shared" si="88"/>
        <v>0</v>
      </c>
      <c r="CD94" s="537">
        <v>0</v>
      </c>
      <c r="CE94" s="506" t="str">
        <f t="shared" si="89"/>
        <v>No coverage</v>
      </c>
      <c r="CF94" s="492">
        <v>0</v>
      </c>
      <c r="CG94" s="538" t="s">
        <v>543</v>
      </c>
      <c r="CH94" s="580"/>
    </row>
    <row r="95" spans="2:86" s="40" customFormat="1" ht="30" customHeight="1" x14ac:dyDescent="0.2">
      <c r="B95" s="527" t="s">
        <v>158</v>
      </c>
      <c r="C95" s="488" t="s">
        <v>670</v>
      </c>
      <c r="D95" s="117" t="s">
        <v>265</v>
      </c>
      <c r="E95" s="488" t="s">
        <v>168</v>
      </c>
      <c r="F95" s="117">
        <v>97.345039</v>
      </c>
      <c r="G95" s="117">
        <v>25.351965</v>
      </c>
      <c r="H95" s="117" t="s">
        <v>509</v>
      </c>
      <c r="I95" s="117" t="s">
        <v>218</v>
      </c>
      <c r="J95" s="546">
        <v>18</v>
      </c>
      <c r="K95" s="546">
        <v>78</v>
      </c>
      <c r="L95" s="546">
        <v>78</v>
      </c>
      <c r="M95" s="490" t="str">
        <f t="shared" si="53"/>
        <v>1. Small</v>
      </c>
      <c r="N95" s="528" t="s">
        <v>284</v>
      </c>
      <c r="O95" s="553" t="s">
        <v>284</v>
      </c>
      <c r="P95" s="545" t="str">
        <f t="shared" si="54"/>
        <v>Covered</v>
      </c>
      <c r="Q95" s="491">
        <v>42155</v>
      </c>
      <c r="R95" s="489"/>
      <c r="S95" s="491"/>
      <c r="T95" s="528" t="s">
        <v>260</v>
      </c>
      <c r="U95" s="533" t="str">
        <f t="shared" si="55"/>
        <v>Documented</v>
      </c>
      <c r="V95" s="537">
        <v>0</v>
      </c>
      <c r="W95" s="492">
        <v>0</v>
      </c>
      <c r="X95" s="538" t="s">
        <v>19</v>
      </c>
      <c r="Y95" s="537">
        <v>1</v>
      </c>
      <c r="Z95" s="492">
        <v>1</v>
      </c>
      <c r="AA95" s="538">
        <v>0</v>
      </c>
      <c r="AB95" s="567">
        <v>0</v>
      </c>
      <c r="AC95" s="568">
        <v>0</v>
      </c>
      <c r="AD95" s="574">
        <f t="shared" si="56"/>
        <v>1</v>
      </c>
      <c r="AE95" s="495">
        <f t="shared" si="57"/>
        <v>78</v>
      </c>
      <c r="AF95" s="496">
        <f t="shared" si="58"/>
        <v>1</v>
      </c>
      <c r="AG95" s="497">
        <f t="shared" si="59"/>
        <v>78</v>
      </c>
      <c r="AH95" s="494">
        <f t="shared" si="60"/>
        <v>1</v>
      </c>
      <c r="AI95" s="497">
        <f t="shared" si="61"/>
        <v>78</v>
      </c>
      <c r="AJ95" s="498" t="str">
        <f t="shared" si="62"/>
        <v>80-100%</v>
      </c>
      <c r="AK95" s="494">
        <f t="shared" si="63"/>
        <v>0</v>
      </c>
      <c r="AL95" s="499">
        <f t="shared" si="64"/>
        <v>0</v>
      </c>
      <c r="AM95" s="497">
        <f t="shared" si="65"/>
        <v>0</v>
      </c>
      <c r="AN95" s="497">
        <f t="shared" si="66"/>
        <v>0</v>
      </c>
      <c r="AO95" s="497">
        <f t="shared" si="67"/>
        <v>0</v>
      </c>
      <c r="AP95" s="568">
        <v>1</v>
      </c>
      <c r="AQ95" s="577">
        <f t="shared" si="68"/>
        <v>78</v>
      </c>
      <c r="AR95" s="581"/>
      <c r="AS95" s="537">
        <v>0</v>
      </c>
      <c r="AT95" s="492">
        <v>0</v>
      </c>
      <c r="AU95" s="492">
        <v>5</v>
      </c>
      <c r="AV95" s="492" t="s">
        <v>299</v>
      </c>
      <c r="AW95" s="500">
        <f t="shared" si="69"/>
        <v>1</v>
      </c>
      <c r="AX95" s="497">
        <f t="shared" si="70"/>
        <v>78</v>
      </c>
      <c r="AY95" s="500">
        <f t="shared" si="71"/>
        <v>0</v>
      </c>
      <c r="AZ95" s="497">
        <f t="shared" si="72"/>
        <v>0</v>
      </c>
      <c r="BA95" s="500">
        <f t="shared" si="73"/>
        <v>1</v>
      </c>
      <c r="BB95" s="497">
        <f t="shared" si="74"/>
        <v>78</v>
      </c>
      <c r="BC95" s="492">
        <v>0</v>
      </c>
      <c r="BD95" s="493">
        <v>1</v>
      </c>
      <c r="BE95" s="501">
        <f t="shared" si="75"/>
        <v>78</v>
      </c>
      <c r="BF95" s="502">
        <f t="shared" si="76"/>
        <v>0</v>
      </c>
      <c r="BG95" s="492">
        <v>1</v>
      </c>
      <c r="BH95" s="492" t="s">
        <v>91</v>
      </c>
      <c r="BI95" s="500">
        <f t="shared" si="77"/>
        <v>1</v>
      </c>
      <c r="BJ95" s="497">
        <f t="shared" si="78"/>
        <v>78</v>
      </c>
      <c r="BK95" s="502">
        <f t="shared" si="79"/>
        <v>0</v>
      </c>
      <c r="BL95" s="493">
        <v>1</v>
      </c>
      <c r="BM95" s="497">
        <f t="shared" si="80"/>
        <v>78</v>
      </c>
      <c r="BN95" s="492">
        <v>0</v>
      </c>
      <c r="BO95" s="500">
        <f t="shared" si="81"/>
        <v>0</v>
      </c>
      <c r="BP95" s="502">
        <f t="shared" si="82"/>
        <v>0.78</v>
      </c>
      <c r="BQ95" s="568">
        <v>0</v>
      </c>
      <c r="BR95" s="580"/>
      <c r="BS95" s="594">
        <v>42048</v>
      </c>
      <c r="BT95" s="503">
        <f t="shared" si="90"/>
        <v>42413</v>
      </c>
      <c r="BU95" s="546">
        <v>18</v>
      </c>
      <c r="BV95" s="546">
        <v>2</v>
      </c>
      <c r="BW95" s="504">
        <f t="shared" si="91"/>
        <v>0</v>
      </c>
      <c r="BX95" s="505">
        <f t="shared" si="85"/>
        <v>1</v>
      </c>
      <c r="BY95" s="497">
        <f t="shared" si="86"/>
        <v>78</v>
      </c>
      <c r="BZ95" s="595">
        <f t="shared" si="92"/>
        <v>0</v>
      </c>
      <c r="CA95" s="537"/>
      <c r="CB95" s="568">
        <v>1</v>
      </c>
      <c r="CC95" s="605">
        <f t="shared" si="88"/>
        <v>78</v>
      </c>
      <c r="CD95" s="537">
        <v>1</v>
      </c>
      <c r="CE95" s="506" t="str">
        <f t="shared" si="89"/>
        <v>Excellent coverage</v>
      </c>
      <c r="CF95" s="492">
        <v>0</v>
      </c>
      <c r="CG95" s="538" t="s">
        <v>65</v>
      </c>
      <c r="CH95" s="580"/>
    </row>
    <row r="96" spans="2:86" s="40" customFormat="1" ht="30" customHeight="1" x14ac:dyDescent="0.2">
      <c r="B96" s="527" t="s">
        <v>110</v>
      </c>
      <c r="C96" s="543" t="s">
        <v>886</v>
      </c>
      <c r="D96" s="117" t="s">
        <v>264</v>
      </c>
      <c r="E96" s="543" t="s">
        <v>887</v>
      </c>
      <c r="F96" s="117">
        <v>96.341520000000003</v>
      </c>
      <c r="G96" s="117">
        <v>25.655280000000001</v>
      </c>
      <c r="H96" s="117" t="s">
        <v>509</v>
      </c>
      <c r="I96" s="117" t="s">
        <v>218</v>
      </c>
      <c r="J96" s="463">
        <v>58</v>
      </c>
      <c r="K96" s="463">
        <v>224</v>
      </c>
      <c r="L96" s="463">
        <v>224</v>
      </c>
      <c r="M96" s="490" t="str">
        <f t="shared" si="53"/>
        <v>2. Medium</v>
      </c>
      <c r="N96" s="544"/>
      <c r="O96" s="554" t="s">
        <v>309</v>
      </c>
      <c r="P96" s="545" t="str">
        <f t="shared" si="54"/>
        <v>Not covered</v>
      </c>
      <c r="Q96" s="461" t="s">
        <v>708</v>
      </c>
      <c r="R96" s="117"/>
      <c r="S96" s="462"/>
      <c r="T96" s="529" t="s">
        <v>261</v>
      </c>
      <c r="U96" s="533" t="str">
        <f t="shared" si="55"/>
        <v>Documented</v>
      </c>
      <c r="V96" s="539">
        <v>0</v>
      </c>
      <c r="W96" s="463">
        <v>0</v>
      </c>
      <c r="X96" s="561" t="s">
        <v>19</v>
      </c>
      <c r="Y96" s="539">
        <v>2</v>
      </c>
      <c r="Z96" s="463">
        <v>0</v>
      </c>
      <c r="AA96" s="561">
        <v>12960</v>
      </c>
      <c r="AB96" s="569">
        <v>0</v>
      </c>
      <c r="AC96" s="542">
        <v>0</v>
      </c>
      <c r="AD96" s="574">
        <f t="shared" si="56"/>
        <v>1</v>
      </c>
      <c r="AE96" s="495">
        <f>AD96*L96</f>
        <v>224</v>
      </c>
      <c r="AF96" s="496">
        <f t="shared" si="58"/>
        <v>1</v>
      </c>
      <c r="AG96" s="497">
        <f t="shared" si="59"/>
        <v>224</v>
      </c>
      <c r="AH96" s="494">
        <f t="shared" si="60"/>
        <v>1</v>
      </c>
      <c r="AI96" s="497">
        <f t="shared" si="61"/>
        <v>224</v>
      </c>
      <c r="AJ96" s="498" t="str">
        <f t="shared" si="62"/>
        <v>80-100%</v>
      </c>
      <c r="AK96" s="494">
        <f t="shared" si="63"/>
        <v>0</v>
      </c>
      <c r="AL96" s="499">
        <f t="shared" si="64"/>
        <v>0</v>
      </c>
      <c r="AM96" s="497">
        <f t="shared" si="65"/>
        <v>0</v>
      </c>
      <c r="AN96" s="497">
        <f t="shared" si="66"/>
        <v>0</v>
      </c>
      <c r="AO96" s="497">
        <f t="shared" si="67"/>
        <v>0</v>
      </c>
      <c r="AP96" s="542">
        <v>1</v>
      </c>
      <c r="AQ96" s="577">
        <f t="shared" si="68"/>
        <v>224</v>
      </c>
      <c r="AR96" s="581"/>
      <c r="AS96" s="539">
        <v>0</v>
      </c>
      <c r="AT96" s="463">
        <v>0</v>
      </c>
      <c r="AU96" s="463">
        <v>6</v>
      </c>
      <c r="AV96" s="463" t="s">
        <v>91</v>
      </c>
      <c r="AW96" s="500">
        <f t="shared" si="69"/>
        <v>0.5357142857142857</v>
      </c>
      <c r="AX96" s="497">
        <f t="shared" si="70"/>
        <v>120</v>
      </c>
      <c r="AY96" s="500">
        <f t="shared" si="71"/>
        <v>0</v>
      </c>
      <c r="AZ96" s="497">
        <f t="shared" si="72"/>
        <v>0</v>
      </c>
      <c r="BA96" s="500">
        <f t="shared" si="73"/>
        <v>0.5357142857142857</v>
      </c>
      <c r="BB96" s="497">
        <f t="shared" si="74"/>
        <v>120</v>
      </c>
      <c r="BC96" s="465">
        <v>0</v>
      </c>
      <c r="BD96" s="464">
        <v>0.54</v>
      </c>
      <c r="BE96" s="501">
        <f t="shared" si="75"/>
        <v>120.96000000000001</v>
      </c>
      <c r="BF96" s="502">
        <f t="shared" si="76"/>
        <v>5.1999999999999993</v>
      </c>
      <c r="BG96" s="466">
        <v>1</v>
      </c>
      <c r="BH96" s="463" t="s">
        <v>91</v>
      </c>
      <c r="BI96" s="500">
        <f t="shared" si="77"/>
        <v>0.44642857142857145</v>
      </c>
      <c r="BJ96" s="497">
        <f t="shared" si="78"/>
        <v>100</v>
      </c>
      <c r="BK96" s="502">
        <f t="shared" si="79"/>
        <v>1.2400000000000002</v>
      </c>
      <c r="BL96" s="467">
        <v>0.45</v>
      </c>
      <c r="BM96" s="497">
        <f t="shared" si="80"/>
        <v>100.8</v>
      </c>
      <c r="BN96" s="463">
        <v>0</v>
      </c>
      <c r="BO96" s="500">
        <f t="shared" si="81"/>
        <v>0</v>
      </c>
      <c r="BP96" s="502">
        <f t="shared" si="82"/>
        <v>2.2400000000000002</v>
      </c>
      <c r="BQ96" s="542">
        <v>0</v>
      </c>
      <c r="BR96" s="582"/>
      <c r="BS96" s="596"/>
      <c r="BT96" s="503" t="str">
        <f t="shared" si="90"/>
        <v>To be realised</v>
      </c>
      <c r="BU96" s="465">
        <v>0</v>
      </c>
      <c r="BV96" s="465"/>
      <c r="BW96" s="504">
        <f t="shared" si="91"/>
        <v>58</v>
      </c>
      <c r="BX96" s="505">
        <f t="shared" si="85"/>
        <v>0</v>
      </c>
      <c r="BY96" s="497">
        <f t="shared" si="86"/>
        <v>0</v>
      </c>
      <c r="BZ96" s="595" t="str">
        <f t="shared" si="92"/>
        <v>Column BN to be completed</v>
      </c>
      <c r="CA96" s="601"/>
      <c r="CB96" s="542">
        <v>0</v>
      </c>
      <c r="CC96" s="605">
        <f t="shared" si="88"/>
        <v>0</v>
      </c>
      <c r="CD96" s="602">
        <v>0</v>
      </c>
      <c r="CE96" s="506" t="str">
        <f t="shared" si="89"/>
        <v>No coverage</v>
      </c>
      <c r="CF96" s="492">
        <v>0</v>
      </c>
      <c r="CG96" s="607" t="s">
        <v>302</v>
      </c>
      <c r="CH96" s="610"/>
    </row>
    <row r="97" spans="2:86" s="40" customFormat="1" ht="30" customHeight="1" x14ac:dyDescent="0.2">
      <c r="B97" s="527" t="s">
        <v>186</v>
      </c>
      <c r="C97" s="488" t="s">
        <v>625</v>
      </c>
      <c r="D97" s="117" t="s">
        <v>273</v>
      </c>
      <c r="E97" s="488" t="s">
        <v>321</v>
      </c>
      <c r="F97" s="117">
        <v>97.710989999999995</v>
      </c>
      <c r="G97" s="117">
        <v>24.181640000000002</v>
      </c>
      <c r="H97" s="117" t="s">
        <v>509</v>
      </c>
      <c r="I97" s="117" t="s">
        <v>218</v>
      </c>
      <c r="J97" s="559">
        <v>278</v>
      </c>
      <c r="K97" s="559">
        <v>1187</v>
      </c>
      <c r="L97" s="559">
        <v>1199</v>
      </c>
      <c r="M97" s="490" t="str">
        <f t="shared" si="53"/>
        <v>3. Large</v>
      </c>
      <c r="N97" s="528" t="s">
        <v>239</v>
      </c>
      <c r="O97" s="553" t="s">
        <v>709</v>
      </c>
      <c r="P97" s="545" t="str">
        <f t="shared" si="54"/>
        <v>Covered</v>
      </c>
      <c r="Q97" s="491">
        <v>42247</v>
      </c>
      <c r="R97" s="489"/>
      <c r="S97" s="491"/>
      <c r="T97" s="528" t="s">
        <v>260</v>
      </c>
      <c r="U97" s="533" t="str">
        <f t="shared" si="55"/>
        <v>Documented</v>
      </c>
      <c r="V97" s="537">
        <v>0</v>
      </c>
      <c r="W97" s="492">
        <v>0</v>
      </c>
      <c r="X97" s="538" t="s">
        <v>19</v>
      </c>
      <c r="Y97" s="537">
        <v>2</v>
      </c>
      <c r="Z97" s="492">
        <v>0</v>
      </c>
      <c r="AA97" s="538">
        <v>36000</v>
      </c>
      <c r="AB97" s="567">
        <v>0</v>
      </c>
      <c r="AC97" s="568">
        <v>0</v>
      </c>
      <c r="AD97" s="574">
        <f t="shared" si="56"/>
        <v>1</v>
      </c>
      <c r="AE97" s="495">
        <f t="shared" si="57"/>
        <v>1199</v>
      </c>
      <c r="AF97" s="496">
        <f t="shared" si="58"/>
        <v>1</v>
      </c>
      <c r="AG97" s="497">
        <f t="shared" si="59"/>
        <v>1199</v>
      </c>
      <c r="AH97" s="494">
        <f t="shared" si="60"/>
        <v>1</v>
      </c>
      <c r="AI97" s="497">
        <f t="shared" si="61"/>
        <v>1199</v>
      </c>
      <c r="AJ97" s="498" t="str">
        <f t="shared" si="62"/>
        <v>80-100%</v>
      </c>
      <c r="AK97" s="494">
        <f t="shared" si="63"/>
        <v>0</v>
      </c>
      <c r="AL97" s="499">
        <f t="shared" si="64"/>
        <v>0</v>
      </c>
      <c r="AM97" s="497">
        <f t="shared" si="65"/>
        <v>0.99750000000000005</v>
      </c>
      <c r="AN97" s="497">
        <f t="shared" si="66"/>
        <v>0</v>
      </c>
      <c r="AO97" s="497">
        <f t="shared" si="67"/>
        <v>0</v>
      </c>
      <c r="AP97" s="568">
        <v>1</v>
      </c>
      <c r="AQ97" s="577">
        <f t="shared" si="68"/>
        <v>1199</v>
      </c>
      <c r="AR97" s="581"/>
      <c r="AS97" s="537">
        <v>24</v>
      </c>
      <c r="AT97" s="492">
        <v>19</v>
      </c>
      <c r="AU97" s="492">
        <v>38</v>
      </c>
      <c r="AV97" s="492" t="s">
        <v>91</v>
      </c>
      <c r="AW97" s="500">
        <f t="shared" si="69"/>
        <v>0.95079232693911597</v>
      </c>
      <c r="AX97" s="497">
        <f t="shared" si="70"/>
        <v>1140</v>
      </c>
      <c r="AY97" s="500">
        <f t="shared" si="71"/>
        <v>0.31693077564637206</v>
      </c>
      <c r="AZ97" s="497">
        <f t="shared" si="72"/>
        <v>380.00000000000011</v>
      </c>
      <c r="BA97" s="500">
        <f t="shared" si="73"/>
        <v>0.63386155129274391</v>
      </c>
      <c r="BB97" s="497">
        <f t="shared" si="74"/>
        <v>760</v>
      </c>
      <c r="BC97" s="546">
        <v>6</v>
      </c>
      <c r="BD97" s="493">
        <v>1</v>
      </c>
      <c r="BE97" s="501">
        <f t="shared" si="75"/>
        <v>1199</v>
      </c>
      <c r="BF97" s="502">
        <f t="shared" si="76"/>
        <v>27.950000000000003</v>
      </c>
      <c r="BG97" s="492">
        <v>6</v>
      </c>
      <c r="BH97" s="492" t="s">
        <v>767</v>
      </c>
      <c r="BI97" s="500">
        <f t="shared" si="77"/>
        <v>0.50041701417848206</v>
      </c>
      <c r="BJ97" s="497">
        <f t="shared" si="78"/>
        <v>600</v>
      </c>
      <c r="BK97" s="502">
        <f t="shared" si="79"/>
        <v>5.8699999999999992</v>
      </c>
      <c r="BL97" s="493">
        <v>0.5</v>
      </c>
      <c r="BM97" s="497">
        <f t="shared" si="80"/>
        <v>599.5</v>
      </c>
      <c r="BN97" s="492">
        <v>30</v>
      </c>
      <c r="BO97" s="500">
        <f t="shared" si="81"/>
        <v>1</v>
      </c>
      <c r="BP97" s="502">
        <f t="shared" si="82"/>
        <v>0</v>
      </c>
      <c r="BQ97" s="568">
        <v>1</v>
      </c>
      <c r="BR97" s="580"/>
      <c r="BS97" s="594">
        <v>42055</v>
      </c>
      <c r="BT97" s="503">
        <f t="shared" si="90"/>
        <v>42420</v>
      </c>
      <c r="BU97" s="546">
        <v>285</v>
      </c>
      <c r="BV97" s="546">
        <v>1</v>
      </c>
      <c r="BW97" s="504">
        <f t="shared" si="91"/>
        <v>0</v>
      </c>
      <c r="BX97" s="505">
        <f t="shared" si="85"/>
        <v>1</v>
      </c>
      <c r="BY97" s="497">
        <f t="shared" si="86"/>
        <v>1199</v>
      </c>
      <c r="BZ97" s="595">
        <f t="shared" si="92"/>
        <v>0</v>
      </c>
      <c r="CA97" s="537"/>
      <c r="CB97" s="568">
        <v>1</v>
      </c>
      <c r="CC97" s="605">
        <f t="shared" si="88"/>
        <v>1199</v>
      </c>
      <c r="CD97" s="537">
        <v>2</v>
      </c>
      <c r="CE97" s="506" t="str">
        <f t="shared" si="89"/>
        <v>Good coverage</v>
      </c>
      <c r="CF97" s="492">
        <v>0</v>
      </c>
      <c r="CG97" s="538" t="s">
        <v>813</v>
      </c>
      <c r="CH97" s="580"/>
    </row>
    <row r="98" spans="2:86" s="40" customFormat="1" ht="30" customHeight="1" x14ac:dyDescent="0.2">
      <c r="B98" s="527" t="s">
        <v>186</v>
      </c>
      <c r="C98" s="488" t="s">
        <v>626</v>
      </c>
      <c r="D98" s="117" t="s">
        <v>273</v>
      </c>
      <c r="E98" s="488" t="s">
        <v>322</v>
      </c>
      <c r="F98" s="117">
        <v>97.710989999999995</v>
      </c>
      <c r="G98" s="117">
        <v>24.181640000000002</v>
      </c>
      <c r="H98" s="117" t="s">
        <v>509</v>
      </c>
      <c r="I98" s="117" t="s">
        <v>218</v>
      </c>
      <c r="J98" s="559">
        <v>130</v>
      </c>
      <c r="K98" s="559">
        <v>545</v>
      </c>
      <c r="L98" s="559">
        <v>587</v>
      </c>
      <c r="M98" s="490" t="str">
        <f t="shared" si="53"/>
        <v>2. Medium</v>
      </c>
      <c r="N98" s="528" t="s">
        <v>235</v>
      </c>
      <c r="O98" s="553" t="s">
        <v>709</v>
      </c>
      <c r="P98" s="545" t="str">
        <f t="shared" si="54"/>
        <v>Covered</v>
      </c>
      <c r="Q98" s="491">
        <v>42247</v>
      </c>
      <c r="R98" s="489"/>
      <c r="S98" s="491"/>
      <c r="T98" s="528" t="s">
        <v>260</v>
      </c>
      <c r="U98" s="533" t="str">
        <f t="shared" si="55"/>
        <v>Documented</v>
      </c>
      <c r="V98" s="537">
        <v>0</v>
      </c>
      <c r="W98" s="492">
        <v>0</v>
      </c>
      <c r="X98" s="538" t="s">
        <v>19</v>
      </c>
      <c r="Y98" s="537">
        <v>1</v>
      </c>
      <c r="Z98" s="492">
        <v>0</v>
      </c>
      <c r="AA98" s="538">
        <v>13500</v>
      </c>
      <c r="AB98" s="567">
        <v>0</v>
      </c>
      <c r="AC98" s="568">
        <v>0</v>
      </c>
      <c r="AD98" s="574">
        <f t="shared" si="56"/>
        <v>1</v>
      </c>
      <c r="AE98" s="495">
        <f t="shared" si="57"/>
        <v>587</v>
      </c>
      <c r="AF98" s="496">
        <f t="shared" si="58"/>
        <v>1</v>
      </c>
      <c r="AG98" s="497">
        <f t="shared" si="59"/>
        <v>587</v>
      </c>
      <c r="AH98" s="494">
        <f t="shared" si="60"/>
        <v>1</v>
      </c>
      <c r="AI98" s="497">
        <f t="shared" si="61"/>
        <v>587</v>
      </c>
      <c r="AJ98" s="498" t="str">
        <f t="shared" si="62"/>
        <v>80-100%</v>
      </c>
      <c r="AK98" s="494">
        <f t="shared" si="63"/>
        <v>0</v>
      </c>
      <c r="AL98" s="499">
        <f t="shared" si="64"/>
        <v>0</v>
      </c>
      <c r="AM98" s="497">
        <f t="shared" si="65"/>
        <v>0.46750000000000003</v>
      </c>
      <c r="AN98" s="497">
        <f t="shared" si="66"/>
        <v>0</v>
      </c>
      <c r="AO98" s="497">
        <f t="shared" si="67"/>
        <v>0</v>
      </c>
      <c r="AP98" s="568">
        <v>1</v>
      </c>
      <c r="AQ98" s="577">
        <f t="shared" si="68"/>
        <v>587</v>
      </c>
      <c r="AR98" s="581"/>
      <c r="AS98" s="537">
        <v>9</v>
      </c>
      <c r="AT98" s="492">
        <v>9</v>
      </c>
      <c r="AU98" s="492">
        <v>16</v>
      </c>
      <c r="AV98" s="492" t="s">
        <v>767</v>
      </c>
      <c r="AW98" s="500">
        <f t="shared" si="69"/>
        <v>0.85178875638841567</v>
      </c>
      <c r="AX98" s="497">
        <f t="shared" si="70"/>
        <v>500</v>
      </c>
      <c r="AY98" s="500">
        <f t="shared" si="71"/>
        <v>0.30664395229982966</v>
      </c>
      <c r="AZ98" s="497">
        <f t="shared" si="72"/>
        <v>180</v>
      </c>
      <c r="BA98" s="500">
        <f t="shared" si="73"/>
        <v>0.54514480408858601</v>
      </c>
      <c r="BB98" s="497">
        <f t="shared" si="74"/>
        <v>320</v>
      </c>
      <c r="BC98" s="492">
        <v>0</v>
      </c>
      <c r="BD98" s="493">
        <v>1</v>
      </c>
      <c r="BE98" s="501">
        <f t="shared" si="75"/>
        <v>587</v>
      </c>
      <c r="BF98" s="502">
        <f t="shared" si="76"/>
        <v>13.350000000000001</v>
      </c>
      <c r="BG98" s="492">
        <v>3</v>
      </c>
      <c r="BH98" s="492" t="s">
        <v>767</v>
      </c>
      <c r="BI98" s="500">
        <f t="shared" si="77"/>
        <v>0.51107325383304936</v>
      </c>
      <c r="BJ98" s="497">
        <f t="shared" si="78"/>
        <v>300</v>
      </c>
      <c r="BK98" s="502">
        <f t="shared" si="79"/>
        <v>2.4500000000000002</v>
      </c>
      <c r="BL98" s="493">
        <v>0.51</v>
      </c>
      <c r="BM98" s="497">
        <f t="shared" si="80"/>
        <v>299.37</v>
      </c>
      <c r="BN98" s="492">
        <v>9</v>
      </c>
      <c r="BO98" s="500">
        <f t="shared" si="81"/>
        <v>1</v>
      </c>
      <c r="BP98" s="502">
        <f t="shared" si="82"/>
        <v>0</v>
      </c>
      <c r="BQ98" s="568">
        <v>1</v>
      </c>
      <c r="BR98" s="580"/>
      <c r="BS98" s="594">
        <v>42055</v>
      </c>
      <c r="BT98" s="503">
        <f t="shared" si="90"/>
        <v>42420</v>
      </c>
      <c r="BU98" s="546">
        <v>122</v>
      </c>
      <c r="BV98" s="546">
        <v>1</v>
      </c>
      <c r="BW98" s="504">
        <f t="shared" si="91"/>
        <v>8</v>
      </c>
      <c r="BX98" s="505">
        <f t="shared" si="85"/>
        <v>0.93846153846153846</v>
      </c>
      <c r="BY98" s="497">
        <f t="shared" si="86"/>
        <v>550.87692307692305</v>
      </c>
      <c r="BZ98" s="595">
        <f t="shared" si="92"/>
        <v>0</v>
      </c>
      <c r="CA98" s="537"/>
      <c r="CB98" s="568">
        <v>1</v>
      </c>
      <c r="CC98" s="605">
        <f t="shared" si="88"/>
        <v>587</v>
      </c>
      <c r="CD98" s="537">
        <v>1</v>
      </c>
      <c r="CE98" s="506" t="str">
        <f t="shared" si="89"/>
        <v>Good coverage</v>
      </c>
      <c r="CF98" s="492">
        <v>0</v>
      </c>
      <c r="CG98" s="538" t="s">
        <v>813</v>
      </c>
      <c r="CH98" s="580"/>
    </row>
    <row r="99" spans="2:86" s="40" customFormat="1" ht="30" customHeight="1" x14ac:dyDescent="0.2">
      <c r="B99" s="527" t="s">
        <v>188</v>
      </c>
      <c r="C99" s="488" t="s">
        <v>636</v>
      </c>
      <c r="D99" s="117" t="s">
        <v>267</v>
      </c>
      <c r="E99" s="488" t="s">
        <v>831</v>
      </c>
      <c r="F99" s="117">
        <v>97.344350000000006</v>
      </c>
      <c r="G99" s="117">
        <v>24.25067</v>
      </c>
      <c r="H99" s="117" t="s">
        <v>530</v>
      </c>
      <c r="I99" s="117" t="s">
        <v>218</v>
      </c>
      <c r="J99" s="546">
        <v>355</v>
      </c>
      <c r="K99" s="546">
        <v>1361</v>
      </c>
      <c r="L99" s="546">
        <v>1361</v>
      </c>
      <c r="M99" s="490" t="str">
        <f t="shared" ref="M99:M130" si="93">IF(J99&gt;50,IF(J99&gt;250,IF(J99&gt;500,IF(J99&gt;1000,"5. Massive","4. Big"),"3. Large"),"2. Medium"),"1. Small")</f>
        <v>3. Large</v>
      </c>
      <c r="N99" s="528"/>
      <c r="O99" s="553" t="s">
        <v>709</v>
      </c>
      <c r="P99" s="545" t="str">
        <f t="shared" si="54"/>
        <v>Covered</v>
      </c>
      <c r="Q99" s="491">
        <v>42247</v>
      </c>
      <c r="R99" s="489"/>
      <c r="S99" s="491"/>
      <c r="T99" s="528" t="s">
        <v>260</v>
      </c>
      <c r="U99" s="533" t="str">
        <f t="shared" si="55"/>
        <v>Documented</v>
      </c>
      <c r="V99" s="537">
        <v>0</v>
      </c>
      <c r="W99" s="492">
        <v>0</v>
      </c>
      <c r="X99" s="538" t="s">
        <v>19</v>
      </c>
      <c r="Y99" s="537">
        <v>150</v>
      </c>
      <c r="Z99" s="492">
        <v>63</v>
      </c>
      <c r="AA99" s="538">
        <v>0</v>
      </c>
      <c r="AB99" s="567">
        <v>0</v>
      </c>
      <c r="AC99" s="568">
        <v>0</v>
      </c>
      <c r="AD99" s="574">
        <f t="shared" si="56"/>
        <v>1</v>
      </c>
      <c r="AE99" s="495">
        <f t="shared" si="57"/>
        <v>1361</v>
      </c>
      <c r="AF99" s="496">
        <f t="shared" ref="AF99:AF130" si="94">IF(((Y99*400+Z99*500+(AA99/15))/L99)&gt;1,1,(Y99*400+Z99*500+(AA99/15))/L99)</f>
        <v>1</v>
      </c>
      <c r="AG99" s="497">
        <f t="shared" si="59"/>
        <v>1361</v>
      </c>
      <c r="AH99" s="494">
        <f t="shared" ref="AH99:AH130" si="95">IF(AC99=0,AD99,IF(AC99&lt;AD99,AD99,AC99))</f>
        <v>1</v>
      </c>
      <c r="AI99" s="497">
        <f t="shared" si="61"/>
        <v>1361</v>
      </c>
      <c r="AJ99" s="498" t="str">
        <f t="shared" ref="AJ99:AJ130" si="96">IF(AD99&gt;0.15,IF(AD99&gt;0.3,IF(AD99&gt;0.45,IF(AD99&gt;0.6,IF(AD99&gt;0.8,"80-100%","60-80%"),"45-60%"),"30-45%"),"15-30%"),"0-10%")</f>
        <v>80-100%</v>
      </c>
      <c r="AK99" s="494">
        <f t="shared" ref="AK99:AK130" si="97">IF((AD99-AF99)&lt; 0, 0, AD99-AF99)</f>
        <v>0</v>
      </c>
      <c r="AL99" s="499">
        <f t="shared" ref="AL99:AL130" si="98">AK99*L99</f>
        <v>0</v>
      </c>
      <c r="AM99" s="497">
        <f t="shared" ref="AM99:AM130" si="99">IF(L99/400-(Y99+Z99)&lt;0,0,L99/400-(Y99+Z99))</f>
        <v>0</v>
      </c>
      <c r="AN99" s="497">
        <f t="shared" ref="AN99:AN130" si="100">AC99*J99</f>
        <v>0</v>
      </c>
      <c r="AO99" s="497">
        <f t="shared" si="67"/>
        <v>0</v>
      </c>
      <c r="AP99" s="568">
        <v>1</v>
      </c>
      <c r="AQ99" s="577">
        <f t="shared" si="68"/>
        <v>1361</v>
      </c>
      <c r="AR99" s="581"/>
      <c r="AS99" s="537">
        <v>0</v>
      </c>
      <c r="AT99" s="492">
        <v>276</v>
      </c>
      <c r="AU99" s="492">
        <v>9</v>
      </c>
      <c r="AV99" s="492" t="s">
        <v>856</v>
      </c>
      <c r="AW99" s="500">
        <f t="shared" ref="AW99:AW130" si="101">IF((((AT99+AU99)*20)/L99)&gt;1,1,(((AT99+AU99)*20)/L99))</f>
        <v>1</v>
      </c>
      <c r="AX99" s="497">
        <f t="shared" si="70"/>
        <v>1361</v>
      </c>
      <c r="AY99" s="500">
        <f t="shared" ref="AY99:AY130" si="102">AW99-BA99</f>
        <v>0.86774430565760474</v>
      </c>
      <c r="AZ99" s="497">
        <f t="shared" si="72"/>
        <v>1181</v>
      </c>
      <c r="BA99" s="500">
        <f t="shared" ref="BA99:BA130" si="103">IF(((AU99*20)/L99)&gt;1,1,((AU99*20)/L99))</f>
        <v>0.13225569434239529</v>
      </c>
      <c r="BB99" s="497">
        <f t="shared" si="74"/>
        <v>179.99999999999997</v>
      </c>
      <c r="BC99" s="492">
        <v>0</v>
      </c>
      <c r="BD99" s="493">
        <v>1</v>
      </c>
      <c r="BE99" s="501">
        <f t="shared" ref="BE99:BE130" si="104">BD99*L99</f>
        <v>1361</v>
      </c>
      <c r="BF99" s="502">
        <f t="shared" si="76"/>
        <v>59.05</v>
      </c>
      <c r="BG99" s="492">
        <v>213</v>
      </c>
      <c r="BH99" s="492" t="s">
        <v>91</v>
      </c>
      <c r="BI99" s="500">
        <f t="shared" si="77"/>
        <v>1</v>
      </c>
      <c r="BJ99" s="497">
        <f t="shared" si="78"/>
        <v>1361</v>
      </c>
      <c r="BK99" s="502">
        <f t="shared" si="79"/>
        <v>0</v>
      </c>
      <c r="BL99" s="493">
        <v>1</v>
      </c>
      <c r="BM99" s="497">
        <f t="shared" si="80"/>
        <v>1361</v>
      </c>
      <c r="BN99" s="492">
        <v>0</v>
      </c>
      <c r="BO99" s="500">
        <f t="shared" ref="BO99:BO130" si="105">IF((BN99*100/L99)&gt;1,1,(BN99*100/L99))</f>
        <v>0</v>
      </c>
      <c r="BP99" s="502">
        <f t="shared" ref="BP99:BP130" si="106">IF(K99/100-BN99&lt;0,0,K99/100-BN99)</f>
        <v>13.61</v>
      </c>
      <c r="BQ99" s="568">
        <v>0</v>
      </c>
      <c r="BR99" s="580" t="s">
        <v>916</v>
      </c>
      <c r="BS99" s="594">
        <v>41992</v>
      </c>
      <c r="BT99" s="503">
        <f t="shared" si="90"/>
        <v>42357</v>
      </c>
      <c r="BU99" s="546">
        <v>334</v>
      </c>
      <c r="BV99" s="546">
        <v>0</v>
      </c>
      <c r="BW99" s="504">
        <f t="shared" si="91"/>
        <v>21</v>
      </c>
      <c r="BX99" s="505">
        <f t="shared" ref="BX99:BX130" si="107">IF(BW99=0,1,(J99-BW99)/J99)</f>
        <v>0.94084507042253518</v>
      </c>
      <c r="BY99" s="497">
        <f t="shared" ref="BY99:BY130" si="108">BX99*L99</f>
        <v>1280.4901408450703</v>
      </c>
      <c r="BZ99" s="595">
        <f t="shared" si="92"/>
        <v>3</v>
      </c>
      <c r="CA99" s="537"/>
      <c r="CB99" s="568">
        <v>1</v>
      </c>
      <c r="CC99" s="605">
        <f t="shared" si="88"/>
        <v>1361</v>
      </c>
      <c r="CD99" s="537">
        <v>4</v>
      </c>
      <c r="CE99" s="506" t="str">
        <f t="shared" si="89"/>
        <v>Excellent coverage</v>
      </c>
      <c r="CF99" s="492">
        <v>0</v>
      </c>
      <c r="CG99" s="538" t="s">
        <v>813</v>
      </c>
      <c r="CH99" s="580"/>
    </row>
    <row r="100" spans="2:86" s="40" customFormat="1" ht="30" customHeight="1" x14ac:dyDescent="0.2">
      <c r="B100" s="527" t="s">
        <v>180</v>
      </c>
      <c r="C100" s="488" t="s">
        <v>797</v>
      </c>
      <c r="D100" s="117" t="s">
        <v>267</v>
      </c>
      <c r="E100" s="488" t="s">
        <v>832</v>
      </c>
      <c r="F100" s="117">
        <v>97.228769999999997</v>
      </c>
      <c r="G100" s="117">
        <v>24.26502</v>
      </c>
      <c r="H100" s="117" t="s">
        <v>530</v>
      </c>
      <c r="I100" s="117" t="s">
        <v>218</v>
      </c>
      <c r="J100" s="546">
        <v>195</v>
      </c>
      <c r="K100" s="546">
        <v>926</v>
      </c>
      <c r="L100" s="546">
        <v>926</v>
      </c>
      <c r="M100" s="490" t="str">
        <f t="shared" si="93"/>
        <v>2. Medium</v>
      </c>
      <c r="N100" s="528"/>
      <c r="O100" s="553" t="s">
        <v>709</v>
      </c>
      <c r="P100" s="545" t="str">
        <f t="shared" si="54"/>
        <v>Covered</v>
      </c>
      <c r="Q100" s="491">
        <v>42247</v>
      </c>
      <c r="R100" s="489"/>
      <c r="S100" s="491"/>
      <c r="T100" s="528" t="s">
        <v>260</v>
      </c>
      <c r="U100" s="533" t="str">
        <f t="shared" si="55"/>
        <v>Documented</v>
      </c>
      <c r="V100" s="537">
        <v>0</v>
      </c>
      <c r="W100" s="492">
        <v>0</v>
      </c>
      <c r="X100" s="538" t="s">
        <v>19</v>
      </c>
      <c r="Y100" s="537">
        <v>40</v>
      </c>
      <c r="Z100" s="492">
        <v>105</v>
      </c>
      <c r="AA100" s="563">
        <v>0</v>
      </c>
      <c r="AB100" s="570">
        <v>0</v>
      </c>
      <c r="AC100" s="571">
        <v>0</v>
      </c>
      <c r="AD100" s="574">
        <f t="shared" si="56"/>
        <v>1</v>
      </c>
      <c r="AE100" s="495">
        <f t="shared" si="57"/>
        <v>926</v>
      </c>
      <c r="AF100" s="496">
        <f t="shared" si="94"/>
        <v>1</v>
      </c>
      <c r="AG100" s="497">
        <f t="shared" si="59"/>
        <v>926</v>
      </c>
      <c r="AH100" s="494">
        <f t="shared" si="95"/>
        <v>1</v>
      </c>
      <c r="AI100" s="497">
        <f t="shared" si="61"/>
        <v>926</v>
      </c>
      <c r="AJ100" s="498" t="str">
        <f t="shared" si="96"/>
        <v>80-100%</v>
      </c>
      <c r="AK100" s="494">
        <f t="shared" si="97"/>
        <v>0</v>
      </c>
      <c r="AL100" s="499">
        <f t="shared" si="98"/>
        <v>0</v>
      </c>
      <c r="AM100" s="497">
        <f t="shared" si="99"/>
        <v>0</v>
      </c>
      <c r="AN100" s="497">
        <f t="shared" si="100"/>
        <v>0</v>
      </c>
      <c r="AO100" s="497">
        <f t="shared" si="67"/>
        <v>0</v>
      </c>
      <c r="AP100" s="568">
        <v>1</v>
      </c>
      <c r="AQ100" s="577">
        <f t="shared" si="68"/>
        <v>926</v>
      </c>
      <c r="AR100" s="581"/>
      <c r="AS100" s="537">
        <v>0</v>
      </c>
      <c r="AT100" s="492">
        <v>100</v>
      </c>
      <c r="AU100" s="492">
        <v>12</v>
      </c>
      <c r="AV100" s="492" t="s">
        <v>856</v>
      </c>
      <c r="AW100" s="500">
        <f t="shared" si="101"/>
        <v>1</v>
      </c>
      <c r="AX100" s="497">
        <f t="shared" si="70"/>
        <v>926</v>
      </c>
      <c r="AY100" s="500">
        <f t="shared" si="102"/>
        <v>0.74082073434125273</v>
      </c>
      <c r="AZ100" s="497">
        <f t="shared" si="72"/>
        <v>686</v>
      </c>
      <c r="BA100" s="500">
        <f t="shared" si="103"/>
        <v>0.25917926565874733</v>
      </c>
      <c r="BB100" s="497">
        <f t="shared" si="74"/>
        <v>240.00000000000003</v>
      </c>
      <c r="BC100" s="492">
        <v>0</v>
      </c>
      <c r="BD100" s="493">
        <v>1</v>
      </c>
      <c r="BE100" s="501">
        <f t="shared" si="104"/>
        <v>926</v>
      </c>
      <c r="BF100" s="502">
        <f t="shared" si="76"/>
        <v>34.299999999999997</v>
      </c>
      <c r="BG100" s="492">
        <v>163</v>
      </c>
      <c r="BH100" s="492" t="s">
        <v>91</v>
      </c>
      <c r="BI100" s="500">
        <f t="shared" si="77"/>
        <v>1</v>
      </c>
      <c r="BJ100" s="497">
        <f t="shared" si="78"/>
        <v>926</v>
      </c>
      <c r="BK100" s="502">
        <f t="shared" si="79"/>
        <v>0</v>
      </c>
      <c r="BL100" s="493">
        <v>1</v>
      </c>
      <c r="BM100" s="497">
        <f t="shared" si="80"/>
        <v>926</v>
      </c>
      <c r="BN100" s="492">
        <v>0</v>
      </c>
      <c r="BO100" s="500">
        <f t="shared" si="105"/>
        <v>0</v>
      </c>
      <c r="BP100" s="502">
        <f t="shared" si="106"/>
        <v>9.26</v>
      </c>
      <c r="BQ100" s="568">
        <v>0</v>
      </c>
      <c r="BR100" s="580" t="s">
        <v>916</v>
      </c>
      <c r="BS100" s="594"/>
      <c r="BT100" s="503" t="str">
        <f t="shared" si="90"/>
        <v>To be realised</v>
      </c>
      <c r="BU100" s="546">
        <v>0</v>
      </c>
      <c r="BV100" s="546">
        <v>0</v>
      </c>
      <c r="BW100" s="504">
        <f t="shared" si="91"/>
        <v>195</v>
      </c>
      <c r="BX100" s="505">
        <f t="shared" si="107"/>
        <v>0</v>
      </c>
      <c r="BY100" s="497">
        <f t="shared" si="108"/>
        <v>0</v>
      </c>
      <c r="BZ100" s="595" t="str">
        <f t="shared" si="92"/>
        <v>Column BN to be completed</v>
      </c>
      <c r="CA100" s="537" t="s">
        <v>919</v>
      </c>
      <c r="CB100" s="568">
        <v>1</v>
      </c>
      <c r="CC100" s="605">
        <f t="shared" si="88"/>
        <v>926</v>
      </c>
      <c r="CD100" s="537">
        <v>4</v>
      </c>
      <c r="CE100" s="506" t="str">
        <f t="shared" si="89"/>
        <v>Excellent coverage</v>
      </c>
      <c r="CF100" s="492">
        <v>0</v>
      </c>
      <c r="CG100" s="538" t="s">
        <v>813</v>
      </c>
      <c r="CH100" s="580"/>
    </row>
    <row r="101" spans="2:86" s="40" customFormat="1" ht="30" customHeight="1" x14ac:dyDescent="0.2">
      <c r="B101" s="527" t="s">
        <v>180</v>
      </c>
      <c r="C101" s="488" t="s">
        <v>580</v>
      </c>
      <c r="D101" s="117" t="s">
        <v>267</v>
      </c>
      <c r="E101" s="488" t="s">
        <v>181</v>
      </c>
      <c r="F101" s="117">
        <v>97.252650000000003</v>
      </c>
      <c r="G101" s="117">
        <v>24.260466999999998</v>
      </c>
      <c r="H101" s="117" t="s">
        <v>509</v>
      </c>
      <c r="I101" s="117" t="s">
        <v>218</v>
      </c>
      <c r="J101" s="463">
        <v>13</v>
      </c>
      <c r="K101" s="463">
        <v>58</v>
      </c>
      <c r="L101" s="463">
        <v>58</v>
      </c>
      <c r="M101" s="490" t="str">
        <f t="shared" si="93"/>
        <v>1. Small</v>
      </c>
      <c r="N101" s="547" t="s">
        <v>239</v>
      </c>
      <c r="O101" s="554" t="s">
        <v>237</v>
      </c>
      <c r="P101" s="545" t="str">
        <f t="shared" si="54"/>
        <v>Covered</v>
      </c>
      <c r="Q101" s="461">
        <v>42124</v>
      </c>
      <c r="R101" s="117"/>
      <c r="S101" s="461"/>
      <c r="T101" s="529" t="s">
        <v>260</v>
      </c>
      <c r="U101" s="533" t="str">
        <f t="shared" si="55"/>
        <v>Documented</v>
      </c>
      <c r="V101" s="539">
        <v>0</v>
      </c>
      <c r="W101" s="463">
        <v>0</v>
      </c>
      <c r="X101" s="561" t="s">
        <v>19</v>
      </c>
      <c r="Y101" s="539">
        <v>1</v>
      </c>
      <c r="Z101" s="463">
        <v>0</v>
      </c>
      <c r="AA101" s="561">
        <v>0</v>
      </c>
      <c r="AB101" s="569">
        <v>0</v>
      </c>
      <c r="AC101" s="542">
        <v>0</v>
      </c>
      <c r="AD101" s="574">
        <f t="shared" si="56"/>
        <v>1</v>
      </c>
      <c r="AE101" s="495">
        <f t="shared" si="57"/>
        <v>58</v>
      </c>
      <c r="AF101" s="496">
        <f t="shared" si="94"/>
        <v>1</v>
      </c>
      <c r="AG101" s="497">
        <f t="shared" si="59"/>
        <v>58</v>
      </c>
      <c r="AH101" s="494">
        <f t="shared" si="95"/>
        <v>1</v>
      </c>
      <c r="AI101" s="497">
        <f t="shared" si="61"/>
        <v>58</v>
      </c>
      <c r="AJ101" s="498" t="str">
        <f t="shared" si="96"/>
        <v>80-100%</v>
      </c>
      <c r="AK101" s="494">
        <f t="shared" si="97"/>
        <v>0</v>
      </c>
      <c r="AL101" s="499">
        <f t="shared" si="98"/>
        <v>0</v>
      </c>
      <c r="AM101" s="497">
        <f t="shared" si="99"/>
        <v>0</v>
      </c>
      <c r="AN101" s="497">
        <f t="shared" si="100"/>
        <v>0</v>
      </c>
      <c r="AO101" s="497">
        <f t="shared" si="67"/>
        <v>0</v>
      </c>
      <c r="AP101" s="542">
        <v>1</v>
      </c>
      <c r="AQ101" s="577">
        <f t="shared" si="68"/>
        <v>58</v>
      </c>
      <c r="AR101" s="582"/>
      <c r="AS101" s="539">
        <v>2</v>
      </c>
      <c r="AT101" s="463">
        <v>3</v>
      </c>
      <c r="AU101" s="463">
        <v>0</v>
      </c>
      <c r="AV101" s="463" t="s">
        <v>91</v>
      </c>
      <c r="AW101" s="500">
        <f t="shared" si="101"/>
        <v>1</v>
      </c>
      <c r="AX101" s="497">
        <f t="shared" si="70"/>
        <v>58</v>
      </c>
      <c r="AY101" s="500">
        <f t="shared" si="102"/>
        <v>1</v>
      </c>
      <c r="AZ101" s="497">
        <f t="shared" si="72"/>
        <v>58</v>
      </c>
      <c r="BA101" s="500">
        <f t="shared" si="103"/>
        <v>0</v>
      </c>
      <c r="BB101" s="497">
        <f t="shared" si="74"/>
        <v>0</v>
      </c>
      <c r="BC101" s="465">
        <v>0</v>
      </c>
      <c r="BD101" s="464">
        <v>1</v>
      </c>
      <c r="BE101" s="501">
        <f t="shared" si="104"/>
        <v>58</v>
      </c>
      <c r="BF101" s="502">
        <f t="shared" si="76"/>
        <v>2.9</v>
      </c>
      <c r="BG101" s="466">
        <v>0</v>
      </c>
      <c r="BH101" s="463" t="s">
        <v>91</v>
      </c>
      <c r="BI101" s="500">
        <f t="shared" si="77"/>
        <v>0</v>
      </c>
      <c r="BJ101" s="497">
        <f t="shared" si="78"/>
        <v>0</v>
      </c>
      <c r="BK101" s="502">
        <f t="shared" si="79"/>
        <v>0.57999999999999996</v>
      </c>
      <c r="BL101" s="467">
        <v>0</v>
      </c>
      <c r="BM101" s="497">
        <f t="shared" si="80"/>
        <v>0</v>
      </c>
      <c r="BN101" s="463">
        <v>1</v>
      </c>
      <c r="BO101" s="500">
        <f t="shared" si="105"/>
        <v>1</v>
      </c>
      <c r="BP101" s="502">
        <f t="shared" si="106"/>
        <v>0</v>
      </c>
      <c r="BQ101" s="542">
        <v>1</v>
      </c>
      <c r="BR101" s="582"/>
      <c r="BS101" s="596">
        <v>41771</v>
      </c>
      <c r="BT101" s="503">
        <f t="shared" si="90"/>
        <v>42136</v>
      </c>
      <c r="BU101" s="465">
        <v>13</v>
      </c>
      <c r="BV101" s="465">
        <v>6</v>
      </c>
      <c r="BW101" s="504">
        <f t="shared" si="91"/>
        <v>0</v>
      </c>
      <c r="BX101" s="505">
        <f t="shared" si="107"/>
        <v>1</v>
      </c>
      <c r="BY101" s="497">
        <f t="shared" si="108"/>
        <v>58</v>
      </c>
      <c r="BZ101" s="595">
        <f t="shared" si="92"/>
        <v>5</v>
      </c>
      <c r="CA101" s="602"/>
      <c r="CB101" s="542">
        <v>0.9</v>
      </c>
      <c r="CC101" s="605">
        <f t="shared" si="88"/>
        <v>52.2</v>
      </c>
      <c r="CD101" s="602">
        <v>0</v>
      </c>
      <c r="CE101" s="506" t="str">
        <f t="shared" si="89"/>
        <v>No coverage</v>
      </c>
      <c r="CF101" s="492">
        <v>0</v>
      </c>
      <c r="CG101" s="607" t="s">
        <v>66</v>
      </c>
      <c r="CH101" s="610"/>
    </row>
    <row r="102" spans="2:86" s="40" customFormat="1" ht="30" customHeight="1" x14ac:dyDescent="0.2">
      <c r="B102" s="527" t="s">
        <v>180</v>
      </c>
      <c r="C102" s="488" t="s">
        <v>581</v>
      </c>
      <c r="D102" s="117" t="s">
        <v>267</v>
      </c>
      <c r="E102" s="488" t="s">
        <v>282</v>
      </c>
      <c r="F102" s="117">
        <v>97.236919999999998</v>
      </c>
      <c r="G102" s="117">
        <v>24.24766</v>
      </c>
      <c r="H102" s="117" t="s">
        <v>509</v>
      </c>
      <c r="I102" s="117" t="s">
        <v>218</v>
      </c>
      <c r="J102" s="463">
        <v>45</v>
      </c>
      <c r="K102" s="463">
        <v>236</v>
      </c>
      <c r="L102" s="463">
        <v>241</v>
      </c>
      <c r="M102" s="490" t="str">
        <f t="shared" si="93"/>
        <v>1. Small</v>
      </c>
      <c r="N102" s="547" t="s">
        <v>239</v>
      </c>
      <c r="O102" s="554" t="s">
        <v>237</v>
      </c>
      <c r="P102" s="545" t="str">
        <f t="shared" si="54"/>
        <v>Covered</v>
      </c>
      <c r="Q102" s="461">
        <v>42124</v>
      </c>
      <c r="R102" s="117"/>
      <c r="S102" s="461"/>
      <c r="T102" s="529" t="s">
        <v>260</v>
      </c>
      <c r="U102" s="533" t="str">
        <f t="shared" si="55"/>
        <v>Documented</v>
      </c>
      <c r="V102" s="539">
        <v>0</v>
      </c>
      <c r="W102" s="463">
        <v>0</v>
      </c>
      <c r="X102" s="561" t="s">
        <v>19</v>
      </c>
      <c r="Y102" s="539">
        <v>1</v>
      </c>
      <c r="Z102" s="463">
        <v>0</v>
      </c>
      <c r="AA102" s="561">
        <v>14400</v>
      </c>
      <c r="AB102" s="569">
        <v>7.0000000000000007E-2</v>
      </c>
      <c r="AC102" s="542">
        <v>0</v>
      </c>
      <c r="AD102" s="574">
        <f t="shared" si="56"/>
        <v>1</v>
      </c>
      <c r="AE102" s="495">
        <f t="shared" si="57"/>
        <v>241</v>
      </c>
      <c r="AF102" s="496">
        <f t="shared" si="94"/>
        <v>1</v>
      </c>
      <c r="AG102" s="497">
        <f t="shared" si="59"/>
        <v>241</v>
      </c>
      <c r="AH102" s="494">
        <f t="shared" si="95"/>
        <v>1</v>
      </c>
      <c r="AI102" s="497">
        <f t="shared" si="61"/>
        <v>241</v>
      </c>
      <c r="AJ102" s="498" t="str">
        <f t="shared" si="96"/>
        <v>80-100%</v>
      </c>
      <c r="AK102" s="494">
        <f t="shared" si="97"/>
        <v>0</v>
      </c>
      <c r="AL102" s="499">
        <f t="shared" si="98"/>
        <v>0</v>
      </c>
      <c r="AM102" s="497">
        <f t="shared" si="99"/>
        <v>0</v>
      </c>
      <c r="AN102" s="497">
        <f t="shared" si="100"/>
        <v>0</v>
      </c>
      <c r="AO102" s="497">
        <f t="shared" si="67"/>
        <v>16.87</v>
      </c>
      <c r="AP102" s="542">
        <v>1</v>
      </c>
      <c r="AQ102" s="577">
        <f t="shared" si="68"/>
        <v>241</v>
      </c>
      <c r="AR102" s="582"/>
      <c r="AS102" s="539">
        <v>24</v>
      </c>
      <c r="AT102" s="463">
        <v>2</v>
      </c>
      <c r="AU102" s="463">
        <v>7</v>
      </c>
      <c r="AV102" s="463" t="s">
        <v>299</v>
      </c>
      <c r="AW102" s="500">
        <f t="shared" si="101"/>
        <v>0.74688796680497926</v>
      </c>
      <c r="AX102" s="497">
        <f t="shared" si="70"/>
        <v>180</v>
      </c>
      <c r="AY102" s="500">
        <f t="shared" si="102"/>
        <v>0.1659751037344398</v>
      </c>
      <c r="AZ102" s="497">
        <f t="shared" si="72"/>
        <v>39.999999999999993</v>
      </c>
      <c r="BA102" s="500">
        <f t="shared" si="103"/>
        <v>0.58091286307053946</v>
      </c>
      <c r="BB102" s="497">
        <f t="shared" si="74"/>
        <v>140</v>
      </c>
      <c r="BC102" s="465">
        <v>0</v>
      </c>
      <c r="BD102" s="464">
        <v>0.75</v>
      </c>
      <c r="BE102" s="501">
        <f t="shared" si="104"/>
        <v>180.75</v>
      </c>
      <c r="BF102" s="502">
        <f t="shared" si="76"/>
        <v>5.0500000000000007</v>
      </c>
      <c r="BG102" s="466">
        <v>2</v>
      </c>
      <c r="BH102" s="463" t="s">
        <v>301</v>
      </c>
      <c r="BI102" s="500">
        <f t="shared" si="77"/>
        <v>0.82987551867219922</v>
      </c>
      <c r="BJ102" s="497">
        <f t="shared" si="78"/>
        <v>200</v>
      </c>
      <c r="BK102" s="502">
        <f t="shared" si="79"/>
        <v>0.35999999999999988</v>
      </c>
      <c r="BL102" s="467">
        <v>0.83</v>
      </c>
      <c r="BM102" s="497">
        <f t="shared" si="80"/>
        <v>200.03</v>
      </c>
      <c r="BN102" s="463">
        <v>4</v>
      </c>
      <c r="BO102" s="500">
        <f t="shared" si="105"/>
        <v>1</v>
      </c>
      <c r="BP102" s="502">
        <f t="shared" si="106"/>
        <v>0</v>
      </c>
      <c r="BQ102" s="542">
        <v>1</v>
      </c>
      <c r="BR102" s="582"/>
      <c r="BS102" s="596">
        <v>41828</v>
      </c>
      <c r="BT102" s="503">
        <f t="shared" si="90"/>
        <v>42193</v>
      </c>
      <c r="BU102" s="465">
        <v>46</v>
      </c>
      <c r="BV102" s="465">
        <v>6</v>
      </c>
      <c r="BW102" s="504">
        <f t="shared" si="91"/>
        <v>0</v>
      </c>
      <c r="BX102" s="505">
        <f t="shared" si="107"/>
        <v>1</v>
      </c>
      <c r="BY102" s="497">
        <f t="shared" si="108"/>
        <v>241</v>
      </c>
      <c r="BZ102" s="595">
        <f t="shared" si="92"/>
        <v>3</v>
      </c>
      <c r="CA102" s="602"/>
      <c r="CB102" s="542">
        <v>0.8</v>
      </c>
      <c r="CC102" s="605">
        <f t="shared" si="88"/>
        <v>192.8</v>
      </c>
      <c r="CD102" s="602">
        <v>1</v>
      </c>
      <c r="CE102" s="506" t="str">
        <f t="shared" si="89"/>
        <v>Excellent coverage</v>
      </c>
      <c r="CF102" s="492">
        <v>0</v>
      </c>
      <c r="CG102" s="607" t="s">
        <v>65</v>
      </c>
      <c r="CH102" s="610"/>
    </row>
    <row r="103" spans="2:86" s="40" customFormat="1" ht="30" customHeight="1" x14ac:dyDescent="0.2">
      <c r="B103" s="527" t="s">
        <v>180</v>
      </c>
      <c r="C103" s="488" t="s">
        <v>582</v>
      </c>
      <c r="D103" s="117" t="s">
        <v>267</v>
      </c>
      <c r="E103" s="488" t="s">
        <v>182</v>
      </c>
      <c r="F103" s="117">
        <v>97.241630000000001</v>
      </c>
      <c r="G103" s="117">
        <v>24.266110000000001</v>
      </c>
      <c r="H103" s="117" t="s">
        <v>509</v>
      </c>
      <c r="I103" s="117" t="s">
        <v>218</v>
      </c>
      <c r="J103" s="463">
        <v>91</v>
      </c>
      <c r="K103" s="463">
        <v>511</v>
      </c>
      <c r="L103" s="463">
        <v>553</v>
      </c>
      <c r="M103" s="490" t="str">
        <f t="shared" si="93"/>
        <v>2. Medium</v>
      </c>
      <c r="N103" s="547" t="s">
        <v>284</v>
      </c>
      <c r="O103" s="554" t="s">
        <v>237</v>
      </c>
      <c r="P103" s="545" t="str">
        <f t="shared" si="54"/>
        <v>Covered</v>
      </c>
      <c r="Q103" s="461">
        <v>42124</v>
      </c>
      <c r="R103" s="117"/>
      <c r="S103" s="461"/>
      <c r="T103" s="529" t="s">
        <v>260</v>
      </c>
      <c r="U103" s="533" t="str">
        <f t="shared" si="55"/>
        <v>Documented</v>
      </c>
      <c r="V103" s="539">
        <v>0</v>
      </c>
      <c r="W103" s="463">
        <v>0</v>
      </c>
      <c r="X103" s="561" t="s">
        <v>19</v>
      </c>
      <c r="Y103" s="539">
        <v>3</v>
      </c>
      <c r="Z103" s="463">
        <v>0</v>
      </c>
      <c r="AA103" s="561">
        <v>13500</v>
      </c>
      <c r="AB103" s="569">
        <v>0.01</v>
      </c>
      <c r="AC103" s="542">
        <v>0</v>
      </c>
      <c r="AD103" s="574">
        <f t="shared" si="56"/>
        <v>1</v>
      </c>
      <c r="AE103" s="495">
        <f t="shared" si="57"/>
        <v>553</v>
      </c>
      <c r="AF103" s="496">
        <f t="shared" si="94"/>
        <v>1</v>
      </c>
      <c r="AG103" s="497">
        <f t="shared" si="59"/>
        <v>553</v>
      </c>
      <c r="AH103" s="494">
        <f t="shared" si="95"/>
        <v>1</v>
      </c>
      <c r="AI103" s="497">
        <f t="shared" si="61"/>
        <v>553</v>
      </c>
      <c r="AJ103" s="498" t="str">
        <f t="shared" si="96"/>
        <v>80-100%</v>
      </c>
      <c r="AK103" s="494">
        <f t="shared" si="97"/>
        <v>0</v>
      </c>
      <c r="AL103" s="499">
        <f t="shared" si="98"/>
        <v>0</v>
      </c>
      <c r="AM103" s="497">
        <f t="shared" si="99"/>
        <v>0</v>
      </c>
      <c r="AN103" s="497">
        <f t="shared" si="100"/>
        <v>0</v>
      </c>
      <c r="AO103" s="497">
        <f t="shared" si="67"/>
        <v>5.53</v>
      </c>
      <c r="AP103" s="542">
        <v>1</v>
      </c>
      <c r="AQ103" s="577">
        <f t="shared" si="68"/>
        <v>553</v>
      </c>
      <c r="AR103" s="582"/>
      <c r="AS103" s="539">
        <v>12</v>
      </c>
      <c r="AT103" s="463">
        <v>8</v>
      </c>
      <c r="AU103" s="463">
        <v>14</v>
      </c>
      <c r="AV103" s="463" t="s">
        <v>299</v>
      </c>
      <c r="AW103" s="500">
        <f t="shared" si="101"/>
        <v>0.79566003616636527</v>
      </c>
      <c r="AX103" s="497">
        <f t="shared" si="70"/>
        <v>440</v>
      </c>
      <c r="AY103" s="500">
        <f t="shared" si="102"/>
        <v>0.2893309222423146</v>
      </c>
      <c r="AZ103" s="497">
        <f t="shared" si="72"/>
        <v>159.99999999999997</v>
      </c>
      <c r="BA103" s="500">
        <f t="shared" si="103"/>
        <v>0.50632911392405067</v>
      </c>
      <c r="BB103" s="497">
        <f t="shared" si="74"/>
        <v>280</v>
      </c>
      <c r="BC103" s="465">
        <v>0</v>
      </c>
      <c r="BD103" s="464">
        <v>0.8</v>
      </c>
      <c r="BE103" s="501">
        <f t="shared" si="104"/>
        <v>442.40000000000003</v>
      </c>
      <c r="BF103" s="502">
        <f t="shared" si="76"/>
        <v>13.649999999999999</v>
      </c>
      <c r="BG103" s="466">
        <v>4</v>
      </c>
      <c r="BH103" s="463" t="s">
        <v>300</v>
      </c>
      <c r="BI103" s="500">
        <f t="shared" si="77"/>
        <v>0.72332730560578662</v>
      </c>
      <c r="BJ103" s="497">
        <f t="shared" si="78"/>
        <v>400</v>
      </c>
      <c r="BK103" s="502">
        <f t="shared" si="79"/>
        <v>1.1100000000000003</v>
      </c>
      <c r="BL103" s="467">
        <v>0.72</v>
      </c>
      <c r="BM103" s="497">
        <f t="shared" si="80"/>
        <v>398.15999999999997</v>
      </c>
      <c r="BN103" s="463">
        <v>7</v>
      </c>
      <c r="BO103" s="500">
        <f t="shared" si="105"/>
        <v>1</v>
      </c>
      <c r="BP103" s="502">
        <f t="shared" si="106"/>
        <v>0</v>
      </c>
      <c r="BQ103" s="542">
        <v>1</v>
      </c>
      <c r="BR103" s="582"/>
      <c r="BS103" s="596">
        <v>41766</v>
      </c>
      <c r="BT103" s="503">
        <f t="shared" si="90"/>
        <v>42131</v>
      </c>
      <c r="BU103" s="465">
        <v>103</v>
      </c>
      <c r="BV103" s="465">
        <v>6</v>
      </c>
      <c r="BW103" s="504">
        <f t="shared" si="91"/>
        <v>0</v>
      </c>
      <c r="BX103" s="505">
        <f t="shared" si="107"/>
        <v>1</v>
      </c>
      <c r="BY103" s="497">
        <f t="shared" si="108"/>
        <v>553</v>
      </c>
      <c r="BZ103" s="595">
        <f t="shared" si="92"/>
        <v>5</v>
      </c>
      <c r="CA103" s="602"/>
      <c r="CB103" s="542">
        <v>0.8</v>
      </c>
      <c r="CC103" s="605">
        <f t="shared" si="88"/>
        <v>442.40000000000003</v>
      </c>
      <c r="CD103" s="602">
        <v>2</v>
      </c>
      <c r="CE103" s="506" t="str">
        <f t="shared" si="89"/>
        <v>Excellent coverage</v>
      </c>
      <c r="CF103" s="492">
        <v>0</v>
      </c>
      <c r="CG103" s="607" t="s">
        <v>302</v>
      </c>
      <c r="CH103" s="610"/>
    </row>
    <row r="104" spans="2:86" s="40" customFormat="1" ht="30" customHeight="1" x14ac:dyDescent="0.2">
      <c r="B104" s="527" t="s">
        <v>180</v>
      </c>
      <c r="C104" s="488" t="s">
        <v>583</v>
      </c>
      <c r="D104" s="117" t="s">
        <v>267</v>
      </c>
      <c r="E104" s="488" t="s">
        <v>531</v>
      </c>
      <c r="F104" s="117">
        <v>97.234200000000001</v>
      </c>
      <c r="G104" s="117">
        <v>24.253067000000001</v>
      </c>
      <c r="H104" s="117" t="s">
        <v>509</v>
      </c>
      <c r="I104" s="117" t="s">
        <v>218</v>
      </c>
      <c r="J104" s="463">
        <v>21</v>
      </c>
      <c r="K104" s="463">
        <v>96</v>
      </c>
      <c r="L104" s="463">
        <v>96</v>
      </c>
      <c r="M104" s="490" t="str">
        <f t="shared" si="93"/>
        <v>1. Small</v>
      </c>
      <c r="N104" s="547" t="s">
        <v>284</v>
      </c>
      <c r="O104" s="554" t="s">
        <v>237</v>
      </c>
      <c r="P104" s="545" t="str">
        <f t="shared" si="54"/>
        <v>Covered</v>
      </c>
      <c r="Q104" s="461">
        <v>42124</v>
      </c>
      <c r="R104" s="117"/>
      <c r="S104" s="461"/>
      <c r="T104" s="529" t="s">
        <v>260</v>
      </c>
      <c r="U104" s="533" t="str">
        <f t="shared" si="55"/>
        <v>Documented</v>
      </c>
      <c r="V104" s="539">
        <v>0</v>
      </c>
      <c r="W104" s="463">
        <v>0</v>
      </c>
      <c r="X104" s="561" t="s">
        <v>19</v>
      </c>
      <c r="Y104" s="539">
        <v>0</v>
      </c>
      <c r="Z104" s="463">
        <v>2</v>
      </c>
      <c r="AA104" s="561">
        <v>0</v>
      </c>
      <c r="AB104" s="569">
        <v>0</v>
      </c>
      <c r="AC104" s="542">
        <v>0</v>
      </c>
      <c r="AD104" s="574">
        <f t="shared" si="56"/>
        <v>1</v>
      </c>
      <c r="AE104" s="495">
        <f t="shared" si="57"/>
        <v>96</v>
      </c>
      <c r="AF104" s="496">
        <f t="shared" si="94"/>
        <v>1</v>
      </c>
      <c r="AG104" s="497">
        <f t="shared" si="59"/>
        <v>96</v>
      </c>
      <c r="AH104" s="494">
        <f t="shared" si="95"/>
        <v>1</v>
      </c>
      <c r="AI104" s="497">
        <f t="shared" si="61"/>
        <v>96</v>
      </c>
      <c r="AJ104" s="498" t="str">
        <f t="shared" si="96"/>
        <v>80-100%</v>
      </c>
      <c r="AK104" s="494">
        <f t="shared" si="97"/>
        <v>0</v>
      </c>
      <c r="AL104" s="499">
        <f t="shared" si="98"/>
        <v>0</v>
      </c>
      <c r="AM104" s="497">
        <f t="shared" si="99"/>
        <v>0</v>
      </c>
      <c r="AN104" s="497">
        <f t="shared" si="100"/>
        <v>0</v>
      </c>
      <c r="AO104" s="497">
        <f t="shared" si="67"/>
        <v>0</v>
      </c>
      <c r="AP104" s="542">
        <v>1</v>
      </c>
      <c r="AQ104" s="577">
        <f t="shared" si="68"/>
        <v>96</v>
      </c>
      <c r="AR104" s="582"/>
      <c r="AS104" s="539">
        <v>2</v>
      </c>
      <c r="AT104" s="463">
        <v>0</v>
      </c>
      <c r="AU104" s="463">
        <v>4</v>
      </c>
      <c r="AV104" s="463" t="s">
        <v>91</v>
      </c>
      <c r="AW104" s="500">
        <f t="shared" si="101"/>
        <v>0.83333333333333337</v>
      </c>
      <c r="AX104" s="497">
        <f t="shared" si="70"/>
        <v>80</v>
      </c>
      <c r="AY104" s="500">
        <f t="shared" si="102"/>
        <v>0</v>
      </c>
      <c r="AZ104" s="497">
        <f t="shared" si="72"/>
        <v>0</v>
      </c>
      <c r="BA104" s="500">
        <f t="shared" si="103"/>
        <v>0.83333333333333337</v>
      </c>
      <c r="BB104" s="497">
        <f t="shared" si="74"/>
        <v>80</v>
      </c>
      <c r="BC104" s="465">
        <v>0</v>
      </c>
      <c r="BD104" s="464">
        <v>0.83</v>
      </c>
      <c r="BE104" s="501">
        <f t="shared" si="104"/>
        <v>79.679999999999993</v>
      </c>
      <c r="BF104" s="502">
        <f t="shared" si="76"/>
        <v>0.79999999999999982</v>
      </c>
      <c r="BG104" s="466">
        <v>3</v>
      </c>
      <c r="BH104" s="463" t="s">
        <v>91</v>
      </c>
      <c r="BI104" s="500">
        <f t="shared" si="77"/>
        <v>1</v>
      </c>
      <c r="BJ104" s="497">
        <f t="shared" si="78"/>
        <v>96</v>
      </c>
      <c r="BK104" s="502">
        <f t="shared" si="79"/>
        <v>0</v>
      </c>
      <c r="BL104" s="467">
        <v>1</v>
      </c>
      <c r="BM104" s="497">
        <f t="shared" si="80"/>
        <v>96</v>
      </c>
      <c r="BN104" s="463">
        <v>3</v>
      </c>
      <c r="BO104" s="500">
        <f t="shared" si="105"/>
        <v>1</v>
      </c>
      <c r="BP104" s="502">
        <f t="shared" si="106"/>
        <v>0</v>
      </c>
      <c r="BQ104" s="542">
        <v>1</v>
      </c>
      <c r="BR104" s="582"/>
      <c r="BS104" s="596">
        <v>41766</v>
      </c>
      <c r="BT104" s="503">
        <f t="shared" si="90"/>
        <v>42131</v>
      </c>
      <c r="BU104" s="465">
        <v>19</v>
      </c>
      <c r="BV104" s="465">
        <v>6</v>
      </c>
      <c r="BW104" s="504">
        <f t="shared" si="91"/>
        <v>2</v>
      </c>
      <c r="BX104" s="505">
        <f t="shared" si="107"/>
        <v>0.90476190476190477</v>
      </c>
      <c r="BY104" s="497">
        <f t="shared" si="108"/>
        <v>86.857142857142861</v>
      </c>
      <c r="BZ104" s="595">
        <f t="shared" si="92"/>
        <v>5</v>
      </c>
      <c r="CA104" s="602"/>
      <c r="CB104" s="542">
        <v>0.8</v>
      </c>
      <c r="CC104" s="605">
        <f t="shared" si="88"/>
        <v>76.800000000000011</v>
      </c>
      <c r="CD104" s="602">
        <v>1</v>
      </c>
      <c r="CE104" s="506" t="str">
        <f t="shared" si="89"/>
        <v>Excellent coverage</v>
      </c>
      <c r="CF104" s="492">
        <v>0</v>
      </c>
      <c r="CG104" s="607" t="s">
        <v>66</v>
      </c>
      <c r="CH104" s="610"/>
    </row>
    <row r="105" spans="2:86" s="40" customFormat="1" ht="30" customHeight="1" x14ac:dyDescent="0.2">
      <c r="B105" s="527" t="s">
        <v>180</v>
      </c>
      <c r="C105" s="488" t="s">
        <v>584</v>
      </c>
      <c r="D105" s="117" t="s">
        <v>267</v>
      </c>
      <c r="E105" s="488" t="s">
        <v>183</v>
      </c>
      <c r="F105" s="117">
        <v>97.315860000000001</v>
      </c>
      <c r="G105" s="117">
        <v>24.32638</v>
      </c>
      <c r="H105" s="117" t="s">
        <v>509</v>
      </c>
      <c r="I105" s="117" t="s">
        <v>218</v>
      </c>
      <c r="J105" s="463">
        <v>22</v>
      </c>
      <c r="K105" s="463">
        <v>125</v>
      </c>
      <c r="L105" s="463">
        <v>125</v>
      </c>
      <c r="M105" s="490" t="str">
        <f t="shared" si="93"/>
        <v>1. Small</v>
      </c>
      <c r="N105" s="547" t="s">
        <v>235</v>
      </c>
      <c r="O105" s="554" t="s">
        <v>237</v>
      </c>
      <c r="P105" s="545" t="str">
        <f t="shared" si="54"/>
        <v>Covered</v>
      </c>
      <c r="Q105" s="461">
        <v>42124</v>
      </c>
      <c r="R105" s="117"/>
      <c r="S105" s="461"/>
      <c r="T105" s="529" t="s">
        <v>260</v>
      </c>
      <c r="U105" s="533" t="str">
        <f t="shared" si="55"/>
        <v>Documented</v>
      </c>
      <c r="V105" s="539">
        <v>0</v>
      </c>
      <c r="W105" s="463">
        <v>0</v>
      </c>
      <c r="X105" s="561" t="s">
        <v>19</v>
      </c>
      <c r="Y105" s="539">
        <v>0</v>
      </c>
      <c r="Z105" s="463">
        <v>0</v>
      </c>
      <c r="AA105" s="561">
        <v>4860</v>
      </c>
      <c r="AB105" s="569">
        <v>0</v>
      </c>
      <c r="AC105" s="542">
        <v>0.5</v>
      </c>
      <c r="AD105" s="574">
        <f t="shared" si="56"/>
        <v>1</v>
      </c>
      <c r="AE105" s="495">
        <f t="shared" si="57"/>
        <v>125</v>
      </c>
      <c r="AF105" s="496">
        <f t="shared" si="94"/>
        <v>1</v>
      </c>
      <c r="AG105" s="497">
        <f t="shared" si="59"/>
        <v>125</v>
      </c>
      <c r="AH105" s="494">
        <f t="shared" si="95"/>
        <v>1</v>
      </c>
      <c r="AI105" s="497">
        <f t="shared" si="61"/>
        <v>125</v>
      </c>
      <c r="AJ105" s="498" t="str">
        <f t="shared" si="96"/>
        <v>80-100%</v>
      </c>
      <c r="AK105" s="494">
        <f t="shared" si="97"/>
        <v>0</v>
      </c>
      <c r="AL105" s="499">
        <f t="shared" si="98"/>
        <v>0</v>
      </c>
      <c r="AM105" s="497">
        <f t="shared" si="99"/>
        <v>0.3125</v>
      </c>
      <c r="AN105" s="497">
        <f t="shared" si="100"/>
        <v>11</v>
      </c>
      <c r="AO105" s="497">
        <f t="shared" si="67"/>
        <v>0</v>
      </c>
      <c r="AP105" s="542">
        <v>1</v>
      </c>
      <c r="AQ105" s="577">
        <f t="shared" si="68"/>
        <v>125</v>
      </c>
      <c r="AR105" s="582"/>
      <c r="AS105" s="539">
        <v>8</v>
      </c>
      <c r="AT105" s="463">
        <v>0</v>
      </c>
      <c r="AU105" s="463">
        <v>10</v>
      </c>
      <c r="AV105" s="463" t="s">
        <v>300</v>
      </c>
      <c r="AW105" s="500">
        <f t="shared" si="101"/>
        <v>1</v>
      </c>
      <c r="AX105" s="497">
        <f t="shared" si="70"/>
        <v>125</v>
      </c>
      <c r="AY105" s="500">
        <f t="shared" si="102"/>
        <v>0</v>
      </c>
      <c r="AZ105" s="497">
        <f t="shared" si="72"/>
        <v>0</v>
      </c>
      <c r="BA105" s="500">
        <f t="shared" si="103"/>
        <v>1</v>
      </c>
      <c r="BB105" s="497">
        <f t="shared" si="74"/>
        <v>125</v>
      </c>
      <c r="BC105" s="465">
        <v>0</v>
      </c>
      <c r="BD105" s="464">
        <v>1</v>
      </c>
      <c r="BE105" s="501">
        <f t="shared" si="104"/>
        <v>125</v>
      </c>
      <c r="BF105" s="502">
        <f t="shared" si="76"/>
        <v>0</v>
      </c>
      <c r="BG105" s="466">
        <v>2</v>
      </c>
      <c r="BH105" s="463" t="s">
        <v>300</v>
      </c>
      <c r="BI105" s="500">
        <f t="shared" si="77"/>
        <v>1</v>
      </c>
      <c r="BJ105" s="497">
        <f t="shared" si="78"/>
        <v>125</v>
      </c>
      <c r="BK105" s="502">
        <f t="shared" si="79"/>
        <v>0</v>
      </c>
      <c r="BL105" s="467">
        <v>1</v>
      </c>
      <c r="BM105" s="497">
        <f t="shared" si="80"/>
        <v>125</v>
      </c>
      <c r="BN105" s="463">
        <v>1</v>
      </c>
      <c r="BO105" s="500">
        <f t="shared" si="105"/>
        <v>0.8</v>
      </c>
      <c r="BP105" s="502">
        <f t="shared" si="106"/>
        <v>0.25</v>
      </c>
      <c r="BQ105" s="542">
        <v>0.8</v>
      </c>
      <c r="BR105" s="582"/>
      <c r="BS105" s="596">
        <v>41834</v>
      </c>
      <c r="BT105" s="503">
        <f t="shared" si="90"/>
        <v>42199</v>
      </c>
      <c r="BU105" s="465">
        <v>22</v>
      </c>
      <c r="BV105" s="465">
        <v>6</v>
      </c>
      <c r="BW105" s="504">
        <f t="shared" si="91"/>
        <v>0</v>
      </c>
      <c r="BX105" s="505">
        <f t="shared" si="107"/>
        <v>1</v>
      </c>
      <c r="BY105" s="497">
        <f t="shared" si="108"/>
        <v>125</v>
      </c>
      <c r="BZ105" s="595">
        <f t="shared" si="92"/>
        <v>3</v>
      </c>
      <c r="CA105" s="602"/>
      <c r="CB105" s="542">
        <v>0.8</v>
      </c>
      <c r="CC105" s="605">
        <f t="shared" si="88"/>
        <v>100</v>
      </c>
      <c r="CD105" s="602">
        <v>1</v>
      </c>
      <c r="CE105" s="506" t="str">
        <f t="shared" si="89"/>
        <v>Excellent coverage</v>
      </c>
      <c r="CF105" s="492">
        <v>0</v>
      </c>
      <c r="CG105" s="607" t="s">
        <v>302</v>
      </c>
      <c r="CH105" s="610"/>
    </row>
    <row r="106" spans="2:86" s="40" customFormat="1" ht="30" customHeight="1" x14ac:dyDescent="0.2">
      <c r="B106" s="527" t="s">
        <v>180</v>
      </c>
      <c r="C106" s="488" t="s">
        <v>588</v>
      </c>
      <c r="D106" s="117" t="s">
        <v>267</v>
      </c>
      <c r="E106" s="488" t="s">
        <v>185</v>
      </c>
      <c r="F106" s="117">
        <v>97.246889999999993</v>
      </c>
      <c r="G106" s="117">
        <v>24.244129999999998</v>
      </c>
      <c r="H106" s="117" t="s">
        <v>509</v>
      </c>
      <c r="I106" s="117" t="s">
        <v>218</v>
      </c>
      <c r="J106" s="463">
        <v>16</v>
      </c>
      <c r="K106" s="463">
        <v>80</v>
      </c>
      <c r="L106" s="463">
        <v>84</v>
      </c>
      <c r="M106" s="490" t="str">
        <f t="shared" si="93"/>
        <v>1. Small</v>
      </c>
      <c r="N106" s="547" t="s">
        <v>284</v>
      </c>
      <c r="O106" s="554" t="s">
        <v>237</v>
      </c>
      <c r="P106" s="545" t="str">
        <f t="shared" si="54"/>
        <v>Covered</v>
      </c>
      <c r="Q106" s="461">
        <v>42124</v>
      </c>
      <c r="R106" s="117"/>
      <c r="S106" s="461"/>
      <c r="T106" s="529" t="s">
        <v>260</v>
      </c>
      <c r="U106" s="533" t="str">
        <f t="shared" si="55"/>
        <v>Documented</v>
      </c>
      <c r="V106" s="539">
        <v>0</v>
      </c>
      <c r="W106" s="463">
        <v>0</v>
      </c>
      <c r="X106" s="561" t="s">
        <v>19</v>
      </c>
      <c r="Y106" s="539">
        <v>0</v>
      </c>
      <c r="Z106" s="463">
        <v>2</v>
      </c>
      <c r="AA106" s="561">
        <v>3915</v>
      </c>
      <c r="AB106" s="569">
        <v>0</v>
      </c>
      <c r="AC106" s="542">
        <v>0</v>
      </c>
      <c r="AD106" s="574">
        <f t="shared" si="56"/>
        <v>1</v>
      </c>
      <c r="AE106" s="495">
        <f t="shared" si="57"/>
        <v>84</v>
      </c>
      <c r="AF106" s="496">
        <f t="shared" si="94"/>
        <v>1</v>
      </c>
      <c r="AG106" s="497">
        <f t="shared" si="59"/>
        <v>84</v>
      </c>
      <c r="AH106" s="494">
        <f t="shared" si="95"/>
        <v>1</v>
      </c>
      <c r="AI106" s="497">
        <f t="shared" si="61"/>
        <v>84</v>
      </c>
      <c r="AJ106" s="498" t="str">
        <f t="shared" si="96"/>
        <v>80-100%</v>
      </c>
      <c r="AK106" s="494">
        <f t="shared" si="97"/>
        <v>0</v>
      </c>
      <c r="AL106" s="499">
        <f t="shared" si="98"/>
        <v>0</v>
      </c>
      <c r="AM106" s="497">
        <f t="shared" si="99"/>
        <v>0</v>
      </c>
      <c r="AN106" s="497">
        <f t="shared" si="100"/>
        <v>0</v>
      </c>
      <c r="AO106" s="497">
        <f t="shared" si="67"/>
        <v>0</v>
      </c>
      <c r="AP106" s="542">
        <v>1</v>
      </c>
      <c r="AQ106" s="577">
        <f t="shared" si="68"/>
        <v>84</v>
      </c>
      <c r="AR106" s="582"/>
      <c r="AS106" s="539">
        <v>0</v>
      </c>
      <c r="AT106" s="463">
        <v>0</v>
      </c>
      <c r="AU106" s="463">
        <v>10</v>
      </c>
      <c r="AV106" s="463" t="s">
        <v>300</v>
      </c>
      <c r="AW106" s="500">
        <f t="shared" si="101"/>
        <v>1</v>
      </c>
      <c r="AX106" s="497">
        <f t="shared" si="70"/>
        <v>84</v>
      </c>
      <c r="AY106" s="500">
        <f t="shared" si="102"/>
        <v>0</v>
      </c>
      <c r="AZ106" s="497">
        <f t="shared" si="72"/>
        <v>0</v>
      </c>
      <c r="BA106" s="500">
        <f t="shared" si="103"/>
        <v>1</v>
      </c>
      <c r="BB106" s="497">
        <f t="shared" si="74"/>
        <v>84</v>
      </c>
      <c r="BC106" s="465">
        <v>0</v>
      </c>
      <c r="BD106" s="464">
        <v>1</v>
      </c>
      <c r="BE106" s="501">
        <f t="shared" si="104"/>
        <v>84</v>
      </c>
      <c r="BF106" s="502">
        <f t="shared" si="76"/>
        <v>0</v>
      </c>
      <c r="BG106" s="466">
        <v>1</v>
      </c>
      <c r="BH106" s="463" t="s">
        <v>91</v>
      </c>
      <c r="BI106" s="500">
        <f t="shared" si="77"/>
        <v>1</v>
      </c>
      <c r="BJ106" s="497">
        <f t="shared" si="78"/>
        <v>84</v>
      </c>
      <c r="BK106" s="502">
        <f t="shared" si="79"/>
        <v>0</v>
      </c>
      <c r="BL106" s="467">
        <v>1</v>
      </c>
      <c r="BM106" s="497">
        <f t="shared" si="80"/>
        <v>84</v>
      </c>
      <c r="BN106" s="463">
        <v>1</v>
      </c>
      <c r="BO106" s="500">
        <f t="shared" si="105"/>
        <v>1</v>
      </c>
      <c r="BP106" s="502">
        <f t="shared" si="106"/>
        <v>0</v>
      </c>
      <c r="BQ106" s="542">
        <v>1</v>
      </c>
      <c r="BR106" s="582"/>
      <c r="BS106" s="596">
        <v>41766</v>
      </c>
      <c r="BT106" s="503">
        <f t="shared" si="90"/>
        <v>42131</v>
      </c>
      <c r="BU106" s="465">
        <v>17</v>
      </c>
      <c r="BV106" s="465">
        <v>6</v>
      </c>
      <c r="BW106" s="504">
        <f t="shared" si="91"/>
        <v>0</v>
      </c>
      <c r="BX106" s="505">
        <f t="shared" si="107"/>
        <v>1</v>
      </c>
      <c r="BY106" s="497">
        <f t="shared" si="108"/>
        <v>84</v>
      </c>
      <c r="BZ106" s="595">
        <f t="shared" si="92"/>
        <v>5</v>
      </c>
      <c r="CA106" s="602"/>
      <c r="CB106" s="542">
        <v>0.8</v>
      </c>
      <c r="CC106" s="605">
        <f t="shared" si="88"/>
        <v>67.2</v>
      </c>
      <c r="CD106" s="602">
        <v>1</v>
      </c>
      <c r="CE106" s="506" t="str">
        <f t="shared" si="89"/>
        <v>Excellent coverage</v>
      </c>
      <c r="CF106" s="492">
        <v>0</v>
      </c>
      <c r="CG106" s="607" t="s">
        <v>65</v>
      </c>
      <c r="CH106" s="610"/>
    </row>
    <row r="107" spans="2:86" s="40" customFormat="1" ht="30" customHeight="1" x14ac:dyDescent="0.2">
      <c r="B107" s="527" t="s">
        <v>186</v>
      </c>
      <c r="C107" s="488" t="s">
        <v>629</v>
      </c>
      <c r="D107" s="117" t="s">
        <v>267</v>
      </c>
      <c r="E107" s="488" t="s">
        <v>290</v>
      </c>
      <c r="F107" s="117">
        <v>97.291820000000001</v>
      </c>
      <c r="G107" s="117">
        <v>24.129059999999999</v>
      </c>
      <c r="H107" s="117" t="s">
        <v>509</v>
      </c>
      <c r="I107" s="117" t="s">
        <v>218</v>
      </c>
      <c r="J107" s="463">
        <v>150</v>
      </c>
      <c r="K107" s="463">
        <v>691</v>
      </c>
      <c r="L107" s="463">
        <v>691</v>
      </c>
      <c r="M107" s="490" t="str">
        <f t="shared" si="93"/>
        <v>2. Medium</v>
      </c>
      <c r="N107" s="547" t="s">
        <v>239</v>
      </c>
      <c r="O107" s="554" t="s">
        <v>237</v>
      </c>
      <c r="P107" s="545" t="str">
        <f t="shared" si="54"/>
        <v>Covered</v>
      </c>
      <c r="Q107" s="461">
        <v>42124</v>
      </c>
      <c r="R107" s="117"/>
      <c r="S107" s="461"/>
      <c r="T107" s="529" t="s">
        <v>260</v>
      </c>
      <c r="U107" s="533" t="str">
        <f t="shared" si="55"/>
        <v>Documented</v>
      </c>
      <c r="V107" s="539">
        <v>0</v>
      </c>
      <c r="W107" s="463">
        <v>0</v>
      </c>
      <c r="X107" s="561" t="s">
        <v>19</v>
      </c>
      <c r="Y107" s="539">
        <v>3</v>
      </c>
      <c r="Z107" s="463">
        <v>0</v>
      </c>
      <c r="AA107" s="561">
        <v>20335</v>
      </c>
      <c r="AB107" s="569">
        <v>0.5</v>
      </c>
      <c r="AC107" s="542">
        <v>0.3</v>
      </c>
      <c r="AD107" s="574">
        <f t="shared" si="56"/>
        <v>1</v>
      </c>
      <c r="AE107" s="495">
        <f t="shared" si="57"/>
        <v>691</v>
      </c>
      <c r="AF107" s="496">
        <f t="shared" si="94"/>
        <v>1</v>
      </c>
      <c r="AG107" s="497">
        <f t="shared" si="59"/>
        <v>691</v>
      </c>
      <c r="AH107" s="494">
        <f t="shared" si="95"/>
        <v>1</v>
      </c>
      <c r="AI107" s="497">
        <f t="shared" si="61"/>
        <v>691</v>
      </c>
      <c r="AJ107" s="498" t="str">
        <f t="shared" si="96"/>
        <v>80-100%</v>
      </c>
      <c r="AK107" s="494">
        <f t="shared" si="97"/>
        <v>0</v>
      </c>
      <c r="AL107" s="499">
        <f t="shared" si="98"/>
        <v>0</v>
      </c>
      <c r="AM107" s="497">
        <f t="shared" si="99"/>
        <v>0</v>
      </c>
      <c r="AN107" s="497">
        <f t="shared" si="100"/>
        <v>45</v>
      </c>
      <c r="AO107" s="497">
        <f t="shared" si="67"/>
        <v>345.5</v>
      </c>
      <c r="AP107" s="542">
        <v>1</v>
      </c>
      <c r="AQ107" s="577">
        <f t="shared" si="68"/>
        <v>691</v>
      </c>
      <c r="AR107" s="582"/>
      <c r="AS107" s="539">
        <v>34</v>
      </c>
      <c r="AT107" s="463">
        <v>16</v>
      </c>
      <c r="AU107" s="463">
        <v>14</v>
      </c>
      <c r="AV107" s="463" t="s">
        <v>299</v>
      </c>
      <c r="AW107" s="500">
        <f t="shared" si="101"/>
        <v>0.86830680173661356</v>
      </c>
      <c r="AX107" s="497">
        <f t="shared" si="70"/>
        <v>600</v>
      </c>
      <c r="AY107" s="500">
        <f t="shared" si="102"/>
        <v>0.4630969609261939</v>
      </c>
      <c r="AZ107" s="497">
        <f t="shared" si="72"/>
        <v>320</v>
      </c>
      <c r="BA107" s="500">
        <f t="shared" si="103"/>
        <v>0.40520984081041966</v>
      </c>
      <c r="BB107" s="497">
        <f t="shared" si="74"/>
        <v>280</v>
      </c>
      <c r="BC107" s="465">
        <v>0</v>
      </c>
      <c r="BD107" s="464">
        <v>0.87</v>
      </c>
      <c r="BE107" s="501">
        <f t="shared" si="104"/>
        <v>601.16999999999996</v>
      </c>
      <c r="BF107" s="502">
        <f t="shared" si="76"/>
        <v>20.549999999999997</v>
      </c>
      <c r="BG107" s="466">
        <v>6</v>
      </c>
      <c r="BH107" s="463" t="s">
        <v>301</v>
      </c>
      <c r="BI107" s="500">
        <f t="shared" si="77"/>
        <v>0.86830680173661356</v>
      </c>
      <c r="BJ107" s="497">
        <f t="shared" si="78"/>
        <v>600</v>
      </c>
      <c r="BK107" s="502">
        <f t="shared" si="79"/>
        <v>0.91000000000000014</v>
      </c>
      <c r="BL107" s="467">
        <v>0.87</v>
      </c>
      <c r="BM107" s="497">
        <f t="shared" si="80"/>
        <v>601.16999999999996</v>
      </c>
      <c r="BN107" s="463">
        <v>10</v>
      </c>
      <c r="BO107" s="500">
        <f t="shared" si="105"/>
        <v>1</v>
      </c>
      <c r="BP107" s="502">
        <f t="shared" si="106"/>
        <v>0</v>
      </c>
      <c r="BQ107" s="542">
        <v>1</v>
      </c>
      <c r="BR107" s="582"/>
      <c r="BS107" s="596">
        <v>41835</v>
      </c>
      <c r="BT107" s="503">
        <f t="shared" si="90"/>
        <v>42200</v>
      </c>
      <c r="BU107" s="465">
        <v>153</v>
      </c>
      <c r="BV107" s="465">
        <v>6</v>
      </c>
      <c r="BW107" s="504">
        <f t="shared" si="91"/>
        <v>0</v>
      </c>
      <c r="BX107" s="505">
        <f t="shared" si="107"/>
        <v>1</v>
      </c>
      <c r="BY107" s="497">
        <f t="shared" si="108"/>
        <v>691</v>
      </c>
      <c r="BZ107" s="595">
        <f t="shared" si="92"/>
        <v>3</v>
      </c>
      <c r="CA107" s="602"/>
      <c r="CB107" s="542">
        <v>0.75</v>
      </c>
      <c r="CC107" s="605">
        <f t="shared" si="88"/>
        <v>518.25</v>
      </c>
      <c r="CD107" s="602">
        <v>3</v>
      </c>
      <c r="CE107" s="506" t="str">
        <f t="shared" si="89"/>
        <v>Excellent coverage</v>
      </c>
      <c r="CF107" s="492">
        <v>0</v>
      </c>
      <c r="CG107" s="607" t="s">
        <v>302</v>
      </c>
      <c r="CH107" s="610"/>
    </row>
    <row r="108" spans="2:86" s="40" customFormat="1" ht="30" customHeight="1" x14ac:dyDescent="0.2">
      <c r="B108" s="527" t="s">
        <v>188</v>
      </c>
      <c r="C108" s="548" t="s">
        <v>647</v>
      </c>
      <c r="D108" s="117" t="s">
        <v>267</v>
      </c>
      <c r="E108" s="488" t="s">
        <v>532</v>
      </c>
      <c r="F108" s="117">
        <v>97.347049999999996</v>
      </c>
      <c r="G108" s="117">
        <v>24.255870000000002</v>
      </c>
      <c r="H108" s="117" t="s">
        <v>509</v>
      </c>
      <c r="I108" s="117" t="s">
        <v>218</v>
      </c>
      <c r="J108" s="463">
        <v>141</v>
      </c>
      <c r="K108" s="463">
        <v>608</v>
      </c>
      <c r="L108" s="463">
        <v>608</v>
      </c>
      <c r="M108" s="490" t="str">
        <f t="shared" si="93"/>
        <v>2. Medium</v>
      </c>
      <c r="N108" s="547" t="s">
        <v>239</v>
      </c>
      <c r="O108" s="554" t="s">
        <v>237</v>
      </c>
      <c r="P108" s="545" t="str">
        <f t="shared" si="54"/>
        <v>Covered</v>
      </c>
      <c r="Q108" s="461">
        <v>42124</v>
      </c>
      <c r="R108" s="117"/>
      <c r="S108" s="461"/>
      <c r="T108" s="529" t="s">
        <v>260</v>
      </c>
      <c r="U108" s="533" t="str">
        <f t="shared" si="55"/>
        <v>Documented</v>
      </c>
      <c r="V108" s="539">
        <v>0</v>
      </c>
      <c r="W108" s="463">
        <v>0</v>
      </c>
      <c r="X108" s="561" t="s">
        <v>19</v>
      </c>
      <c r="Y108" s="539">
        <v>1</v>
      </c>
      <c r="Z108" s="463">
        <v>1</v>
      </c>
      <c r="AA108" s="561">
        <v>9555</v>
      </c>
      <c r="AB108" s="569">
        <v>0.1</v>
      </c>
      <c r="AC108" s="542">
        <v>0.68</v>
      </c>
      <c r="AD108" s="574">
        <f t="shared" si="56"/>
        <v>1</v>
      </c>
      <c r="AE108" s="495">
        <f t="shared" si="57"/>
        <v>608</v>
      </c>
      <c r="AF108" s="496">
        <f t="shared" si="94"/>
        <v>1</v>
      </c>
      <c r="AG108" s="497">
        <f t="shared" si="59"/>
        <v>608</v>
      </c>
      <c r="AH108" s="494">
        <f t="shared" si="95"/>
        <v>1</v>
      </c>
      <c r="AI108" s="497">
        <f t="shared" si="61"/>
        <v>608</v>
      </c>
      <c r="AJ108" s="498" t="str">
        <f t="shared" si="96"/>
        <v>80-100%</v>
      </c>
      <c r="AK108" s="494">
        <f t="shared" si="97"/>
        <v>0</v>
      </c>
      <c r="AL108" s="499">
        <f t="shared" si="98"/>
        <v>0</v>
      </c>
      <c r="AM108" s="497">
        <f t="shared" si="99"/>
        <v>0</v>
      </c>
      <c r="AN108" s="497">
        <f t="shared" si="100"/>
        <v>95.88000000000001</v>
      </c>
      <c r="AO108" s="497">
        <f t="shared" si="67"/>
        <v>60.800000000000004</v>
      </c>
      <c r="AP108" s="542">
        <v>1</v>
      </c>
      <c r="AQ108" s="577">
        <f t="shared" si="68"/>
        <v>608</v>
      </c>
      <c r="AR108" s="582"/>
      <c r="AS108" s="539">
        <v>30</v>
      </c>
      <c r="AT108" s="463">
        <v>14</v>
      </c>
      <c r="AU108" s="463">
        <v>16</v>
      </c>
      <c r="AV108" s="463" t="s">
        <v>91</v>
      </c>
      <c r="AW108" s="500">
        <f t="shared" si="101"/>
        <v>0.98684210526315785</v>
      </c>
      <c r="AX108" s="497">
        <f t="shared" si="70"/>
        <v>600</v>
      </c>
      <c r="AY108" s="500">
        <f t="shared" si="102"/>
        <v>0.46052631578947367</v>
      </c>
      <c r="AZ108" s="497">
        <f t="shared" si="72"/>
        <v>280</v>
      </c>
      <c r="BA108" s="500">
        <f t="shared" si="103"/>
        <v>0.52631578947368418</v>
      </c>
      <c r="BB108" s="497">
        <f t="shared" si="74"/>
        <v>320</v>
      </c>
      <c r="BC108" s="465">
        <v>0</v>
      </c>
      <c r="BD108" s="464">
        <v>0.99</v>
      </c>
      <c r="BE108" s="501">
        <f t="shared" si="104"/>
        <v>601.91999999999996</v>
      </c>
      <c r="BF108" s="502">
        <f t="shared" si="76"/>
        <v>14.399999999999999</v>
      </c>
      <c r="BG108" s="466">
        <v>3</v>
      </c>
      <c r="BH108" s="463" t="s">
        <v>301</v>
      </c>
      <c r="BI108" s="500">
        <f t="shared" si="77"/>
        <v>0.49342105263157893</v>
      </c>
      <c r="BJ108" s="497">
        <f t="shared" si="78"/>
        <v>300</v>
      </c>
      <c r="BK108" s="502">
        <f t="shared" si="79"/>
        <v>3.08</v>
      </c>
      <c r="BL108" s="467">
        <v>0.49</v>
      </c>
      <c r="BM108" s="497">
        <f t="shared" si="80"/>
        <v>297.92</v>
      </c>
      <c r="BN108" s="463">
        <v>15</v>
      </c>
      <c r="BO108" s="500">
        <f t="shared" si="105"/>
        <v>1</v>
      </c>
      <c r="BP108" s="502">
        <f t="shared" si="106"/>
        <v>0</v>
      </c>
      <c r="BQ108" s="542">
        <v>1</v>
      </c>
      <c r="BR108" s="582"/>
      <c r="BS108" s="596">
        <v>41771</v>
      </c>
      <c r="BT108" s="503">
        <f t="shared" si="90"/>
        <v>42136</v>
      </c>
      <c r="BU108" s="465">
        <v>143</v>
      </c>
      <c r="BV108" s="465">
        <v>6</v>
      </c>
      <c r="BW108" s="504">
        <f t="shared" si="91"/>
        <v>0</v>
      </c>
      <c r="BX108" s="505">
        <f t="shared" si="107"/>
        <v>1</v>
      </c>
      <c r="BY108" s="497">
        <f t="shared" si="108"/>
        <v>608</v>
      </c>
      <c r="BZ108" s="595">
        <f t="shared" si="92"/>
        <v>5</v>
      </c>
      <c r="CA108" s="602"/>
      <c r="CB108" s="542">
        <v>0.8</v>
      </c>
      <c r="CC108" s="605">
        <f t="shared" si="88"/>
        <v>486.40000000000003</v>
      </c>
      <c r="CD108" s="602">
        <v>1</v>
      </c>
      <c r="CE108" s="506" t="str">
        <f t="shared" si="89"/>
        <v>Good coverage</v>
      </c>
      <c r="CF108" s="492">
        <v>0</v>
      </c>
      <c r="CG108" s="607" t="s">
        <v>65</v>
      </c>
      <c r="CH108" s="610"/>
    </row>
    <row r="109" spans="2:86" s="40" customFormat="1" ht="30" customHeight="1" x14ac:dyDescent="0.2">
      <c r="B109" s="527" t="s">
        <v>188</v>
      </c>
      <c r="C109" s="548" t="s">
        <v>647</v>
      </c>
      <c r="D109" s="117" t="s">
        <v>267</v>
      </c>
      <c r="E109" s="488" t="s">
        <v>533</v>
      </c>
      <c r="F109" s="117">
        <v>97.346310000000003</v>
      </c>
      <c r="G109" s="117">
        <v>24.253630000000001</v>
      </c>
      <c r="H109" s="117" t="s">
        <v>509</v>
      </c>
      <c r="I109" s="117" t="s">
        <v>218</v>
      </c>
      <c r="J109" s="463">
        <v>18</v>
      </c>
      <c r="K109" s="463">
        <v>109</v>
      </c>
      <c r="L109" s="463">
        <v>109</v>
      </c>
      <c r="M109" s="490" t="str">
        <f t="shared" si="93"/>
        <v>1. Small</v>
      </c>
      <c r="N109" s="547" t="s">
        <v>239</v>
      </c>
      <c r="O109" s="554" t="s">
        <v>237</v>
      </c>
      <c r="P109" s="545" t="str">
        <f t="shared" si="54"/>
        <v>Covered</v>
      </c>
      <c r="Q109" s="461">
        <v>42124</v>
      </c>
      <c r="R109" s="117"/>
      <c r="S109" s="461"/>
      <c r="T109" s="529" t="s">
        <v>260</v>
      </c>
      <c r="U109" s="533" t="str">
        <f t="shared" si="55"/>
        <v>Documented</v>
      </c>
      <c r="V109" s="539">
        <v>0</v>
      </c>
      <c r="W109" s="463">
        <v>0</v>
      </c>
      <c r="X109" s="561" t="s">
        <v>19</v>
      </c>
      <c r="Y109" s="539">
        <v>1</v>
      </c>
      <c r="Z109" s="463">
        <v>0</v>
      </c>
      <c r="AA109" s="561">
        <v>2000</v>
      </c>
      <c r="AB109" s="569">
        <v>0</v>
      </c>
      <c r="AC109" s="542">
        <v>1</v>
      </c>
      <c r="AD109" s="574">
        <f t="shared" si="56"/>
        <v>1</v>
      </c>
      <c r="AE109" s="495">
        <f t="shared" si="57"/>
        <v>109</v>
      </c>
      <c r="AF109" s="496">
        <f t="shared" si="94"/>
        <v>1</v>
      </c>
      <c r="AG109" s="497">
        <f t="shared" si="59"/>
        <v>109</v>
      </c>
      <c r="AH109" s="494">
        <f t="shared" si="95"/>
        <v>1</v>
      </c>
      <c r="AI109" s="497">
        <f t="shared" si="61"/>
        <v>109</v>
      </c>
      <c r="AJ109" s="498" t="str">
        <f t="shared" si="96"/>
        <v>80-100%</v>
      </c>
      <c r="AK109" s="494">
        <f t="shared" si="97"/>
        <v>0</v>
      </c>
      <c r="AL109" s="499">
        <f t="shared" si="98"/>
        <v>0</v>
      </c>
      <c r="AM109" s="497">
        <f t="shared" si="99"/>
        <v>0</v>
      </c>
      <c r="AN109" s="497">
        <f t="shared" si="100"/>
        <v>18</v>
      </c>
      <c r="AO109" s="497">
        <f t="shared" si="67"/>
        <v>0</v>
      </c>
      <c r="AP109" s="542">
        <v>1</v>
      </c>
      <c r="AQ109" s="577">
        <f t="shared" si="68"/>
        <v>109</v>
      </c>
      <c r="AR109" s="582"/>
      <c r="AS109" s="539">
        <v>2</v>
      </c>
      <c r="AT109" s="463">
        <v>2</v>
      </c>
      <c r="AU109" s="463">
        <v>6</v>
      </c>
      <c r="AV109" s="463" t="s">
        <v>91</v>
      </c>
      <c r="AW109" s="500">
        <f t="shared" si="101"/>
        <v>1</v>
      </c>
      <c r="AX109" s="497">
        <f t="shared" si="70"/>
        <v>109</v>
      </c>
      <c r="AY109" s="500">
        <f t="shared" si="102"/>
        <v>0</v>
      </c>
      <c r="AZ109" s="497">
        <f t="shared" si="72"/>
        <v>0</v>
      </c>
      <c r="BA109" s="500">
        <f t="shared" si="103"/>
        <v>1</v>
      </c>
      <c r="BB109" s="497">
        <f t="shared" si="74"/>
        <v>109</v>
      </c>
      <c r="BC109" s="465">
        <v>0</v>
      </c>
      <c r="BD109" s="464">
        <v>1</v>
      </c>
      <c r="BE109" s="501">
        <f t="shared" si="104"/>
        <v>109</v>
      </c>
      <c r="BF109" s="502">
        <f t="shared" si="76"/>
        <v>0</v>
      </c>
      <c r="BG109" s="466">
        <v>2</v>
      </c>
      <c r="BH109" s="463" t="s">
        <v>91</v>
      </c>
      <c r="BI109" s="500">
        <f t="shared" si="77"/>
        <v>1</v>
      </c>
      <c r="BJ109" s="497">
        <f t="shared" si="78"/>
        <v>109</v>
      </c>
      <c r="BK109" s="502">
        <f t="shared" si="79"/>
        <v>0</v>
      </c>
      <c r="BL109" s="467">
        <v>1</v>
      </c>
      <c r="BM109" s="497">
        <f t="shared" si="80"/>
        <v>109</v>
      </c>
      <c r="BN109" s="463">
        <v>3</v>
      </c>
      <c r="BO109" s="500">
        <f t="shared" si="105"/>
        <v>1</v>
      </c>
      <c r="BP109" s="502">
        <f t="shared" si="106"/>
        <v>0</v>
      </c>
      <c r="BQ109" s="542">
        <v>1</v>
      </c>
      <c r="BR109" s="582"/>
      <c r="BS109" s="596">
        <v>41771</v>
      </c>
      <c r="BT109" s="503">
        <f t="shared" si="90"/>
        <v>42136</v>
      </c>
      <c r="BU109" s="465">
        <v>23</v>
      </c>
      <c r="BV109" s="465">
        <v>6</v>
      </c>
      <c r="BW109" s="504">
        <f t="shared" si="91"/>
        <v>0</v>
      </c>
      <c r="BX109" s="505">
        <f t="shared" si="107"/>
        <v>1</v>
      </c>
      <c r="BY109" s="497">
        <f t="shared" si="108"/>
        <v>109</v>
      </c>
      <c r="BZ109" s="595">
        <f t="shared" si="92"/>
        <v>5</v>
      </c>
      <c r="CA109" s="602"/>
      <c r="CB109" s="542">
        <v>0.75</v>
      </c>
      <c r="CC109" s="605">
        <f t="shared" si="88"/>
        <v>81.75</v>
      </c>
      <c r="CD109" s="602">
        <v>1</v>
      </c>
      <c r="CE109" s="506" t="str">
        <f t="shared" si="89"/>
        <v>Excellent coverage</v>
      </c>
      <c r="CF109" s="492">
        <v>0</v>
      </c>
      <c r="CG109" s="607" t="s">
        <v>65</v>
      </c>
      <c r="CH109" s="610"/>
    </row>
    <row r="110" spans="2:86" s="40" customFormat="1" ht="30" customHeight="1" x14ac:dyDescent="0.2">
      <c r="B110" s="527" t="s">
        <v>188</v>
      </c>
      <c r="C110" s="548" t="s">
        <v>647</v>
      </c>
      <c r="D110" s="117" t="s">
        <v>267</v>
      </c>
      <c r="E110" s="488" t="s">
        <v>534</v>
      </c>
      <c r="F110" s="117">
        <v>97.359300000000005</v>
      </c>
      <c r="G110" s="117">
        <v>24.267040000000001</v>
      </c>
      <c r="H110" s="117" t="s">
        <v>509</v>
      </c>
      <c r="I110" s="117" t="s">
        <v>218</v>
      </c>
      <c r="J110" s="463">
        <v>7</v>
      </c>
      <c r="K110" s="463">
        <v>37</v>
      </c>
      <c r="L110" s="463">
        <v>37</v>
      </c>
      <c r="M110" s="490" t="str">
        <f t="shared" si="93"/>
        <v>1. Small</v>
      </c>
      <c r="N110" s="547" t="s">
        <v>239</v>
      </c>
      <c r="O110" s="554" t="s">
        <v>237</v>
      </c>
      <c r="P110" s="545" t="str">
        <f t="shared" si="54"/>
        <v>Covered</v>
      </c>
      <c r="Q110" s="461">
        <v>42124</v>
      </c>
      <c r="R110" s="117"/>
      <c r="S110" s="461"/>
      <c r="T110" s="529" t="s">
        <v>260</v>
      </c>
      <c r="U110" s="533" t="str">
        <f t="shared" si="55"/>
        <v>Documented</v>
      </c>
      <c r="V110" s="539">
        <v>0</v>
      </c>
      <c r="W110" s="463">
        <v>0</v>
      </c>
      <c r="X110" s="561" t="s">
        <v>19</v>
      </c>
      <c r="Y110" s="539">
        <v>0</v>
      </c>
      <c r="Z110" s="463">
        <v>0</v>
      </c>
      <c r="AA110" s="561">
        <v>1080</v>
      </c>
      <c r="AB110" s="569">
        <v>0</v>
      </c>
      <c r="AC110" s="542">
        <v>0.8</v>
      </c>
      <c r="AD110" s="574">
        <f t="shared" si="56"/>
        <v>1</v>
      </c>
      <c r="AE110" s="495">
        <f t="shared" si="57"/>
        <v>37</v>
      </c>
      <c r="AF110" s="496">
        <f t="shared" si="94"/>
        <v>1</v>
      </c>
      <c r="AG110" s="497">
        <f t="shared" si="59"/>
        <v>37</v>
      </c>
      <c r="AH110" s="494">
        <f t="shared" si="95"/>
        <v>1</v>
      </c>
      <c r="AI110" s="497">
        <f t="shared" si="61"/>
        <v>37</v>
      </c>
      <c r="AJ110" s="498" t="str">
        <f t="shared" si="96"/>
        <v>80-100%</v>
      </c>
      <c r="AK110" s="494">
        <f t="shared" si="97"/>
        <v>0</v>
      </c>
      <c r="AL110" s="499">
        <f t="shared" si="98"/>
        <v>0</v>
      </c>
      <c r="AM110" s="497">
        <f t="shared" si="99"/>
        <v>9.2499999999999999E-2</v>
      </c>
      <c r="AN110" s="497">
        <f t="shared" si="100"/>
        <v>5.6000000000000005</v>
      </c>
      <c r="AO110" s="497">
        <f t="shared" si="67"/>
        <v>0</v>
      </c>
      <c r="AP110" s="542">
        <v>1</v>
      </c>
      <c r="AQ110" s="577">
        <f t="shared" si="68"/>
        <v>37</v>
      </c>
      <c r="AR110" s="582"/>
      <c r="AS110" s="539">
        <v>1</v>
      </c>
      <c r="AT110" s="463">
        <v>2</v>
      </c>
      <c r="AU110" s="463">
        <v>1</v>
      </c>
      <c r="AV110" s="463" t="s">
        <v>91</v>
      </c>
      <c r="AW110" s="500">
        <f t="shared" si="101"/>
        <v>1</v>
      </c>
      <c r="AX110" s="497">
        <f t="shared" si="70"/>
        <v>37</v>
      </c>
      <c r="AY110" s="500">
        <f t="shared" si="102"/>
        <v>0.45945945945945943</v>
      </c>
      <c r="AZ110" s="497">
        <f t="shared" si="72"/>
        <v>17</v>
      </c>
      <c r="BA110" s="500">
        <f t="shared" si="103"/>
        <v>0.54054054054054057</v>
      </c>
      <c r="BB110" s="497">
        <f t="shared" si="74"/>
        <v>20</v>
      </c>
      <c r="BC110" s="465">
        <v>0</v>
      </c>
      <c r="BD110" s="464">
        <v>1</v>
      </c>
      <c r="BE110" s="501">
        <f t="shared" si="104"/>
        <v>37</v>
      </c>
      <c r="BF110" s="502">
        <f t="shared" si="76"/>
        <v>0.85000000000000009</v>
      </c>
      <c r="BG110" s="466">
        <v>1</v>
      </c>
      <c r="BH110" s="463" t="s">
        <v>91</v>
      </c>
      <c r="BI110" s="500">
        <f t="shared" si="77"/>
        <v>1</v>
      </c>
      <c r="BJ110" s="497">
        <f t="shared" si="78"/>
        <v>37</v>
      </c>
      <c r="BK110" s="502">
        <f t="shared" si="79"/>
        <v>0</v>
      </c>
      <c r="BL110" s="467">
        <v>1</v>
      </c>
      <c r="BM110" s="497">
        <f t="shared" si="80"/>
        <v>37</v>
      </c>
      <c r="BN110" s="463">
        <v>1</v>
      </c>
      <c r="BO110" s="500">
        <f t="shared" si="105"/>
        <v>1</v>
      </c>
      <c r="BP110" s="502">
        <f t="shared" si="106"/>
        <v>0</v>
      </c>
      <c r="BQ110" s="542">
        <v>1</v>
      </c>
      <c r="BR110" s="582"/>
      <c r="BS110" s="596">
        <v>41768</v>
      </c>
      <c r="BT110" s="503">
        <f t="shared" si="90"/>
        <v>42133</v>
      </c>
      <c r="BU110" s="465">
        <v>7</v>
      </c>
      <c r="BV110" s="465">
        <v>6</v>
      </c>
      <c r="BW110" s="504">
        <f t="shared" si="91"/>
        <v>0</v>
      </c>
      <c r="BX110" s="505">
        <f t="shared" si="107"/>
        <v>1</v>
      </c>
      <c r="BY110" s="497">
        <f t="shared" si="108"/>
        <v>37</v>
      </c>
      <c r="BZ110" s="595">
        <f t="shared" si="92"/>
        <v>5</v>
      </c>
      <c r="CA110" s="602"/>
      <c r="CB110" s="542">
        <v>0.85</v>
      </c>
      <c r="CC110" s="605">
        <f t="shared" si="88"/>
        <v>31.45</v>
      </c>
      <c r="CD110" s="602">
        <v>1</v>
      </c>
      <c r="CE110" s="506" t="str">
        <f t="shared" si="89"/>
        <v>Excellent coverage</v>
      </c>
      <c r="CF110" s="492">
        <v>0</v>
      </c>
      <c r="CG110" s="607" t="s">
        <v>65</v>
      </c>
      <c r="CH110" s="610"/>
    </row>
    <row r="111" spans="2:86" s="40" customFormat="1" ht="30" customHeight="1" x14ac:dyDescent="0.2">
      <c r="B111" s="527" t="s">
        <v>188</v>
      </c>
      <c r="C111" s="488" t="s">
        <v>644</v>
      </c>
      <c r="D111" s="117" t="s">
        <v>267</v>
      </c>
      <c r="E111" s="488" t="s">
        <v>222</v>
      </c>
      <c r="F111" s="117">
        <v>97.325019999999995</v>
      </c>
      <c r="G111" s="117">
        <v>24.245100000000001</v>
      </c>
      <c r="H111" s="117" t="s">
        <v>509</v>
      </c>
      <c r="I111" s="117" t="s">
        <v>218</v>
      </c>
      <c r="J111" s="463">
        <v>259</v>
      </c>
      <c r="K111" s="463">
        <v>1182</v>
      </c>
      <c r="L111" s="463">
        <v>1179</v>
      </c>
      <c r="M111" s="490" t="str">
        <f t="shared" si="93"/>
        <v>3. Large</v>
      </c>
      <c r="N111" s="547" t="s">
        <v>235</v>
      </c>
      <c r="O111" s="554" t="s">
        <v>237</v>
      </c>
      <c r="P111" s="545" t="str">
        <f t="shared" si="54"/>
        <v>Covered</v>
      </c>
      <c r="Q111" s="461">
        <v>42124</v>
      </c>
      <c r="R111" s="117"/>
      <c r="S111" s="461"/>
      <c r="T111" s="529" t="s">
        <v>260</v>
      </c>
      <c r="U111" s="533" t="str">
        <f t="shared" si="55"/>
        <v>Documented</v>
      </c>
      <c r="V111" s="539">
        <v>0</v>
      </c>
      <c r="W111" s="463">
        <v>0</v>
      </c>
      <c r="X111" s="561" t="s">
        <v>19</v>
      </c>
      <c r="Y111" s="539">
        <v>1</v>
      </c>
      <c r="Z111" s="463">
        <v>0</v>
      </c>
      <c r="AA111" s="561">
        <v>52740</v>
      </c>
      <c r="AB111" s="569">
        <v>0.2</v>
      </c>
      <c r="AC111" s="542">
        <v>0.01</v>
      </c>
      <c r="AD111" s="574">
        <f t="shared" si="56"/>
        <v>1</v>
      </c>
      <c r="AE111" s="495">
        <f t="shared" si="57"/>
        <v>1179</v>
      </c>
      <c r="AF111" s="496">
        <f t="shared" si="94"/>
        <v>1</v>
      </c>
      <c r="AG111" s="497">
        <f t="shared" si="59"/>
        <v>1179</v>
      </c>
      <c r="AH111" s="494">
        <f t="shared" si="95"/>
        <v>1</v>
      </c>
      <c r="AI111" s="497">
        <f t="shared" si="61"/>
        <v>1179</v>
      </c>
      <c r="AJ111" s="498" t="str">
        <f t="shared" si="96"/>
        <v>80-100%</v>
      </c>
      <c r="AK111" s="494">
        <f t="shared" si="97"/>
        <v>0</v>
      </c>
      <c r="AL111" s="499">
        <f t="shared" si="98"/>
        <v>0</v>
      </c>
      <c r="AM111" s="497">
        <f t="shared" si="99"/>
        <v>1.9474999999999998</v>
      </c>
      <c r="AN111" s="497">
        <f t="shared" si="100"/>
        <v>2.59</v>
      </c>
      <c r="AO111" s="497">
        <f t="shared" si="67"/>
        <v>235.8</v>
      </c>
      <c r="AP111" s="542">
        <v>1</v>
      </c>
      <c r="AQ111" s="577">
        <f t="shared" si="68"/>
        <v>1179</v>
      </c>
      <c r="AR111" s="582"/>
      <c r="AS111" s="539">
        <v>33</v>
      </c>
      <c r="AT111" s="463">
        <v>10</v>
      </c>
      <c r="AU111" s="463">
        <v>41</v>
      </c>
      <c r="AV111" s="463" t="s">
        <v>301</v>
      </c>
      <c r="AW111" s="500">
        <f t="shared" si="101"/>
        <v>0.86513994910941472</v>
      </c>
      <c r="AX111" s="497">
        <f t="shared" si="70"/>
        <v>1020</v>
      </c>
      <c r="AY111" s="500">
        <f t="shared" si="102"/>
        <v>0.16963528413910089</v>
      </c>
      <c r="AZ111" s="497">
        <f t="shared" si="72"/>
        <v>199.99999999999994</v>
      </c>
      <c r="BA111" s="500">
        <f t="shared" si="103"/>
        <v>0.69550466497031382</v>
      </c>
      <c r="BB111" s="497">
        <f t="shared" si="74"/>
        <v>820</v>
      </c>
      <c r="BC111" s="465">
        <v>2</v>
      </c>
      <c r="BD111" s="464">
        <v>0.87</v>
      </c>
      <c r="BE111" s="501">
        <f t="shared" si="104"/>
        <v>1025.73</v>
      </c>
      <c r="BF111" s="502">
        <f t="shared" si="76"/>
        <v>19.950000000000003</v>
      </c>
      <c r="BG111" s="466">
        <v>7</v>
      </c>
      <c r="BH111" s="463" t="s">
        <v>301</v>
      </c>
      <c r="BI111" s="500">
        <f t="shared" si="77"/>
        <v>0.59372349448685324</v>
      </c>
      <c r="BJ111" s="497">
        <f t="shared" si="78"/>
        <v>700</v>
      </c>
      <c r="BK111" s="502">
        <f t="shared" si="79"/>
        <v>4.82</v>
      </c>
      <c r="BL111" s="467">
        <v>0.59</v>
      </c>
      <c r="BM111" s="497">
        <f t="shared" si="80"/>
        <v>695.61</v>
      </c>
      <c r="BN111" s="463">
        <v>15</v>
      </c>
      <c r="BO111" s="500">
        <f t="shared" si="105"/>
        <v>1</v>
      </c>
      <c r="BP111" s="502">
        <f t="shared" si="106"/>
        <v>0</v>
      </c>
      <c r="BQ111" s="542">
        <v>1</v>
      </c>
      <c r="BR111" s="582"/>
      <c r="BS111" s="596">
        <v>41768</v>
      </c>
      <c r="BT111" s="503">
        <f t="shared" si="90"/>
        <v>42133</v>
      </c>
      <c r="BU111" s="465">
        <v>153</v>
      </c>
      <c r="BV111" s="465">
        <v>6</v>
      </c>
      <c r="BW111" s="504">
        <f t="shared" si="91"/>
        <v>106</v>
      </c>
      <c r="BX111" s="505">
        <f t="shared" si="107"/>
        <v>0.59073359073359077</v>
      </c>
      <c r="BY111" s="497">
        <f t="shared" si="108"/>
        <v>696.4749034749035</v>
      </c>
      <c r="BZ111" s="595">
        <f t="shared" si="92"/>
        <v>5</v>
      </c>
      <c r="CA111" s="602"/>
      <c r="CB111" s="542">
        <v>0.85</v>
      </c>
      <c r="CC111" s="605">
        <f t="shared" si="88"/>
        <v>1002.15</v>
      </c>
      <c r="CD111" s="602">
        <v>3</v>
      </c>
      <c r="CE111" s="506" t="str">
        <f t="shared" si="89"/>
        <v>Excellent coverage</v>
      </c>
      <c r="CF111" s="492">
        <v>0</v>
      </c>
      <c r="CG111" s="607" t="s">
        <v>65</v>
      </c>
      <c r="CH111" s="610"/>
    </row>
    <row r="112" spans="2:86" s="40" customFormat="1" ht="30" customHeight="1" x14ac:dyDescent="0.2">
      <c r="B112" s="527" t="s">
        <v>188</v>
      </c>
      <c r="C112" s="488" t="s">
        <v>646</v>
      </c>
      <c r="D112" s="117" t="s">
        <v>267</v>
      </c>
      <c r="E112" s="488" t="s">
        <v>196</v>
      </c>
      <c r="F112" s="117">
        <v>97.346940000000004</v>
      </c>
      <c r="G112" s="117">
        <v>24.251860000000001</v>
      </c>
      <c r="H112" s="117" t="s">
        <v>509</v>
      </c>
      <c r="I112" s="117" t="s">
        <v>218</v>
      </c>
      <c r="J112" s="463">
        <v>4</v>
      </c>
      <c r="K112" s="463">
        <v>18</v>
      </c>
      <c r="L112" s="463">
        <v>18</v>
      </c>
      <c r="M112" s="490" t="str">
        <f t="shared" si="93"/>
        <v>1. Small</v>
      </c>
      <c r="N112" s="547" t="s">
        <v>284</v>
      </c>
      <c r="O112" s="554" t="s">
        <v>237</v>
      </c>
      <c r="P112" s="545" t="str">
        <f t="shared" si="54"/>
        <v>Covered</v>
      </c>
      <c r="Q112" s="461">
        <v>42124</v>
      </c>
      <c r="R112" s="117"/>
      <c r="S112" s="461"/>
      <c r="T112" s="529" t="s">
        <v>260</v>
      </c>
      <c r="U112" s="533" t="str">
        <f t="shared" si="55"/>
        <v>Documented</v>
      </c>
      <c r="V112" s="539">
        <v>0</v>
      </c>
      <c r="W112" s="463">
        <v>0</v>
      </c>
      <c r="X112" s="561" t="s">
        <v>19</v>
      </c>
      <c r="Y112" s="539">
        <v>2</v>
      </c>
      <c r="Z112" s="463">
        <v>0</v>
      </c>
      <c r="AA112" s="561">
        <v>720</v>
      </c>
      <c r="AB112" s="569">
        <v>0</v>
      </c>
      <c r="AC112" s="542">
        <v>0.5</v>
      </c>
      <c r="AD112" s="574">
        <f t="shared" si="56"/>
        <v>1</v>
      </c>
      <c r="AE112" s="495">
        <f t="shared" si="57"/>
        <v>18</v>
      </c>
      <c r="AF112" s="496">
        <f t="shared" si="94"/>
        <v>1</v>
      </c>
      <c r="AG112" s="497">
        <f t="shared" si="59"/>
        <v>18</v>
      </c>
      <c r="AH112" s="494">
        <f t="shared" si="95"/>
        <v>1</v>
      </c>
      <c r="AI112" s="497">
        <f t="shared" si="61"/>
        <v>18</v>
      </c>
      <c r="AJ112" s="498" t="str">
        <f t="shared" si="96"/>
        <v>80-100%</v>
      </c>
      <c r="AK112" s="494">
        <f t="shared" si="97"/>
        <v>0</v>
      </c>
      <c r="AL112" s="499">
        <f t="shared" si="98"/>
        <v>0</v>
      </c>
      <c r="AM112" s="497">
        <f t="shared" si="99"/>
        <v>0</v>
      </c>
      <c r="AN112" s="497">
        <f t="shared" si="100"/>
        <v>2</v>
      </c>
      <c r="AO112" s="497">
        <f t="shared" si="67"/>
        <v>0</v>
      </c>
      <c r="AP112" s="542">
        <v>1</v>
      </c>
      <c r="AQ112" s="577">
        <f t="shared" si="68"/>
        <v>18</v>
      </c>
      <c r="AR112" s="582"/>
      <c r="AS112" s="539">
        <v>0</v>
      </c>
      <c r="AT112" s="463">
        <v>0</v>
      </c>
      <c r="AU112" s="463">
        <v>5</v>
      </c>
      <c r="AV112" s="463" t="s">
        <v>300</v>
      </c>
      <c r="AW112" s="500">
        <f t="shared" si="101"/>
        <v>1</v>
      </c>
      <c r="AX112" s="497">
        <f t="shared" si="70"/>
        <v>18</v>
      </c>
      <c r="AY112" s="500">
        <f t="shared" si="102"/>
        <v>0</v>
      </c>
      <c r="AZ112" s="497">
        <f t="shared" si="72"/>
        <v>0</v>
      </c>
      <c r="BA112" s="500">
        <f t="shared" si="103"/>
        <v>1</v>
      </c>
      <c r="BB112" s="497">
        <f t="shared" si="74"/>
        <v>18</v>
      </c>
      <c r="BC112" s="465">
        <v>0</v>
      </c>
      <c r="BD112" s="464">
        <v>1</v>
      </c>
      <c r="BE112" s="501">
        <f t="shared" si="104"/>
        <v>18</v>
      </c>
      <c r="BF112" s="502">
        <f t="shared" si="76"/>
        <v>0</v>
      </c>
      <c r="BG112" s="466">
        <v>2</v>
      </c>
      <c r="BH112" s="463" t="s">
        <v>300</v>
      </c>
      <c r="BI112" s="500">
        <f t="shared" si="77"/>
        <v>1</v>
      </c>
      <c r="BJ112" s="497">
        <f t="shared" si="78"/>
        <v>18</v>
      </c>
      <c r="BK112" s="502">
        <f t="shared" si="79"/>
        <v>0</v>
      </c>
      <c r="BL112" s="467">
        <v>1</v>
      </c>
      <c r="BM112" s="497">
        <f t="shared" si="80"/>
        <v>18</v>
      </c>
      <c r="BN112" s="463">
        <v>1</v>
      </c>
      <c r="BO112" s="500">
        <f t="shared" si="105"/>
        <v>1</v>
      </c>
      <c r="BP112" s="502">
        <f t="shared" si="106"/>
        <v>0</v>
      </c>
      <c r="BQ112" s="542">
        <v>1</v>
      </c>
      <c r="BR112" s="582"/>
      <c r="BS112" s="596">
        <v>41771</v>
      </c>
      <c r="BT112" s="503">
        <f t="shared" si="90"/>
        <v>42136</v>
      </c>
      <c r="BU112" s="465">
        <v>4</v>
      </c>
      <c r="BV112" s="465">
        <v>6</v>
      </c>
      <c r="BW112" s="504">
        <f t="shared" si="91"/>
        <v>0</v>
      </c>
      <c r="BX112" s="505">
        <f t="shared" si="107"/>
        <v>1</v>
      </c>
      <c r="BY112" s="497">
        <f t="shared" si="108"/>
        <v>18</v>
      </c>
      <c r="BZ112" s="595">
        <f t="shared" si="92"/>
        <v>5</v>
      </c>
      <c r="CA112" s="602"/>
      <c r="CB112" s="542">
        <v>0.8</v>
      </c>
      <c r="CC112" s="605">
        <f t="shared" si="88"/>
        <v>14.4</v>
      </c>
      <c r="CD112" s="602">
        <v>1</v>
      </c>
      <c r="CE112" s="506" t="str">
        <f t="shared" si="89"/>
        <v>Excellent coverage</v>
      </c>
      <c r="CF112" s="492">
        <v>0</v>
      </c>
      <c r="CG112" s="607" t="s">
        <v>65</v>
      </c>
      <c r="CH112" s="610"/>
    </row>
    <row r="113" spans="2:86" s="40" customFormat="1" ht="30" customHeight="1" x14ac:dyDescent="0.2">
      <c r="B113" s="527" t="s">
        <v>188</v>
      </c>
      <c r="C113" s="488" t="s">
        <v>647</v>
      </c>
      <c r="D113" s="117" t="s">
        <v>267</v>
      </c>
      <c r="E113" s="488" t="s">
        <v>197</v>
      </c>
      <c r="F113" s="117">
        <v>97.344359999999995</v>
      </c>
      <c r="G113" s="117">
        <v>24.250689999999999</v>
      </c>
      <c r="H113" s="117" t="s">
        <v>509</v>
      </c>
      <c r="I113" s="117" t="s">
        <v>218</v>
      </c>
      <c r="J113" s="463">
        <v>182</v>
      </c>
      <c r="K113" s="463">
        <v>730</v>
      </c>
      <c r="L113" s="463">
        <v>730</v>
      </c>
      <c r="M113" s="490" t="str">
        <f t="shared" si="93"/>
        <v>2. Medium</v>
      </c>
      <c r="N113" s="547" t="s">
        <v>239</v>
      </c>
      <c r="O113" s="554" t="s">
        <v>237</v>
      </c>
      <c r="P113" s="545" t="str">
        <f t="shared" si="54"/>
        <v>Covered</v>
      </c>
      <c r="Q113" s="461">
        <v>42124</v>
      </c>
      <c r="R113" s="117"/>
      <c r="S113" s="461"/>
      <c r="T113" s="529" t="s">
        <v>260</v>
      </c>
      <c r="U113" s="533" t="str">
        <f t="shared" si="55"/>
        <v>Documented</v>
      </c>
      <c r="V113" s="539">
        <v>0</v>
      </c>
      <c r="W113" s="463">
        <v>0</v>
      </c>
      <c r="X113" s="561" t="s">
        <v>19</v>
      </c>
      <c r="Y113" s="539">
        <v>1</v>
      </c>
      <c r="Z113" s="463">
        <v>0</v>
      </c>
      <c r="AA113" s="561">
        <v>15020</v>
      </c>
      <c r="AB113" s="569">
        <v>0.1</v>
      </c>
      <c r="AC113" s="542">
        <v>0.01</v>
      </c>
      <c r="AD113" s="574">
        <f t="shared" si="56"/>
        <v>1</v>
      </c>
      <c r="AE113" s="495">
        <f t="shared" si="57"/>
        <v>730</v>
      </c>
      <c r="AF113" s="496">
        <f t="shared" si="94"/>
        <v>1</v>
      </c>
      <c r="AG113" s="497">
        <f t="shared" si="59"/>
        <v>730</v>
      </c>
      <c r="AH113" s="494">
        <f t="shared" si="95"/>
        <v>1</v>
      </c>
      <c r="AI113" s="497">
        <f t="shared" si="61"/>
        <v>730</v>
      </c>
      <c r="AJ113" s="498" t="str">
        <f t="shared" si="96"/>
        <v>80-100%</v>
      </c>
      <c r="AK113" s="494">
        <f t="shared" si="97"/>
        <v>0</v>
      </c>
      <c r="AL113" s="499">
        <f t="shared" si="98"/>
        <v>0</v>
      </c>
      <c r="AM113" s="497">
        <f t="shared" si="99"/>
        <v>0.82499999999999996</v>
      </c>
      <c r="AN113" s="497">
        <f t="shared" si="100"/>
        <v>1.82</v>
      </c>
      <c r="AO113" s="497">
        <f t="shared" si="67"/>
        <v>73</v>
      </c>
      <c r="AP113" s="542">
        <v>1</v>
      </c>
      <c r="AQ113" s="577">
        <f t="shared" si="68"/>
        <v>730</v>
      </c>
      <c r="AR113" s="582"/>
      <c r="AS113" s="539">
        <v>64</v>
      </c>
      <c r="AT113" s="463">
        <v>15</v>
      </c>
      <c r="AU113" s="463">
        <v>10</v>
      </c>
      <c r="AV113" s="463" t="s">
        <v>299</v>
      </c>
      <c r="AW113" s="500">
        <f t="shared" si="101"/>
        <v>0.68493150684931503</v>
      </c>
      <c r="AX113" s="497">
        <f t="shared" si="70"/>
        <v>500</v>
      </c>
      <c r="AY113" s="500">
        <f t="shared" si="102"/>
        <v>0.41095890410958902</v>
      </c>
      <c r="AZ113" s="497">
        <f t="shared" si="72"/>
        <v>300</v>
      </c>
      <c r="BA113" s="500">
        <f t="shared" si="103"/>
        <v>0.27397260273972601</v>
      </c>
      <c r="BB113" s="497">
        <f t="shared" si="74"/>
        <v>200</v>
      </c>
      <c r="BC113" s="465">
        <v>0</v>
      </c>
      <c r="BD113" s="464">
        <v>0.68</v>
      </c>
      <c r="BE113" s="501">
        <f t="shared" si="104"/>
        <v>496.40000000000003</v>
      </c>
      <c r="BF113" s="502">
        <f t="shared" si="76"/>
        <v>26.5</v>
      </c>
      <c r="BG113" s="466">
        <v>4</v>
      </c>
      <c r="BH113" s="463" t="s">
        <v>300</v>
      </c>
      <c r="BI113" s="500">
        <f t="shared" si="77"/>
        <v>0.54794520547945202</v>
      </c>
      <c r="BJ113" s="497">
        <f t="shared" si="78"/>
        <v>400</v>
      </c>
      <c r="BK113" s="502">
        <f t="shared" si="79"/>
        <v>3.3</v>
      </c>
      <c r="BL113" s="467">
        <v>0.55000000000000004</v>
      </c>
      <c r="BM113" s="497">
        <f t="shared" si="80"/>
        <v>401.50000000000006</v>
      </c>
      <c r="BN113" s="463">
        <v>6</v>
      </c>
      <c r="BO113" s="500">
        <f t="shared" si="105"/>
        <v>0.82191780821917804</v>
      </c>
      <c r="BP113" s="502">
        <f t="shared" si="106"/>
        <v>1.2999999999999998</v>
      </c>
      <c r="BQ113" s="542">
        <v>0.82</v>
      </c>
      <c r="BR113" s="582"/>
      <c r="BS113" s="596">
        <v>41768</v>
      </c>
      <c r="BT113" s="503">
        <f t="shared" si="90"/>
        <v>42133</v>
      </c>
      <c r="BU113" s="465">
        <v>209</v>
      </c>
      <c r="BV113" s="465">
        <v>6</v>
      </c>
      <c r="BW113" s="504">
        <f t="shared" si="91"/>
        <v>0</v>
      </c>
      <c r="BX113" s="505">
        <f t="shared" si="107"/>
        <v>1</v>
      </c>
      <c r="BY113" s="497">
        <f t="shared" si="108"/>
        <v>730</v>
      </c>
      <c r="BZ113" s="595">
        <f t="shared" si="92"/>
        <v>5</v>
      </c>
      <c r="CA113" s="602"/>
      <c r="CB113" s="542">
        <v>0.75</v>
      </c>
      <c r="CC113" s="605">
        <f t="shared" si="88"/>
        <v>547.5</v>
      </c>
      <c r="CD113" s="602">
        <v>1</v>
      </c>
      <c r="CE113" s="506" t="str">
        <f t="shared" si="89"/>
        <v>Good coverage</v>
      </c>
      <c r="CF113" s="492">
        <v>0</v>
      </c>
      <c r="CG113" s="607" t="s">
        <v>65</v>
      </c>
      <c r="CH113" s="610"/>
    </row>
    <row r="114" spans="2:86" s="40" customFormat="1" ht="30" customHeight="1" x14ac:dyDescent="0.2">
      <c r="B114" s="527" t="s">
        <v>223</v>
      </c>
      <c r="C114" s="488" t="s">
        <v>656</v>
      </c>
      <c r="D114" s="117" t="s">
        <v>267</v>
      </c>
      <c r="E114" s="488" t="s">
        <v>201</v>
      </c>
      <c r="F114" s="117">
        <v>96.807353000000006</v>
      </c>
      <c r="G114" s="117">
        <v>24.200361000000001</v>
      </c>
      <c r="H114" s="117" t="s">
        <v>509</v>
      </c>
      <c r="I114" s="117" t="s">
        <v>218</v>
      </c>
      <c r="J114" s="463">
        <v>88</v>
      </c>
      <c r="K114" s="463">
        <v>278</v>
      </c>
      <c r="L114" s="463">
        <v>278</v>
      </c>
      <c r="M114" s="490" t="str">
        <f t="shared" si="93"/>
        <v>2. Medium</v>
      </c>
      <c r="N114" s="547" t="s">
        <v>239</v>
      </c>
      <c r="O114" s="554" t="s">
        <v>237</v>
      </c>
      <c r="P114" s="545" t="str">
        <f t="shared" si="54"/>
        <v>Covered</v>
      </c>
      <c r="Q114" s="461">
        <v>42124</v>
      </c>
      <c r="R114" s="117"/>
      <c r="S114" s="461"/>
      <c r="T114" s="529" t="s">
        <v>260</v>
      </c>
      <c r="U114" s="533" t="str">
        <f t="shared" si="55"/>
        <v>Documented</v>
      </c>
      <c r="V114" s="539">
        <v>0</v>
      </c>
      <c r="W114" s="463">
        <v>0</v>
      </c>
      <c r="X114" s="561" t="s">
        <v>19</v>
      </c>
      <c r="Y114" s="539">
        <v>0</v>
      </c>
      <c r="Z114" s="463">
        <v>1</v>
      </c>
      <c r="AA114" s="561">
        <v>11745</v>
      </c>
      <c r="AB114" s="569">
        <v>0.01</v>
      </c>
      <c r="AC114" s="542">
        <v>0</v>
      </c>
      <c r="AD114" s="574">
        <f t="shared" si="56"/>
        <v>1</v>
      </c>
      <c r="AE114" s="495">
        <f t="shared" si="57"/>
        <v>278</v>
      </c>
      <c r="AF114" s="496">
        <f t="shared" si="94"/>
        <v>1</v>
      </c>
      <c r="AG114" s="497">
        <f t="shared" si="59"/>
        <v>278</v>
      </c>
      <c r="AH114" s="494">
        <f t="shared" si="95"/>
        <v>1</v>
      </c>
      <c r="AI114" s="497">
        <f t="shared" si="61"/>
        <v>278</v>
      </c>
      <c r="AJ114" s="498" t="str">
        <f t="shared" si="96"/>
        <v>80-100%</v>
      </c>
      <c r="AK114" s="494">
        <f t="shared" si="97"/>
        <v>0</v>
      </c>
      <c r="AL114" s="499">
        <f t="shared" si="98"/>
        <v>0</v>
      </c>
      <c r="AM114" s="497">
        <f t="shared" si="99"/>
        <v>0</v>
      </c>
      <c r="AN114" s="497">
        <f t="shared" si="100"/>
        <v>0</v>
      </c>
      <c r="AO114" s="497">
        <f t="shared" si="67"/>
        <v>2.7800000000000002</v>
      </c>
      <c r="AP114" s="542">
        <v>1</v>
      </c>
      <c r="AQ114" s="577">
        <f t="shared" si="68"/>
        <v>278</v>
      </c>
      <c r="AR114" s="582"/>
      <c r="AS114" s="539">
        <v>12</v>
      </c>
      <c r="AT114" s="463">
        <v>8</v>
      </c>
      <c r="AU114" s="463">
        <v>11</v>
      </c>
      <c r="AV114" s="463" t="s">
        <v>299</v>
      </c>
      <c r="AW114" s="500">
        <f t="shared" si="101"/>
        <v>1</v>
      </c>
      <c r="AX114" s="497">
        <f t="shared" si="70"/>
        <v>278</v>
      </c>
      <c r="AY114" s="500">
        <f t="shared" si="102"/>
        <v>0.20863309352517989</v>
      </c>
      <c r="AZ114" s="497">
        <f t="shared" si="72"/>
        <v>58.000000000000007</v>
      </c>
      <c r="BA114" s="500">
        <f t="shared" si="103"/>
        <v>0.79136690647482011</v>
      </c>
      <c r="BB114" s="497">
        <f t="shared" si="74"/>
        <v>220</v>
      </c>
      <c r="BC114" s="465">
        <v>0</v>
      </c>
      <c r="BD114" s="464">
        <v>1</v>
      </c>
      <c r="BE114" s="501">
        <f t="shared" si="104"/>
        <v>278</v>
      </c>
      <c r="BF114" s="502">
        <f t="shared" si="76"/>
        <v>2.9000000000000004</v>
      </c>
      <c r="BG114" s="466">
        <v>5</v>
      </c>
      <c r="BH114" s="463" t="s">
        <v>91</v>
      </c>
      <c r="BI114" s="500">
        <f t="shared" si="77"/>
        <v>1</v>
      </c>
      <c r="BJ114" s="497">
        <f t="shared" si="78"/>
        <v>278</v>
      </c>
      <c r="BK114" s="502">
        <f t="shared" si="79"/>
        <v>0</v>
      </c>
      <c r="BL114" s="467">
        <v>1</v>
      </c>
      <c r="BM114" s="497">
        <f t="shared" si="80"/>
        <v>278</v>
      </c>
      <c r="BN114" s="463">
        <v>5</v>
      </c>
      <c r="BO114" s="500">
        <f t="shared" si="105"/>
        <v>1</v>
      </c>
      <c r="BP114" s="502">
        <f t="shared" si="106"/>
        <v>0</v>
      </c>
      <c r="BQ114" s="542">
        <v>1</v>
      </c>
      <c r="BR114" s="582"/>
      <c r="BS114" s="596">
        <v>41779</v>
      </c>
      <c r="BT114" s="503">
        <f t="shared" si="90"/>
        <v>42144</v>
      </c>
      <c r="BU114" s="465">
        <v>70</v>
      </c>
      <c r="BV114" s="465">
        <v>6</v>
      </c>
      <c r="BW114" s="504">
        <f t="shared" si="91"/>
        <v>18</v>
      </c>
      <c r="BX114" s="505">
        <f t="shared" si="107"/>
        <v>0.79545454545454541</v>
      </c>
      <c r="BY114" s="497">
        <f t="shared" si="108"/>
        <v>221.13636363636363</v>
      </c>
      <c r="BZ114" s="595">
        <f t="shared" si="92"/>
        <v>5</v>
      </c>
      <c r="CA114" s="602"/>
      <c r="CB114" s="542">
        <v>0.6</v>
      </c>
      <c r="CC114" s="605">
        <f t="shared" si="88"/>
        <v>166.79999999999998</v>
      </c>
      <c r="CD114" s="602">
        <v>1</v>
      </c>
      <c r="CE114" s="506" t="str">
        <f t="shared" si="89"/>
        <v>Excellent coverage</v>
      </c>
      <c r="CF114" s="492">
        <v>0</v>
      </c>
      <c r="CG114" s="607" t="s">
        <v>302</v>
      </c>
      <c r="CH114" s="610"/>
    </row>
    <row r="115" spans="2:86" s="40" customFormat="1" ht="30" customHeight="1" x14ac:dyDescent="0.2">
      <c r="B115" s="527" t="s">
        <v>223</v>
      </c>
      <c r="C115" s="488" t="s">
        <v>657</v>
      </c>
      <c r="D115" s="117" t="s">
        <v>267</v>
      </c>
      <c r="E115" s="488" t="s">
        <v>202</v>
      </c>
      <c r="F115" s="117">
        <v>96.807353000000006</v>
      </c>
      <c r="G115" s="117">
        <v>24.200367</v>
      </c>
      <c r="H115" s="117" t="s">
        <v>509</v>
      </c>
      <c r="I115" s="117" t="s">
        <v>218</v>
      </c>
      <c r="J115" s="463">
        <v>49</v>
      </c>
      <c r="K115" s="463">
        <v>175</v>
      </c>
      <c r="L115" s="463">
        <v>175</v>
      </c>
      <c r="M115" s="490" t="str">
        <f t="shared" si="93"/>
        <v>1. Small</v>
      </c>
      <c r="N115" s="547" t="s">
        <v>235</v>
      </c>
      <c r="O115" s="554" t="s">
        <v>237</v>
      </c>
      <c r="P115" s="545" t="str">
        <f t="shared" si="54"/>
        <v>Covered</v>
      </c>
      <c r="Q115" s="461">
        <v>42124</v>
      </c>
      <c r="R115" s="117"/>
      <c r="S115" s="461"/>
      <c r="T115" s="529" t="s">
        <v>260</v>
      </c>
      <c r="U115" s="533" t="str">
        <f t="shared" si="55"/>
        <v>Documented</v>
      </c>
      <c r="V115" s="539">
        <v>0</v>
      </c>
      <c r="W115" s="463">
        <v>0</v>
      </c>
      <c r="X115" s="561" t="s">
        <v>19</v>
      </c>
      <c r="Y115" s="539">
        <v>0</v>
      </c>
      <c r="Z115" s="463">
        <v>3</v>
      </c>
      <c r="AA115" s="561">
        <v>4000</v>
      </c>
      <c r="AB115" s="569">
        <v>0.02</v>
      </c>
      <c r="AC115" s="542">
        <v>0.21</v>
      </c>
      <c r="AD115" s="574">
        <f t="shared" si="56"/>
        <v>1</v>
      </c>
      <c r="AE115" s="495">
        <f t="shared" si="57"/>
        <v>175</v>
      </c>
      <c r="AF115" s="496">
        <f t="shared" si="94"/>
        <v>1</v>
      </c>
      <c r="AG115" s="497">
        <f t="shared" si="59"/>
        <v>175</v>
      </c>
      <c r="AH115" s="494">
        <f t="shared" si="95"/>
        <v>1</v>
      </c>
      <c r="AI115" s="497">
        <f t="shared" si="61"/>
        <v>175</v>
      </c>
      <c r="AJ115" s="498" t="str">
        <f t="shared" si="96"/>
        <v>80-100%</v>
      </c>
      <c r="AK115" s="494">
        <f t="shared" si="97"/>
        <v>0</v>
      </c>
      <c r="AL115" s="499">
        <f t="shared" si="98"/>
        <v>0</v>
      </c>
      <c r="AM115" s="497">
        <f t="shared" si="99"/>
        <v>0</v>
      </c>
      <c r="AN115" s="497">
        <f t="shared" si="100"/>
        <v>10.29</v>
      </c>
      <c r="AO115" s="497">
        <f t="shared" si="67"/>
        <v>3.5</v>
      </c>
      <c r="AP115" s="542">
        <v>1</v>
      </c>
      <c r="AQ115" s="577">
        <f t="shared" si="68"/>
        <v>175</v>
      </c>
      <c r="AR115" s="582"/>
      <c r="AS115" s="539">
        <v>14</v>
      </c>
      <c r="AT115" s="463">
        <v>12</v>
      </c>
      <c r="AU115" s="463">
        <v>18</v>
      </c>
      <c r="AV115" s="463" t="s">
        <v>301</v>
      </c>
      <c r="AW115" s="500">
        <f t="shared" si="101"/>
        <v>1</v>
      </c>
      <c r="AX115" s="497">
        <f t="shared" si="70"/>
        <v>175</v>
      </c>
      <c r="AY115" s="500">
        <f t="shared" si="102"/>
        <v>0</v>
      </c>
      <c r="AZ115" s="497">
        <f t="shared" si="72"/>
        <v>0</v>
      </c>
      <c r="BA115" s="500">
        <f t="shared" si="103"/>
        <v>1</v>
      </c>
      <c r="BB115" s="497">
        <f t="shared" si="74"/>
        <v>175</v>
      </c>
      <c r="BC115" s="465">
        <v>0</v>
      </c>
      <c r="BD115" s="464">
        <v>1</v>
      </c>
      <c r="BE115" s="501">
        <f t="shared" si="104"/>
        <v>175</v>
      </c>
      <c r="BF115" s="502">
        <f t="shared" si="76"/>
        <v>0</v>
      </c>
      <c r="BG115" s="466">
        <v>4</v>
      </c>
      <c r="BH115" s="463" t="s">
        <v>91</v>
      </c>
      <c r="BI115" s="500">
        <f t="shared" si="77"/>
        <v>1</v>
      </c>
      <c r="BJ115" s="497">
        <f t="shared" si="78"/>
        <v>175</v>
      </c>
      <c r="BK115" s="502">
        <f t="shared" si="79"/>
        <v>0</v>
      </c>
      <c r="BL115" s="467">
        <v>1</v>
      </c>
      <c r="BM115" s="497">
        <f t="shared" si="80"/>
        <v>175</v>
      </c>
      <c r="BN115" s="463">
        <v>2</v>
      </c>
      <c r="BO115" s="500">
        <f t="shared" si="105"/>
        <v>1</v>
      </c>
      <c r="BP115" s="502">
        <f t="shared" si="106"/>
        <v>0</v>
      </c>
      <c r="BQ115" s="542">
        <v>1</v>
      </c>
      <c r="BR115" s="582"/>
      <c r="BS115" s="596">
        <v>41779</v>
      </c>
      <c r="BT115" s="503">
        <f t="shared" si="90"/>
        <v>42144</v>
      </c>
      <c r="BU115" s="465">
        <v>54</v>
      </c>
      <c r="BV115" s="465">
        <v>6</v>
      </c>
      <c r="BW115" s="504">
        <f t="shared" si="91"/>
        <v>0</v>
      </c>
      <c r="BX115" s="505">
        <f t="shared" si="107"/>
        <v>1</v>
      </c>
      <c r="BY115" s="497">
        <f t="shared" si="108"/>
        <v>175</v>
      </c>
      <c r="BZ115" s="595">
        <f t="shared" si="92"/>
        <v>5</v>
      </c>
      <c r="CA115" s="602"/>
      <c r="CB115" s="542">
        <v>0.65</v>
      </c>
      <c r="CC115" s="605">
        <f t="shared" si="88"/>
        <v>113.75</v>
      </c>
      <c r="CD115" s="602">
        <v>1</v>
      </c>
      <c r="CE115" s="506" t="str">
        <f t="shared" si="89"/>
        <v>Excellent coverage</v>
      </c>
      <c r="CF115" s="492">
        <v>0</v>
      </c>
      <c r="CG115" s="607" t="s">
        <v>65</v>
      </c>
      <c r="CH115" s="610"/>
    </row>
    <row r="116" spans="2:86" s="40" customFormat="1" ht="30" customHeight="1" x14ac:dyDescent="0.2">
      <c r="B116" s="527" t="s">
        <v>186</v>
      </c>
      <c r="C116" s="488" t="s">
        <v>622</v>
      </c>
      <c r="D116" s="117" t="s">
        <v>273</v>
      </c>
      <c r="E116" s="488" t="s">
        <v>695</v>
      </c>
      <c r="F116" s="117">
        <v>97.609832999999995</v>
      </c>
      <c r="G116" s="117">
        <v>24.002433</v>
      </c>
      <c r="H116" s="117" t="s">
        <v>509</v>
      </c>
      <c r="I116" s="117" t="s">
        <v>226</v>
      </c>
      <c r="J116" s="463">
        <v>169</v>
      </c>
      <c r="K116" s="463">
        <v>742</v>
      </c>
      <c r="L116" s="463">
        <v>742</v>
      </c>
      <c r="M116" s="490" t="str">
        <f t="shared" si="93"/>
        <v>2. Medium</v>
      </c>
      <c r="N116" s="544" t="s">
        <v>235</v>
      </c>
      <c r="O116" s="554" t="s">
        <v>294</v>
      </c>
      <c r="P116" s="545" t="str">
        <f t="shared" si="54"/>
        <v>Covered</v>
      </c>
      <c r="Q116" s="461">
        <v>42185</v>
      </c>
      <c r="R116" s="117" t="s">
        <v>426</v>
      </c>
      <c r="S116" s="461">
        <v>42185</v>
      </c>
      <c r="T116" s="529" t="s">
        <v>260</v>
      </c>
      <c r="U116" s="533" t="str">
        <f t="shared" si="55"/>
        <v>Documented</v>
      </c>
      <c r="V116" s="539">
        <v>0</v>
      </c>
      <c r="W116" s="463">
        <v>0</v>
      </c>
      <c r="X116" s="561" t="s">
        <v>19</v>
      </c>
      <c r="Y116" s="539">
        <v>2</v>
      </c>
      <c r="Z116" s="463">
        <v>0</v>
      </c>
      <c r="AA116" s="561">
        <v>81090</v>
      </c>
      <c r="AB116" s="569">
        <v>0</v>
      </c>
      <c r="AC116" s="542">
        <v>0.95</v>
      </c>
      <c r="AD116" s="574">
        <f t="shared" si="56"/>
        <v>1</v>
      </c>
      <c r="AE116" s="495">
        <f t="shared" si="57"/>
        <v>742</v>
      </c>
      <c r="AF116" s="496">
        <f t="shared" si="94"/>
        <v>1</v>
      </c>
      <c r="AG116" s="497">
        <f t="shared" si="59"/>
        <v>742</v>
      </c>
      <c r="AH116" s="494">
        <f t="shared" si="95"/>
        <v>1</v>
      </c>
      <c r="AI116" s="497">
        <f t="shared" si="61"/>
        <v>742</v>
      </c>
      <c r="AJ116" s="498" t="str">
        <f t="shared" si="96"/>
        <v>80-100%</v>
      </c>
      <c r="AK116" s="494">
        <f t="shared" si="97"/>
        <v>0</v>
      </c>
      <c r="AL116" s="499">
        <f t="shared" si="98"/>
        <v>0</v>
      </c>
      <c r="AM116" s="497">
        <f t="shared" si="99"/>
        <v>0</v>
      </c>
      <c r="AN116" s="497">
        <f t="shared" si="100"/>
        <v>160.54999999999998</v>
      </c>
      <c r="AO116" s="497">
        <f t="shared" si="67"/>
        <v>0</v>
      </c>
      <c r="AP116" s="542">
        <v>1</v>
      </c>
      <c r="AQ116" s="577">
        <f t="shared" si="68"/>
        <v>742</v>
      </c>
      <c r="AR116" s="582"/>
      <c r="AS116" s="539">
        <v>63</v>
      </c>
      <c r="AT116" s="463">
        <v>42</v>
      </c>
      <c r="AU116" s="463">
        <v>14</v>
      </c>
      <c r="AV116" s="463" t="s">
        <v>300</v>
      </c>
      <c r="AW116" s="500">
        <f t="shared" si="101"/>
        <v>1</v>
      </c>
      <c r="AX116" s="497">
        <f t="shared" si="70"/>
        <v>742</v>
      </c>
      <c r="AY116" s="500">
        <f t="shared" si="102"/>
        <v>0.62264150943396224</v>
      </c>
      <c r="AZ116" s="497">
        <f t="shared" si="72"/>
        <v>462</v>
      </c>
      <c r="BA116" s="500">
        <f t="shared" si="103"/>
        <v>0.37735849056603776</v>
      </c>
      <c r="BB116" s="497">
        <f t="shared" si="74"/>
        <v>280</v>
      </c>
      <c r="BC116" s="465">
        <v>0</v>
      </c>
      <c r="BD116" s="464">
        <v>1</v>
      </c>
      <c r="BE116" s="501">
        <f t="shared" si="104"/>
        <v>742</v>
      </c>
      <c r="BF116" s="502">
        <f t="shared" si="76"/>
        <v>23.1</v>
      </c>
      <c r="BG116" s="466">
        <v>4</v>
      </c>
      <c r="BH116" s="463" t="s">
        <v>91</v>
      </c>
      <c r="BI116" s="500">
        <f t="shared" si="77"/>
        <v>0.53908355795148244</v>
      </c>
      <c r="BJ116" s="497">
        <f t="shared" si="78"/>
        <v>399.99999999999994</v>
      </c>
      <c r="BK116" s="502">
        <f t="shared" si="79"/>
        <v>3.42</v>
      </c>
      <c r="BL116" s="467">
        <v>0.54</v>
      </c>
      <c r="BM116" s="497">
        <f t="shared" si="80"/>
        <v>400.68</v>
      </c>
      <c r="BN116" s="463">
        <v>1</v>
      </c>
      <c r="BO116" s="500">
        <f t="shared" si="105"/>
        <v>0.13477088948787061</v>
      </c>
      <c r="BP116" s="502">
        <f t="shared" si="106"/>
        <v>6.42</v>
      </c>
      <c r="BQ116" s="542">
        <v>0.13</v>
      </c>
      <c r="BR116" s="582"/>
      <c r="BS116" s="596">
        <v>41726</v>
      </c>
      <c r="BT116" s="503" t="str">
        <f t="shared" si="90"/>
        <v>To be realised</v>
      </c>
      <c r="BU116" s="465">
        <v>166</v>
      </c>
      <c r="BV116" s="465">
        <v>3</v>
      </c>
      <c r="BW116" s="504">
        <f t="shared" si="91"/>
        <v>169</v>
      </c>
      <c r="BX116" s="505">
        <f t="shared" si="107"/>
        <v>0</v>
      </c>
      <c r="BY116" s="497">
        <f t="shared" si="108"/>
        <v>0</v>
      </c>
      <c r="BZ116" s="595">
        <f t="shared" si="92"/>
        <v>9</v>
      </c>
      <c r="CA116" s="602"/>
      <c r="CB116" s="542">
        <v>0.2</v>
      </c>
      <c r="CC116" s="605">
        <f t="shared" si="88"/>
        <v>148.4</v>
      </c>
      <c r="CD116" s="602">
        <v>4</v>
      </c>
      <c r="CE116" s="506" t="str">
        <f t="shared" si="89"/>
        <v>Excellent coverage</v>
      </c>
      <c r="CF116" s="492">
        <v>0</v>
      </c>
      <c r="CG116" s="607" t="s">
        <v>302</v>
      </c>
      <c r="CH116" s="610"/>
    </row>
    <row r="117" spans="2:86" s="40" customFormat="1" ht="30" customHeight="1" x14ac:dyDescent="0.2">
      <c r="B117" s="527" t="s">
        <v>186</v>
      </c>
      <c r="C117" s="488" t="s">
        <v>623</v>
      </c>
      <c r="D117" s="117" t="s">
        <v>273</v>
      </c>
      <c r="E117" s="488" t="s">
        <v>696</v>
      </c>
      <c r="F117" s="117">
        <v>97.609832999999995</v>
      </c>
      <c r="G117" s="117">
        <v>24.002433</v>
      </c>
      <c r="H117" s="117" t="s">
        <v>509</v>
      </c>
      <c r="I117" s="117" t="s">
        <v>226</v>
      </c>
      <c r="J117" s="463">
        <v>207</v>
      </c>
      <c r="K117" s="463">
        <v>878</v>
      </c>
      <c r="L117" s="463">
        <v>878</v>
      </c>
      <c r="M117" s="490" t="str">
        <f t="shared" si="93"/>
        <v>2. Medium</v>
      </c>
      <c r="N117" s="544" t="s">
        <v>286</v>
      </c>
      <c r="O117" s="554" t="s">
        <v>294</v>
      </c>
      <c r="P117" s="545" t="str">
        <f t="shared" si="54"/>
        <v>Covered</v>
      </c>
      <c r="Q117" s="461">
        <v>42185</v>
      </c>
      <c r="R117" s="117" t="s">
        <v>426</v>
      </c>
      <c r="S117" s="461">
        <v>42185</v>
      </c>
      <c r="T117" s="529" t="s">
        <v>260</v>
      </c>
      <c r="U117" s="533" t="str">
        <f t="shared" si="55"/>
        <v>Documented</v>
      </c>
      <c r="V117" s="539">
        <v>0</v>
      </c>
      <c r="W117" s="463">
        <v>0</v>
      </c>
      <c r="X117" s="561" t="s">
        <v>19</v>
      </c>
      <c r="Y117" s="539">
        <v>2</v>
      </c>
      <c r="Z117" s="463">
        <v>0</v>
      </c>
      <c r="AA117" s="561">
        <v>38340</v>
      </c>
      <c r="AB117" s="569">
        <v>0</v>
      </c>
      <c r="AC117" s="542">
        <v>0.45</v>
      </c>
      <c r="AD117" s="574">
        <f t="shared" si="56"/>
        <v>1</v>
      </c>
      <c r="AE117" s="495">
        <f t="shared" si="57"/>
        <v>878</v>
      </c>
      <c r="AF117" s="496">
        <f t="shared" si="94"/>
        <v>1</v>
      </c>
      <c r="AG117" s="497">
        <f t="shared" si="59"/>
        <v>878</v>
      </c>
      <c r="AH117" s="494">
        <f t="shared" si="95"/>
        <v>1</v>
      </c>
      <c r="AI117" s="497">
        <f t="shared" si="61"/>
        <v>878</v>
      </c>
      <c r="AJ117" s="498" t="str">
        <f t="shared" si="96"/>
        <v>80-100%</v>
      </c>
      <c r="AK117" s="494">
        <f t="shared" si="97"/>
        <v>0</v>
      </c>
      <c r="AL117" s="499">
        <f t="shared" si="98"/>
        <v>0</v>
      </c>
      <c r="AM117" s="497">
        <f t="shared" si="99"/>
        <v>0.19499999999999984</v>
      </c>
      <c r="AN117" s="497">
        <f t="shared" si="100"/>
        <v>93.15</v>
      </c>
      <c r="AO117" s="497">
        <f t="shared" si="67"/>
        <v>0</v>
      </c>
      <c r="AP117" s="542">
        <v>1</v>
      </c>
      <c r="AQ117" s="577">
        <f t="shared" si="68"/>
        <v>878</v>
      </c>
      <c r="AR117" s="582"/>
      <c r="AS117" s="539">
        <v>88</v>
      </c>
      <c r="AT117" s="463">
        <v>21</v>
      </c>
      <c r="AU117" s="463">
        <v>30</v>
      </c>
      <c r="AV117" s="463" t="s">
        <v>300</v>
      </c>
      <c r="AW117" s="500">
        <f t="shared" si="101"/>
        <v>1</v>
      </c>
      <c r="AX117" s="497">
        <f t="shared" si="70"/>
        <v>878</v>
      </c>
      <c r="AY117" s="500">
        <f t="shared" si="102"/>
        <v>0.31662870159453305</v>
      </c>
      <c r="AZ117" s="497">
        <f t="shared" si="72"/>
        <v>278</v>
      </c>
      <c r="BA117" s="500">
        <f t="shared" si="103"/>
        <v>0.68337129840546695</v>
      </c>
      <c r="BB117" s="497">
        <f t="shared" si="74"/>
        <v>600</v>
      </c>
      <c r="BC117" s="465">
        <v>0</v>
      </c>
      <c r="BD117" s="464">
        <v>1</v>
      </c>
      <c r="BE117" s="501">
        <f t="shared" si="104"/>
        <v>878</v>
      </c>
      <c r="BF117" s="502">
        <f t="shared" si="76"/>
        <v>13.899999999999999</v>
      </c>
      <c r="BG117" s="466">
        <v>3</v>
      </c>
      <c r="BH117" s="463" t="s">
        <v>300</v>
      </c>
      <c r="BI117" s="500">
        <f t="shared" si="77"/>
        <v>0.34168564920273348</v>
      </c>
      <c r="BJ117" s="497">
        <f t="shared" si="78"/>
        <v>300</v>
      </c>
      <c r="BK117" s="502">
        <f t="shared" si="79"/>
        <v>5.7799999999999994</v>
      </c>
      <c r="BL117" s="467">
        <v>0.34</v>
      </c>
      <c r="BM117" s="497">
        <f t="shared" si="80"/>
        <v>298.52000000000004</v>
      </c>
      <c r="BN117" s="463">
        <v>3</v>
      </c>
      <c r="BO117" s="500">
        <f t="shared" si="105"/>
        <v>0.34168564920273348</v>
      </c>
      <c r="BP117" s="502">
        <f t="shared" si="106"/>
        <v>5.7799999999999994</v>
      </c>
      <c r="BQ117" s="542">
        <v>0.34</v>
      </c>
      <c r="BR117" s="582"/>
      <c r="BS117" s="596">
        <v>41996</v>
      </c>
      <c r="BT117" s="503">
        <f t="shared" si="90"/>
        <v>42361</v>
      </c>
      <c r="BU117" s="465">
        <v>206</v>
      </c>
      <c r="BV117" s="465">
        <v>0</v>
      </c>
      <c r="BW117" s="504">
        <f t="shared" si="91"/>
        <v>1</v>
      </c>
      <c r="BX117" s="505">
        <f t="shared" si="107"/>
        <v>0.99516908212560384</v>
      </c>
      <c r="BY117" s="497">
        <f t="shared" si="108"/>
        <v>873.75845410628017</v>
      </c>
      <c r="BZ117" s="595">
        <f t="shared" si="92"/>
        <v>3</v>
      </c>
      <c r="CA117" s="602"/>
      <c r="CB117" s="542">
        <v>0.25</v>
      </c>
      <c r="CC117" s="605">
        <f t="shared" si="88"/>
        <v>219.5</v>
      </c>
      <c r="CD117" s="602">
        <v>4</v>
      </c>
      <c r="CE117" s="506" t="str">
        <f t="shared" si="89"/>
        <v>Excellent coverage</v>
      </c>
      <c r="CF117" s="492">
        <v>0</v>
      </c>
      <c r="CG117" s="607" t="s">
        <v>66</v>
      </c>
      <c r="CH117" s="610"/>
    </row>
    <row r="118" spans="2:86" s="40" customFormat="1" ht="30" customHeight="1" x14ac:dyDescent="0.2">
      <c r="B118" s="527" t="s">
        <v>186</v>
      </c>
      <c r="C118" s="488"/>
      <c r="D118" s="117" t="s">
        <v>273</v>
      </c>
      <c r="E118" s="488" t="s">
        <v>830</v>
      </c>
      <c r="F118" s="117">
        <v>97.602490000000003</v>
      </c>
      <c r="G118" s="117">
        <v>24.000039999999998</v>
      </c>
      <c r="H118" s="117" t="s">
        <v>509</v>
      </c>
      <c r="I118" s="117" t="s">
        <v>226</v>
      </c>
      <c r="J118" s="463">
        <v>53</v>
      </c>
      <c r="K118" s="463">
        <v>201</v>
      </c>
      <c r="L118" s="463">
        <v>201</v>
      </c>
      <c r="M118" s="490" t="str">
        <f t="shared" si="93"/>
        <v>2. Medium</v>
      </c>
      <c r="N118" s="544"/>
      <c r="O118" s="554" t="s">
        <v>294</v>
      </c>
      <c r="P118" s="545" t="str">
        <f t="shared" si="54"/>
        <v>Covered</v>
      </c>
      <c r="Q118" s="461">
        <v>42185</v>
      </c>
      <c r="R118" s="117" t="s">
        <v>426</v>
      </c>
      <c r="S118" s="461">
        <v>42185</v>
      </c>
      <c r="T118" s="529" t="s">
        <v>260</v>
      </c>
      <c r="U118" s="533" t="str">
        <f t="shared" si="55"/>
        <v>Documented</v>
      </c>
      <c r="V118" s="539">
        <v>0</v>
      </c>
      <c r="W118" s="463">
        <v>0</v>
      </c>
      <c r="X118" s="561" t="s">
        <v>19</v>
      </c>
      <c r="Y118" s="539">
        <v>0</v>
      </c>
      <c r="Z118" s="463">
        <v>0</v>
      </c>
      <c r="AA118" s="561">
        <v>0</v>
      </c>
      <c r="AB118" s="569">
        <v>0</v>
      </c>
      <c r="AC118" s="542">
        <v>0</v>
      </c>
      <c r="AD118" s="574">
        <f t="shared" si="56"/>
        <v>0</v>
      </c>
      <c r="AE118" s="495">
        <f t="shared" si="57"/>
        <v>0</v>
      </c>
      <c r="AF118" s="496">
        <f t="shared" si="94"/>
        <v>0</v>
      </c>
      <c r="AG118" s="497">
        <f t="shared" si="59"/>
        <v>0</v>
      </c>
      <c r="AH118" s="494">
        <f t="shared" si="95"/>
        <v>0</v>
      </c>
      <c r="AI118" s="497">
        <f t="shared" si="61"/>
        <v>0</v>
      </c>
      <c r="AJ118" s="498" t="str">
        <f t="shared" si="96"/>
        <v>0-10%</v>
      </c>
      <c r="AK118" s="494">
        <f t="shared" si="97"/>
        <v>0</v>
      </c>
      <c r="AL118" s="499">
        <f t="shared" si="98"/>
        <v>0</v>
      </c>
      <c r="AM118" s="497">
        <f t="shared" si="99"/>
        <v>0.50249999999999995</v>
      </c>
      <c r="AN118" s="497">
        <f t="shared" si="100"/>
        <v>0</v>
      </c>
      <c r="AO118" s="497">
        <f t="shared" si="67"/>
        <v>0</v>
      </c>
      <c r="AP118" s="542">
        <v>1</v>
      </c>
      <c r="AQ118" s="577">
        <f t="shared" si="68"/>
        <v>201</v>
      </c>
      <c r="AR118" s="582" t="s">
        <v>903</v>
      </c>
      <c r="AS118" s="539">
        <v>0</v>
      </c>
      <c r="AT118" s="463">
        <v>0</v>
      </c>
      <c r="AU118" s="463">
        <v>20</v>
      </c>
      <c r="AV118" s="463" t="s">
        <v>300</v>
      </c>
      <c r="AW118" s="500">
        <f t="shared" si="101"/>
        <v>1</v>
      </c>
      <c r="AX118" s="497">
        <f t="shared" si="70"/>
        <v>201</v>
      </c>
      <c r="AY118" s="500">
        <f t="shared" si="102"/>
        <v>0</v>
      </c>
      <c r="AZ118" s="497">
        <f t="shared" si="72"/>
        <v>0</v>
      </c>
      <c r="BA118" s="500">
        <f t="shared" si="103"/>
        <v>1</v>
      </c>
      <c r="BB118" s="497">
        <f t="shared" si="74"/>
        <v>201</v>
      </c>
      <c r="BC118" s="465">
        <v>0</v>
      </c>
      <c r="BD118" s="464">
        <v>1</v>
      </c>
      <c r="BE118" s="501">
        <f t="shared" si="104"/>
        <v>201</v>
      </c>
      <c r="BF118" s="502">
        <f t="shared" si="76"/>
        <v>0</v>
      </c>
      <c r="BG118" s="466">
        <v>2</v>
      </c>
      <c r="BH118" s="463" t="s">
        <v>300</v>
      </c>
      <c r="BI118" s="500">
        <f t="shared" si="77"/>
        <v>0.99502487562189057</v>
      </c>
      <c r="BJ118" s="497">
        <f t="shared" si="78"/>
        <v>200</v>
      </c>
      <c r="BK118" s="502">
        <f t="shared" si="79"/>
        <v>9.9999999999997868E-3</v>
      </c>
      <c r="BL118" s="467">
        <v>1</v>
      </c>
      <c r="BM118" s="497">
        <f t="shared" si="80"/>
        <v>201</v>
      </c>
      <c r="BN118" s="463">
        <v>5</v>
      </c>
      <c r="BO118" s="500">
        <f t="shared" si="105"/>
        <v>1</v>
      </c>
      <c r="BP118" s="502">
        <f t="shared" si="106"/>
        <v>0</v>
      </c>
      <c r="BQ118" s="542">
        <v>1</v>
      </c>
      <c r="BR118" s="582" t="s">
        <v>847</v>
      </c>
      <c r="BS118" s="596"/>
      <c r="BT118" s="503" t="str">
        <f t="shared" si="90"/>
        <v>To be realised</v>
      </c>
      <c r="BU118" s="465">
        <v>0</v>
      </c>
      <c r="BV118" s="465">
        <v>0</v>
      </c>
      <c r="BW118" s="504">
        <f t="shared" si="91"/>
        <v>53</v>
      </c>
      <c r="BX118" s="505">
        <f t="shared" si="107"/>
        <v>0</v>
      </c>
      <c r="BY118" s="497">
        <f t="shared" si="108"/>
        <v>0</v>
      </c>
      <c r="BZ118" s="595" t="str">
        <f t="shared" si="92"/>
        <v>Column BN to be completed</v>
      </c>
      <c r="CA118" s="602"/>
      <c r="CB118" s="542">
        <v>0</v>
      </c>
      <c r="CC118" s="605">
        <f t="shared" si="88"/>
        <v>0</v>
      </c>
      <c r="CD118" s="602">
        <v>0</v>
      </c>
      <c r="CE118" s="506" t="str">
        <f t="shared" si="89"/>
        <v>No coverage</v>
      </c>
      <c r="CF118" s="492">
        <v>0</v>
      </c>
      <c r="CG118" s="607" t="s">
        <v>66</v>
      </c>
      <c r="CH118" s="610"/>
    </row>
    <row r="119" spans="2:86" s="40" customFormat="1" ht="30" customHeight="1" x14ac:dyDescent="0.2">
      <c r="B119" s="527" t="s">
        <v>186</v>
      </c>
      <c r="C119" s="488" t="s">
        <v>624</v>
      </c>
      <c r="D119" s="117" t="s">
        <v>273</v>
      </c>
      <c r="E119" s="488" t="s">
        <v>287</v>
      </c>
      <c r="F119" s="117">
        <v>97.625617000000005</v>
      </c>
      <c r="G119" s="117">
        <v>24.056132999999999</v>
      </c>
      <c r="H119" s="117" t="s">
        <v>509</v>
      </c>
      <c r="I119" s="117" t="s">
        <v>226</v>
      </c>
      <c r="J119" s="463">
        <v>545</v>
      </c>
      <c r="K119" s="463">
        <v>2561</v>
      </c>
      <c r="L119" s="463">
        <v>2561</v>
      </c>
      <c r="M119" s="490" t="str">
        <f t="shared" si="93"/>
        <v>4. Big</v>
      </c>
      <c r="N119" s="544" t="s">
        <v>235</v>
      </c>
      <c r="O119" s="554" t="s">
        <v>294</v>
      </c>
      <c r="P119" s="545" t="str">
        <f t="shared" si="54"/>
        <v>Covered</v>
      </c>
      <c r="Q119" s="461">
        <v>42185</v>
      </c>
      <c r="R119" s="117" t="s">
        <v>426</v>
      </c>
      <c r="S119" s="461">
        <v>42185</v>
      </c>
      <c r="T119" s="529" t="s">
        <v>260</v>
      </c>
      <c r="U119" s="533" t="str">
        <f t="shared" si="55"/>
        <v>Documented</v>
      </c>
      <c r="V119" s="539">
        <v>0</v>
      </c>
      <c r="W119" s="463">
        <v>0</v>
      </c>
      <c r="X119" s="561" t="s">
        <v>19</v>
      </c>
      <c r="Y119" s="539">
        <v>2</v>
      </c>
      <c r="Z119" s="463">
        <v>0</v>
      </c>
      <c r="AA119" s="561">
        <v>128565</v>
      </c>
      <c r="AB119" s="569">
        <v>0</v>
      </c>
      <c r="AC119" s="542">
        <v>0.5</v>
      </c>
      <c r="AD119" s="574">
        <f t="shared" si="56"/>
        <v>1</v>
      </c>
      <c r="AE119" s="495">
        <f t="shared" si="57"/>
        <v>2561</v>
      </c>
      <c r="AF119" s="496">
        <f t="shared" si="94"/>
        <v>1</v>
      </c>
      <c r="AG119" s="497">
        <f t="shared" si="59"/>
        <v>2561</v>
      </c>
      <c r="AH119" s="494">
        <f t="shared" si="95"/>
        <v>1</v>
      </c>
      <c r="AI119" s="497">
        <f t="shared" si="61"/>
        <v>2561</v>
      </c>
      <c r="AJ119" s="498" t="str">
        <f t="shared" si="96"/>
        <v>80-100%</v>
      </c>
      <c r="AK119" s="494">
        <f t="shared" si="97"/>
        <v>0</v>
      </c>
      <c r="AL119" s="499">
        <f t="shared" si="98"/>
        <v>0</v>
      </c>
      <c r="AM119" s="497">
        <f t="shared" si="99"/>
        <v>4.4024999999999999</v>
      </c>
      <c r="AN119" s="497">
        <f t="shared" si="100"/>
        <v>272.5</v>
      </c>
      <c r="AO119" s="497">
        <f t="shared" si="67"/>
        <v>0</v>
      </c>
      <c r="AP119" s="542">
        <v>1</v>
      </c>
      <c r="AQ119" s="577">
        <f t="shared" si="68"/>
        <v>2561</v>
      </c>
      <c r="AR119" s="582"/>
      <c r="AS119" s="539">
        <v>84</v>
      </c>
      <c r="AT119" s="463">
        <v>20</v>
      </c>
      <c r="AU119" s="463">
        <v>72</v>
      </c>
      <c r="AV119" s="463" t="s">
        <v>301</v>
      </c>
      <c r="AW119" s="500">
        <f t="shared" si="101"/>
        <v>0.71846934791097228</v>
      </c>
      <c r="AX119" s="497">
        <f t="shared" si="70"/>
        <v>1840</v>
      </c>
      <c r="AY119" s="500">
        <f t="shared" si="102"/>
        <v>0.15618898867629827</v>
      </c>
      <c r="AZ119" s="497">
        <f t="shared" si="72"/>
        <v>399.99999999999989</v>
      </c>
      <c r="BA119" s="500">
        <f t="shared" si="103"/>
        <v>0.56228035923467401</v>
      </c>
      <c r="BB119" s="497">
        <f t="shared" si="74"/>
        <v>1440.0000000000002</v>
      </c>
      <c r="BC119" s="465">
        <v>1</v>
      </c>
      <c r="BD119" s="464">
        <v>0.72</v>
      </c>
      <c r="BE119" s="501">
        <f t="shared" si="104"/>
        <v>1843.9199999999998</v>
      </c>
      <c r="BF119" s="502">
        <f t="shared" si="76"/>
        <v>57.050000000000011</v>
      </c>
      <c r="BG119" s="466">
        <v>1</v>
      </c>
      <c r="BH119" s="463" t="s">
        <v>91</v>
      </c>
      <c r="BI119" s="500">
        <f t="shared" si="77"/>
        <v>3.9047247169074581E-2</v>
      </c>
      <c r="BJ119" s="497">
        <f t="shared" si="78"/>
        <v>100</v>
      </c>
      <c r="BK119" s="502">
        <f t="shared" si="79"/>
        <v>24.61</v>
      </c>
      <c r="BL119" s="467">
        <v>0.04</v>
      </c>
      <c r="BM119" s="497">
        <f t="shared" si="80"/>
        <v>102.44</v>
      </c>
      <c r="BN119" s="463">
        <v>0</v>
      </c>
      <c r="BO119" s="500">
        <f t="shared" si="105"/>
        <v>0</v>
      </c>
      <c r="BP119" s="502">
        <f t="shared" si="106"/>
        <v>25.61</v>
      </c>
      <c r="BQ119" s="542">
        <v>0</v>
      </c>
      <c r="BR119" s="582"/>
      <c r="BS119" s="596">
        <v>41996</v>
      </c>
      <c r="BT119" s="503">
        <f t="shared" si="90"/>
        <v>42361</v>
      </c>
      <c r="BU119" s="465">
        <v>563</v>
      </c>
      <c r="BV119" s="465">
        <v>0</v>
      </c>
      <c r="BW119" s="504">
        <f t="shared" si="91"/>
        <v>0</v>
      </c>
      <c r="BX119" s="505">
        <f t="shared" si="107"/>
        <v>1</v>
      </c>
      <c r="BY119" s="497">
        <f t="shared" si="108"/>
        <v>2561</v>
      </c>
      <c r="BZ119" s="595">
        <f t="shared" si="92"/>
        <v>3</v>
      </c>
      <c r="CA119" s="602"/>
      <c r="CB119" s="542">
        <v>0.25</v>
      </c>
      <c r="CC119" s="605">
        <f t="shared" si="88"/>
        <v>640.25</v>
      </c>
      <c r="CD119" s="602">
        <v>11</v>
      </c>
      <c r="CE119" s="506" t="str">
        <f t="shared" si="89"/>
        <v>Excellent coverage</v>
      </c>
      <c r="CF119" s="492">
        <v>0</v>
      </c>
      <c r="CG119" s="607" t="s">
        <v>302</v>
      </c>
      <c r="CH119" s="610"/>
    </row>
    <row r="120" spans="2:86" s="40" customFormat="1" ht="30" customHeight="1" x14ac:dyDescent="0.2">
      <c r="B120" s="527" t="s">
        <v>188</v>
      </c>
      <c r="C120" s="488" t="s">
        <v>794</v>
      </c>
      <c r="D120" s="117" t="s">
        <v>273</v>
      </c>
      <c r="E120" s="488" t="s">
        <v>191</v>
      </c>
      <c r="F120" s="117">
        <v>97.669366999999994</v>
      </c>
      <c r="G120" s="117">
        <v>24.378167000000001</v>
      </c>
      <c r="H120" s="117" t="s">
        <v>509</v>
      </c>
      <c r="I120" s="117" t="s">
        <v>226</v>
      </c>
      <c r="J120" s="463">
        <v>369</v>
      </c>
      <c r="K120" s="463">
        <v>1633</v>
      </c>
      <c r="L120" s="463">
        <v>1633</v>
      </c>
      <c r="M120" s="490" t="str">
        <f t="shared" si="93"/>
        <v>3. Large</v>
      </c>
      <c r="N120" s="544" t="s">
        <v>235</v>
      </c>
      <c r="O120" s="554" t="s">
        <v>294</v>
      </c>
      <c r="P120" s="545" t="str">
        <f t="shared" si="54"/>
        <v>Covered</v>
      </c>
      <c r="Q120" s="461">
        <v>42185</v>
      </c>
      <c r="R120" s="117" t="s">
        <v>426</v>
      </c>
      <c r="S120" s="461">
        <v>42185</v>
      </c>
      <c r="T120" s="529" t="s">
        <v>260</v>
      </c>
      <c r="U120" s="533" t="str">
        <f t="shared" si="55"/>
        <v>Documented</v>
      </c>
      <c r="V120" s="539">
        <v>0</v>
      </c>
      <c r="W120" s="463">
        <v>0</v>
      </c>
      <c r="X120" s="561" t="s">
        <v>19</v>
      </c>
      <c r="Y120" s="539">
        <v>0</v>
      </c>
      <c r="Z120" s="463">
        <v>0</v>
      </c>
      <c r="AA120" s="561">
        <v>216000</v>
      </c>
      <c r="AB120" s="569">
        <v>0</v>
      </c>
      <c r="AC120" s="542">
        <v>1</v>
      </c>
      <c r="AD120" s="574">
        <f t="shared" si="56"/>
        <v>1</v>
      </c>
      <c r="AE120" s="495">
        <f t="shared" si="57"/>
        <v>1633</v>
      </c>
      <c r="AF120" s="496">
        <f t="shared" si="94"/>
        <v>1</v>
      </c>
      <c r="AG120" s="497">
        <f t="shared" si="59"/>
        <v>1633</v>
      </c>
      <c r="AH120" s="494">
        <f t="shared" si="95"/>
        <v>1</v>
      </c>
      <c r="AI120" s="497">
        <f t="shared" si="61"/>
        <v>1633</v>
      </c>
      <c r="AJ120" s="498" t="str">
        <f t="shared" si="96"/>
        <v>80-100%</v>
      </c>
      <c r="AK120" s="494">
        <f t="shared" si="97"/>
        <v>0</v>
      </c>
      <c r="AL120" s="499">
        <f t="shared" si="98"/>
        <v>0</v>
      </c>
      <c r="AM120" s="497">
        <f t="shared" si="99"/>
        <v>4.0824999999999996</v>
      </c>
      <c r="AN120" s="497">
        <f t="shared" si="100"/>
        <v>369</v>
      </c>
      <c r="AO120" s="497">
        <f t="shared" si="67"/>
        <v>0</v>
      </c>
      <c r="AP120" s="542">
        <v>1</v>
      </c>
      <c r="AQ120" s="577">
        <f t="shared" si="68"/>
        <v>1633</v>
      </c>
      <c r="AR120" s="582"/>
      <c r="AS120" s="539">
        <v>50</v>
      </c>
      <c r="AT120" s="463">
        <v>50</v>
      </c>
      <c r="AU120" s="463">
        <v>40</v>
      </c>
      <c r="AV120" s="463" t="s">
        <v>91</v>
      </c>
      <c r="AW120" s="500">
        <f t="shared" si="101"/>
        <v>1</v>
      </c>
      <c r="AX120" s="497">
        <f t="shared" si="70"/>
        <v>1633</v>
      </c>
      <c r="AY120" s="500">
        <f t="shared" si="102"/>
        <v>0.51010410287813834</v>
      </c>
      <c r="AZ120" s="497">
        <f t="shared" si="72"/>
        <v>832.99999999999989</v>
      </c>
      <c r="BA120" s="500">
        <f t="shared" si="103"/>
        <v>0.4898958971218616</v>
      </c>
      <c r="BB120" s="497">
        <f t="shared" si="74"/>
        <v>800</v>
      </c>
      <c r="BC120" s="465">
        <v>18</v>
      </c>
      <c r="BD120" s="464">
        <v>1</v>
      </c>
      <c r="BE120" s="501">
        <f t="shared" si="104"/>
        <v>1633</v>
      </c>
      <c r="BF120" s="502">
        <f t="shared" si="76"/>
        <v>59.650000000000006</v>
      </c>
      <c r="BG120" s="466">
        <v>6</v>
      </c>
      <c r="BH120" s="463" t="s">
        <v>91</v>
      </c>
      <c r="BI120" s="500">
        <f t="shared" si="77"/>
        <v>0.36742192284139619</v>
      </c>
      <c r="BJ120" s="497">
        <f t="shared" si="78"/>
        <v>600</v>
      </c>
      <c r="BK120" s="502">
        <f t="shared" si="79"/>
        <v>10.329999999999998</v>
      </c>
      <c r="BL120" s="467">
        <v>0.37</v>
      </c>
      <c r="BM120" s="497">
        <f t="shared" si="80"/>
        <v>604.21</v>
      </c>
      <c r="BN120" s="463">
        <v>10</v>
      </c>
      <c r="BO120" s="500">
        <f t="shared" si="105"/>
        <v>0.61236987140232702</v>
      </c>
      <c r="BP120" s="502">
        <f t="shared" si="106"/>
        <v>6.3299999999999983</v>
      </c>
      <c r="BQ120" s="542">
        <v>0.85</v>
      </c>
      <c r="BR120" s="582"/>
      <c r="BS120" s="596">
        <v>41996</v>
      </c>
      <c r="BT120" s="503">
        <f t="shared" si="90"/>
        <v>42361</v>
      </c>
      <c r="BU120" s="465">
        <v>378</v>
      </c>
      <c r="BV120" s="465">
        <v>0</v>
      </c>
      <c r="BW120" s="504">
        <f t="shared" si="91"/>
        <v>0</v>
      </c>
      <c r="BX120" s="505">
        <f t="shared" si="107"/>
        <v>1</v>
      </c>
      <c r="BY120" s="497">
        <f t="shared" si="108"/>
        <v>1633</v>
      </c>
      <c r="BZ120" s="595">
        <f t="shared" si="92"/>
        <v>3</v>
      </c>
      <c r="CA120" s="602"/>
      <c r="CB120" s="542">
        <v>0.65</v>
      </c>
      <c r="CC120" s="605">
        <f t="shared" si="88"/>
        <v>1061.45</v>
      </c>
      <c r="CD120" s="602">
        <v>6</v>
      </c>
      <c r="CE120" s="506" t="str">
        <f t="shared" si="89"/>
        <v>Excellent coverage</v>
      </c>
      <c r="CF120" s="492">
        <v>0</v>
      </c>
      <c r="CG120" s="607" t="s">
        <v>302</v>
      </c>
      <c r="CH120" s="610"/>
    </row>
    <row r="121" spans="2:86" s="40" customFormat="1" ht="30" customHeight="1" x14ac:dyDescent="0.2">
      <c r="B121" s="527" t="s">
        <v>188</v>
      </c>
      <c r="C121" s="488" t="s">
        <v>795</v>
      </c>
      <c r="D121" s="117" t="s">
        <v>273</v>
      </c>
      <c r="E121" s="488" t="s">
        <v>699</v>
      </c>
      <c r="F121" s="117">
        <v>97.751050000000006</v>
      </c>
      <c r="G121" s="117">
        <v>24.279910000000001</v>
      </c>
      <c r="H121" s="117" t="s">
        <v>509</v>
      </c>
      <c r="I121" s="117" t="s">
        <v>226</v>
      </c>
      <c r="J121" s="463">
        <v>128</v>
      </c>
      <c r="K121" s="463">
        <v>538</v>
      </c>
      <c r="L121" s="463">
        <v>538</v>
      </c>
      <c r="M121" s="490" t="str">
        <f t="shared" si="93"/>
        <v>2. Medium</v>
      </c>
      <c r="N121" s="544" t="s">
        <v>235</v>
      </c>
      <c r="O121" s="554" t="s">
        <v>294</v>
      </c>
      <c r="P121" s="545" t="str">
        <f t="shared" si="54"/>
        <v>Covered</v>
      </c>
      <c r="Q121" s="461">
        <v>42185</v>
      </c>
      <c r="R121" s="117" t="s">
        <v>426</v>
      </c>
      <c r="S121" s="461">
        <v>42185</v>
      </c>
      <c r="T121" s="529" t="s">
        <v>260</v>
      </c>
      <c r="U121" s="533" t="str">
        <f t="shared" si="55"/>
        <v>Documented</v>
      </c>
      <c r="V121" s="539">
        <v>0</v>
      </c>
      <c r="W121" s="463">
        <v>0</v>
      </c>
      <c r="X121" s="561" t="s">
        <v>19</v>
      </c>
      <c r="Y121" s="539">
        <v>0</v>
      </c>
      <c r="Z121" s="463">
        <v>0</v>
      </c>
      <c r="AA121" s="561">
        <v>94000</v>
      </c>
      <c r="AB121" s="569">
        <v>0</v>
      </c>
      <c r="AC121" s="542">
        <v>0.5</v>
      </c>
      <c r="AD121" s="574">
        <f t="shared" si="56"/>
        <v>1</v>
      </c>
      <c r="AE121" s="495">
        <f t="shared" si="57"/>
        <v>538</v>
      </c>
      <c r="AF121" s="496">
        <f t="shared" si="94"/>
        <v>1</v>
      </c>
      <c r="AG121" s="497">
        <f t="shared" si="59"/>
        <v>538</v>
      </c>
      <c r="AH121" s="494">
        <f t="shared" si="95"/>
        <v>1</v>
      </c>
      <c r="AI121" s="497">
        <f t="shared" si="61"/>
        <v>538</v>
      </c>
      <c r="AJ121" s="498" t="str">
        <f t="shared" si="96"/>
        <v>80-100%</v>
      </c>
      <c r="AK121" s="494">
        <f t="shared" si="97"/>
        <v>0</v>
      </c>
      <c r="AL121" s="499">
        <f t="shared" si="98"/>
        <v>0</v>
      </c>
      <c r="AM121" s="497">
        <f t="shared" si="99"/>
        <v>1.345</v>
      </c>
      <c r="AN121" s="497">
        <f t="shared" si="100"/>
        <v>64</v>
      </c>
      <c r="AO121" s="497">
        <f t="shared" si="67"/>
        <v>0</v>
      </c>
      <c r="AP121" s="542">
        <v>1</v>
      </c>
      <c r="AQ121" s="577">
        <f t="shared" si="68"/>
        <v>538</v>
      </c>
      <c r="AR121" s="582"/>
      <c r="AS121" s="539">
        <v>10</v>
      </c>
      <c r="AT121" s="463">
        <v>10</v>
      </c>
      <c r="AU121" s="463">
        <v>30</v>
      </c>
      <c r="AV121" s="463" t="s">
        <v>91</v>
      </c>
      <c r="AW121" s="500">
        <f t="shared" si="101"/>
        <v>1</v>
      </c>
      <c r="AX121" s="497">
        <f t="shared" si="70"/>
        <v>538</v>
      </c>
      <c r="AY121" s="500">
        <f t="shared" si="102"/>
        <v>0</v>
      </c>
      <c r="AZ121" s="497">
        <f t="shared" si="72"/>
        <v>0</v>
      </c>
      <c r="BA121" s="500">
        <f t="shared" si="103"/>
        <v>1</v>
      </c>
      <c r="BB121" s="497">
        <f t="shared" si="74"/>
        <v>538</v>
      </c>
      <c r="BC121" s="465">
        <v>0</v>
      </c>
      <c r="BD121" s="464">
        <v>1</v>
      </c>
      <c r="BE121" s="501">
        <f t="shared" si="104"/>
        <v>538</v>
      </c>
      <c r="BF121" s="502">
        <f t="shared" si="76"/>
        <v>0</v>
      </c>
      <c r="BG121" s="466">
        <v>4</v>
      </c>
      <c r="BH121" s="463" t="s">
        <v>301</v>
      </c>
      <c r="BI121" s="500">
        <f t="shared" si="77"/>
        <v>0.74349442379182151</v>
      </c>
      <c r="BJ121" s="497">
        <f t="shared" si="78"/>
        <v>400</v>
      </c>
      <c r="BK121" s="502">
        <f t="shared" si="79"/>
        <v>1.38</v>
      </c>
      <c r="BL121" s="467">
        <v>0.74</v>
      </c>
      <c r="BM121" s="497">
        <f t="shared" si="80"/>
        <v>398.12</v>
      </c>
      <c r="BN121" s="463">
        <v>16</v>
      </c>
      <c r="BO121" s="500">
        <f t="shared" si="105"/>
        <v>1</v>
      </c>
      <c r="BP121" s="502">
        <f t="shared" si="106"/>
        <v>0</v>
      </c>
      <c r="BQ121" s="542">
        <v>1</v>
      </c>
      <c r="BR121" s="582"/>
      <c r="BS121" s="596">
        <v>41996</v>
      </c>
      <c r="BT121" s="503">
        <f t="shared" si="90"/>
        <v>42361</v>
      </c>
      <c r="BU121" s="465">
        <v>228</v>
      </c>
      <c r="BV121" s="465">
        <v>0</v>
      </c>
      <c r="BW121" s="504">
        <f t="shared" si="91"/>
        <v>0</v>
      </c>
      <c r="BX121" s="505">
        <f t="shared" si="107"/>
        <v>1</v>
      </c>
      <c r="BY121" s="497">
        <f t="shared" si="108"/>
        <v>538</v>
      </c>
      <c r="BZ121" s="595">
        <f t="shared" si="92"/>
        <v>3</v>
      </c>
      <c r="CA121" s="602"/>
      <c r="CB121" s="542">
        <v>0.4</v>
      </c>
      <c r="CC121" s="605">
        <f t="shared" si="88"/>
        <v>215.20000000000002</v>
      </c>
      <c r="CD121" s="602">
        <v>4</v>
      </c>
      <c r="CE121" s="506" t="str">
        <f t="shared" si="89"/>
        <v>Excellent coverage</v>
      </c>
      <c r="CF121" s="492">
        <v>0</v>
      </c>
      <c r="CG121" s="607" t="s">
        <v>302</v>
      </c>
      <c r="CH121" s="610"/>
    </row>
    <row r="122" spans="2:86" s="40" customFormat="1" ht="30" customHeight="1" x14ac:dyDescent="0.2">
      <c r="B122" s="527" t="s">
        <v>188</v>
      </c>
      <c r="C122" s="488" t="s">
        <v>795</v>
      </c>
      <c r="D122" s="117" t="s">
        <v>273</v>
      </c>
      <c r="E122" s="488" t="s">
        <v>700</v>
      </c>
      <c r="F122" s="117">
        <v>97.754009999999994</v>
      </c>
      <c r="G122" s="117">
        <v>24.275549999999999</v>
      </c>
      <c r="H122" s="117" t="s">
        <v>509</v>
      </c>
      <c r="I122" s="117" t="s">
        <v>226</v>
      </c>
      <c r="J122" s="463">
        <v>58</v>
      </c>
      <c r="K122" s="463">
        <v>251</v>
      </c>
      <c r="L122" s="463">
        <v>251</v>
      </c>
      <c r="M122" s="490" t="str">
        <f t="shared" si="93"/>
        <v>2. Medium</v>
      </c>
      <c r="N122" s="544" t="s">
        <v>235</v>
      </c>
      <c r="O122" s="554" t="s">
        <v>294</v>
      </c>
      <c r="P122" s="545" t="str">
        <f t="shared" si="54"/>
        <v>Covered</v>
      </c>
      <c r="Q122" s="461">
        <v>42185</v>
      </c>
      <c r="R122" s="117" t="s">
        <v>426</v>
      </c>
      <c r="S122" s="461">
        <v>42185</v>
      </c>
      <c r="T122" s="529" t="s">
        <v>260</v>
      </c>
      <c r="U122" s="533" t="str">
        <f t="shared" si="55"/>
        <v>Documented</v>
      </c>
      <c r="V122" s="539">
        <v>0</v>
      </c>
      <c r="W122" s="463">
        <v>0</v>
      </c>
      <c r="X122" s="561" t="s">
        <v>19</v>
      </c>
      <c r="Y122" s="539">
        <v>0</v>
      </c>
      <c r="Z122" s="463">
        <v>0</v>
      </c>
      <c r="AA122" s="561">
        <v>8640</v>
      </c>
      <c r="AB122" s="569">
        <v>0</v>
      </c>
      <c r="AC122" s="542">
        <v>0</v>
      </c>
      <c r="AD122" s="574">
        <f t="shared" si="56"/>
        <v>1</v>
      </c>
      <c r="AE122" s="495">
        <f t="shared" si="57"/>
        <v>251</v>
      </c>
      <c r="AF122" s="496">
        <f t="shared" si="94"/>
        <v>1</v>
      </c>
      <c r="AG122" s="497">
        <f t="shared" si="59"/>
        <v>251</v>
      </c>
      <c r="AH122" s="494">
        <f t="shared" si="95"/>
        <v>1</v>
      </c>
      <c r="AI122" s="497">
        <f t="shared" si="61"/>
        <v>251</v>
      </c>
      <c r="AJ122" s="498" t="str">
        <f t="shared" si="96"/>
        <v>80-100%</v>
      </c>
      <c r="AK122" s="494">
        <f t="shared" si="97"/>
        <v>0</v>
      </c>
      <c r="AL122" s="499">
        <f t="shared" si="98"/>
        <v>0</v>
      </c>
      <c r="AM122" s="497">
        <f t="shared" si="99"/>
        <v>0.62749999999999995</v>
      </c>
      <c r="AN122" s="497">
        <f t="shared" si="100"/>
        <v>0</v>
      </c>
      <c r="AO122" s="497">
        <f t="shared" si="67"/>
        <v>0</v>
      </c>
      <c r="AP122" s="542">
        <v>1</v>
      </c>
      <c r="AQ122" s="577">
        <f t="shared" si="68"/>
        <v>251</v>
      </c>
      <c r="AR122" s="582"/>
      <c r="AS122" s="539">
        <v>0</v>
      </c>
      <c r="AT122" s="463">
        <v>0</v>
      </c>
      <c r="AU122" s="463">
        <v>27</v>
      </c>
      <c r="AV122" s="463" t="s">
        <v>91</v>
      </c>
      <c r="AW122" s="500">
        <f t="shared" si="101"/>
        <v>1</v>
      </c>
      <c r="AX122" s="497">
        <f t="shared" si="70"/>
        <v>251</v>
      </c>
      <c r="AY122" s="500">
        <f t="shared" si="102"/>
        <v>0</v>
      </c>
      <c r="AZ122" s="497">
        <f t="shared" si="72"/>
        <v>0</v>
      </c>
      <c r="BA122" s="500">
        <f t="shared" si="103"/>
        <v>1</v>
      </c>
      <c r="BB122" s="497">
        <f t="shared" si="74"/>
        <v>251</v>
      </c>
      <c r="BC122" s="465">
        <v>0</v>
      </c>
      <c r="BD122" s="464">
        <v>1</v>
      </c>
      <c r="BE122" s="501">
        <f t="shared" si="104"/>
        <v>251</v>
      </c>
      <c r="BF122" s="502">
        <f t="shared" si="76"/>
        <v>0</v>
      </c>
      <c r="BG122" s="466">
        <v>1</v>
      </c>
      <c r="BH122" s="463" t="s">
        <v>91</v>
      </c>
      <c r="BI122" s="500">
        <f t="shared" si="77"/>
        <v>0.39840637450199201</v>
      </c>
      <c r="BJ122" s="497">
        <f t="shared" si="78"/>
        <v>100</v>
      </c>
      <c r="BK122" s="502">
        <f t="shared" si="79"/>
        <v>1.5099999999999998</v>
      </c>
      <c r="BL122" s="467">
        <v>0.4</v>
      </c>
      <c r="BM122" s="497">
        <f t="shared" si="80"/>
        <v>100.4</v>
      </c>
      <c r="BN122" s="463">
        <v>18</v>
      </c>
      <c r="BO122" s="500">
        <f t="shared" si="105"/>
        <v>1</v>
      </c>
      <c r="BP122" s="502">
        <f t="shared" si="106"/>
        <v>0</v>
      </c>
      <c r="BQ122" s="542">
        <v>1</v>
      </c>
      <c r="BR122" s="582"/>
      <c r="BS122" s="596">
        <v>41996</v>
      </c>
      <c r="BT122" s="503">
        <f t="shared" si="90"/>
        <v>42361</v>
      </c>
      <c r="BU122" s="465">
        <v>58</v>
      </c>
      <c r="BV122" s="465">
        <v>0</v>
      </c>
      <c r="BW122" s="504">
        <f t="shared" si="91"/>
        <v>0</v>
      </c>
      <c r="BX122" s="505">
        <f t="shared" si="107"/>
        <v>1</v>
      </c>
      <c r="BY122" s="497">
        <f t="shared" si="108"/>
        <v>251</v>
      </c>
      <c r="BZ122" s="595">
        <f t="shared" si="92"/>
        <v>3</v>
      </c>
      <c r="CA122" s="602"/>
      <c r="CB122" s="542">
        <v>0.2</v>
      </c>
      <c r="CC122" s="605">
        <f t="shared" si="88"/>
        <v>50.2</v>
      </c>
      <c r="CD122" s="602">
        <v>5</v>
      </c>
      <c r="CE122" s="506" t="str">
        <f t="shared" si="89"/>
        <v>Excellent coverage</v>
      </c>
      <c r="CF122" s="492">
        <v>0</v>
      </c>
      <c r="CG122" s="607" t="s">
        <v>302</v>
      </c>
      <c r="CH122" s="610"/>
    </row>
    <row r="123" spans="2:86" s="40" customFormat="1" ht="30" customHeight="1" x14ac:dyDescent="0.2">
      <c r="B123" s="527" t="s">
        <v>188</v>
      </c>
      <c r="C123" s="488" t="s">
        <v>795</v>
      </c>
      <c r="D123" s="117" t="s">
        <v>273</v>
      </c>
      <c r="E123" s="488" t="s">
        <v>701</v>
      </c>
      <c r="F123" s="117">
        <v>97.755750000000006</v>
      </c>
      <c r="G123" s="117">
        <v>24.273479999999999</v>
      </c>
      <c r="H123" s="117" t="s">
        <v>509</v>
      </c>
      <c r="I123" s="117" t="s">
        <v>226</v>
      </c>
      <c r="J123" s="463">
        <v>297</v>
      </c>
      <c r="K123" s="463">
        <v>1342</v>
      </c>
      <c r="L123" s="463">
        <v>1342</v>
      </c>
      <c r="M123" s="490" t="str">
        <f t="shared" si="93"/>
        <v>3. Large</v>
      </c>
      <c r="N123" s="544" t="s">
        <v>235</v>
      </c>
      <c r="O123" s="554" t="s">
        <v>294</v>
      </c>
      <c r="P123" s="545" t="str">
        <f t="shared" si="54"/>
        <v>Covered</v>
      </c>
      <c r="Q123" s="461">
        <v>42185</v>
      </c>
      <c r="R123" s="117" t="s">
        <v>426</v>
      </c>
      <c r="S123" s="461">
        <v>42185</v>
      </c>
      <c r="T123" s="529" t="s">
        <v>260</v>
      </c>
      <c r="U123" s="533" t="str">
        <f t="shared" si="55"/>
        <v>Documented</v>
      </c>
      <c r="V123" s="539">
        <v>0</v>
      </c>
      <c r="W123" s="463">
        <v>0</v>
      </c>
      <c r="X123" s="561" t="s">
        <v>19</v>
      </c>
      <c r="Y123" s="539">
        <v>0</v>
      </c>
      <c r="Z123" s="463">
        <v>0</v>
      </c>
      <c r="AA123" s="561">
        <v>99540</v>
      </c>
      <c r="AB123" s="569">
        <v>0</v>
      </c>
      <c r="AC123" s="542">
        <v>0.5</v>
      </c>
      <c r="AD123" s="574">
        <f t="shared" si="56"/>
        <v>1</v>
      </c>
      <c r="AE123" s="495">
        <f t="shared" si="57"/>
        <v>1342</v>
      </c>
      <c r="AF123" s="496">
        <f t="shared" si="94"/>
        <v>1</v>
      </c>
      <c r="AG123" s="497">
        <f t="shared" si="59"/>
        <v>1342</v>
      </c>
      <c r="AH123" s="494">
        <f t="shared" si="95"/>
        <v>1</v>
      </c>
      <c r="AI123" s="497">
        <f t="shared" si="61"/>
        <v>1342</v>
      </c>
      <c r="AJ123" s="498" t="str">
        <f t="shared" si="96"/>
        <v>80-100%</v>
      </c>
      <c r="AK123" s="494">
        <f t="shared" si="97"/>
        <v>0</v>
      </c>
      <c r="AL123" s="499">
        <f t="shared" si="98"/>
        <v>0</v>
      </c>
      <c r="AM123" s="497">
        <f t="shared" si="99"/>
        <v>3.355</v>
      </c>
      <c r="AN123" s="497">
        <f t="shared" si="100"/>
        <v>148.5</v>
      </c>
      <c r="AO123" s="497">
        <f t="shared" si="67"/>
        <v>0</v>
      </c>
      <c r="AP123" s="542">
        <v>1</v>
      </c>
      <c r="AQ123" s="577">
        <f t="shared" si="68"/>
        <v>1342</v>
      </c>
      <c r="AR123" s="582" t="s">
        <v>807</v>
      </c>
      <c r="AS123" s="539">
        <v>60</v>
      </c>
      <c r="AT123" s="463">
        <v>0</v>
      </c>
      <c r="AU123" s="463">
        <v>70</v>
      </c>
      <c r="AV123" s="463" t="s">
        <v>91</v>
      </c>
      <c r="AW123" s="500">
        <f t="shared" si="101"/>
        <v>1</v>
      </c>
      <c r="AX123" s="497">
        <f t="shared" si="70"/>
        <v>1342</v>
      </c>
      <c r="AY123" s="500">
        <f t="shared" si="102"/>
        <v>0</v>
      </c>
      <c r="AZ123" s="497">
        <f t="shared" si="72"/>
        <v>0</v>
      </c>
      <c r="BA123" s="500">
        <f t="shared" si="103"/>
        <v>1</v>
      </c>
      <c r="BB123" s="497">
        <f t="shared" si="74"/>
        <v>1342</v>
      </c>
      <c r="BC123" s="465">
        <v>0</v>
      </c>
      <c r="BD123" s="464">
        <v>1</v>
      </c>
      <c r="BE123" s="501">
        <f t="shared" si="104"/>
        <v>1342</v>
      </c>
      <c r="BF123" s="502">
        <f t="shared" si="76"/>
        <v>0</v>
      </c>
      <c r="BG123" s="466">
        <v>2</v>
      </c>
      <c r="BH123" s="463" t="s">
        <v>301</v>
      </c>
      <c r="BI123" s="500">
        <f t="shared" si="77"/>
        <v>0.14903129657228018</v>
      </c>
      <c r="BJ123" s="497">
        <f t="shared" si="78"/>
        <v>200</v>
      </c>
      <c r="BK123" s="502">
        <f t="shared" si="79"/>
        <v>11.42</v>
      </c>
      <c r="BL123" s="467">
        <v>0.15</v>
      </c>
      <c r="BM123" s="497">
        <f t="shared" si="80"/>
        <v>201.29999999999998</v>
      </c>
      <c r="BN123" s="463">
        <v>33</v>
      </c>
      <c r="BO123" s="500">
        <f t="shared" si="105"/>
        <v>1</v>
      </c>
      <c r="BP123" s="502">
        <f t="shared" si="106"/>
        <v>0</v>
      </c>
      <c r="BQ123" s="542">
        <v>1</v>
      </c>
      <c r="BR123" s="582"/>
      <c r="BS123" s="596">
        <v>41996</v>
      </c>
      <c r="BT123" s="503">
        <f t="shared" si="90"/>
        <v>42361</v>
      </c>
      <c r="BU123" s="465">
        <v>322</v>
      </c>
      <c r="BV123" s="465">
        <v>3</v>
      </c>
      <c r="BW123" s="504">
        <f t="shared" si="91"/>
        <v>0</v>
      </c>
      <c r="BX123" s="505">
        <f t="shared" si="107"/>
        <v>1</v>
      </c>
      <c r="BY123" s="497">
        <f t="shared" si="108"/>
        <v>1342</v>
      </c>
      <c r="BZ123" s="595">
        <f t="shared" si="92"/>
        <v>0</v>
      </c>
      <c r="CA123" s="602"/>
      <c r="CB123" s="542">
        <v>0.3</v>
      </c>
      <c r="CC123" s="605">
        <f t="shared" si="88"/>
        <v>402.59999999999997</v>
      </c>
      <c r="CD123" s="602">
        <v>4</v>
      </c>
      <c r="CE123" s="506" t="str">
        <f t="shared" si="89"/>
        <v>Excellent coverage</v>
      </c>
      <c r="CF123" s="492">
        <v>0</v>
      </c>
      <c r="CG123" s="607" t="s">
        <v>302</v>
      </c>
      <c r="CH123" s="610"/>
    </row>
    <row r="124" spans="2:86" s="40" customFormat="1" ht="30" customHeight="1" x14ac:dyDescent="0.2">
      <c r="B124" s="527" t="s">
        <v>188</v>
      </c>
      <c r="C124" s="488" t="s">
        <v>795</v>
      </c>
      <c r="D124" s="117" t="s">
        <v>273</v>
      </c>
      <c r="E124" s="488" t="s">
        <v>765</v>
      </c>
      <c r="F124" s="117">
        <v>97.755750000000006</v>
      </c>
      <c r="G124" s="117">
        <v>24.273479999999999</v>
      </c>
      <c r="H124" s="117" t="s">
        <v>510</v>
      </c>
      <c r="I124" s="117" t="s">
        <v>226</v>
      </c>
      <c r="J124" s="463"/>
      <c r="K124" s="463">
        <v>211</v>
      </c>
      <c r="L124" s="463">
        <v>211</v>
      </c>
      <c r="M124" s="490" t="str">
        <f t="shared" si="93"/>
        <v>1. Small</v>
      </c>
      <c r="N124" s="544" t="s">
        <v>235</v>
      </c>
      <c r="O124" s="554" t="s">
        <v>294</v>
      </c>
      <c r="P124" s="545" t="str">
        <f t="shared" si="54"/>
        <v>Covered</v>
      </c>
      <c r="Q124" s="461">
        <v>42185</v>
      </c>
      <c r="R124" s="117" t="s">
        <v>426</v>
      </c>
      <c r="S124" s="461">
        <v>42185</v>
      </c>
      <c r="T124" s="529" t="s">
        <v>260</v>
      </c>
      <c r="U124" s="533" t="str">
        <f t="shared" si="55"/>
        <v>Documented</v>
      </c>
      <c r="V124" s="539">
        <v>0</v>
      </c>
      <c r="W124" s="463">
        <v>0</v>
      </c>
      <c r="X124" s="561" t="s">
        <v>19</v>
      </c>
      <c r="Y124" s="539">
        <v>0</v>
      </c>
      <c r="Z124" s="463">
        <v>0</v>
      </c>
      <c r="AA124" s="561">
        <v>9000</v>
      </c>
      <c r="AB124" s="569">
        <v>0</v>
      </c>
      <c r="AC124" s="542">
        <v>0</v>
      </c>
      <c r="AD124" s="574">
        <f t="shared" si="56"/>
        <v>1</v>
      </c>
      <c r="AE124" s="495">
        <f t="shared" si="57"/>
        <v>211</v>
      </c>
      <c r="AF124" s="496">
        <f t="shared" si="94"/>
        <v>1</v>
      </c>
      <c r="AG124" s="497">
        <f t="shared" si="59"/>
        <v>211</v>
      </c>
      <c r="AH124" s="494">
        <f t="shared" si="95"/>
        <v>1</v>
      </c>
      <c r="AI124" s="497">
        <f t="shared" si="61"/>
        <v>211</v>
      </c>
      <c r="AJ124" s="498" t="str">
        <f t="shared" si="96"/>
        <v>80-100%</v>
      </c>
      <c r="AK124" s="494">
        <f t="shared" si="97"/>
        <v>0</v>
      </c>
      <c r="AL124" s="499">
        <f t="shared" si="98"/>
        <v>0</v>
      </c>
      <c r="AM124" s="497">
        <f t="shared" si="99"/>
        <v>0.52749999999999997</v>
      </c>
      <c r="AN124" s="497">
        <f t="shared" si="100"/>
        <v>0</v>
      </c>
      <c r="AO124" s="497">
        <f t="shared" si="67"/>
        <v>0</v>
      </c>
      <c r="AP124" s="542">
        <v>1</v>
      </c>
      <c r="AQ124" s="577">
        <f t="shared" si="68"/>
        <v>211</v>
      </c>
      <c r="AR124" s="582"/>
      <c r="AS124" s="539">
        <v>6</v>
      </c>
      <c r="AT124" s="463">
        <v>6</v>
      </c>
      <c r="AU124" s="463">
        <v>0</v>
      </c>
      <c r="AV124" s="463" t="s">
        <v>91</v>
      </c>
      <c r="AW124" s="500">
        <f t="shared" si="101"/>
        <v>0.56872037914691942</v>
      </c>
      <c r="AX124" s="497">
        <f t="shared" si="70"/>
        <v>120</v>
      </c>
      <c r="AY124" s="500">
        <f t="shared" si="102"/>
        <v>0.56872037914691942</v>
      </c>
      <c r="AZ124" s="497">
        <f t="shared" si="72"/>
        <v>120</v>
      </c>
      <c r="BA124" s="500">
        <f t="shared" si="103"/>
        <v>0</v>
      </c>
      <c r="BB124" s="497">
        <f t="shared" si="74"/>
        <v>0</v>
      </c>
      <c r="BC124" s="465">
        <v>0</v>
      </c>
      <c r="BD124" s="464">
        <v>0.57299999999999995</v>
      </c>
      <c r="BE124" s="501">
        <f t="shared" si="104"/>
        <v>120.90299999999999</v>
      </c>
      <c r="BF124" s="502">
        <f t="shared" si="76"/>
        <v>10.55</v>
      </c>
      <c r="BG124" s="466">
        <v>2</v>
      </c>
      <c r="BH124" s="463" t="s">
        <v>300</v>
      </c>
      <c r="BI124" s="500">
        <f t="shared" si="77"/>
        <v>0.94786729857819907</v>
      </c>
      <c r="BJ124" s="497">
        <f t="shared" si="78"/>
        <v>200</v>
      </c>
      <c r="BK124" s="502">
        <f t="shared" si="79"/>
        <v>0.10999999999999988</v>
      </c>
      <c r="BL124" s="467">
        <v>0.95</v>
      </c>
      <c r="BM124" s="497">
        <f t="shared" si="80"/>
        <v>200.45</v>
      </c>
      <c r="BN124" s="463">
        <v>0</v>
      </c>
      <c r="BO124" s="500">
        <f t="shared" si="105"/>
        <v>0</v>
      </c>
      <c r="BP124" s="502">
        <f t="shared" si="106"/>
        <v>2.11</v>
      </c>
      <c r="BQ124" s="542">
        <v>0</v>
      </c>
      <c r="BR124" s="582"/>
      <c r="BS124" s="596">
        <v>41996</v>
      </c>
      <c r="BT124" s="503">
        <f t="shared" si="90"/>
        <v>42361</v>
      </c>
      <c r="BU124" s="465">
        <v>0</v>
      </c>
      <c r="BV124" s="465">
        <v>0</v>
      </c>
      <c r="BW124" s="504">
        <f t="shared" si="91"/>
        <v>0</v>
      </c>
      <c r="BX124" s="505">
        <f t="shared" si="107"/>
        <v>1</v>
      </c>
      <c r="BY124" s="497">
        <f t="shared" si="108"/>
        <v>211</v>
      </c>
      <c r="BZ124" s="595">
        <f t="shared" si="92"/>
        <v>3</v>
      </c>
      <c r="CA124" s="602"/>
      <c r="CB124" s="542">
        <v>0.2</v>
      </c>
      <c r="CC124" s="605">
        <f t="shared" si="88"/>
        <v>42.2</v>
      </c>
      <c r="CD124" s="602">
        <v>0</v>
      </c>
      <c r="CE124" s="506" t="str">
        <f t="shared" si="89"/>
        <v>No coverage</v>
      </c>
      <c r="CF124" s="492">
        <v>0</v>
      </c>
      <c r="CG124" s="607" t="s">
        <v>302</v>
      </c>
      <c r="CH124" s="610"/>
    </row>
    <row r="125" spans="2:86" s="40" customFormat="1" ht="30" customHeight="1" x14ac:dyDescent="0.2">
      <c r="B125" s="527" t="s">
        <v>188</v>
      </c>
      <c r="C125" s="488" t="s">
        <v>795</v>
      </c>
      <c r="D125" s="117" t="s">
        <v>273</v>
      </c>
      <c r="E125" s="488" t="s">
        <v>697</v>
      </c>
      <c r="F125" s="117">
        <v>97.758769999999998</v>
      </c>
      <c r="G125" s="117">
        <v>24.255469999999999</v>
      </c>
      <c r="H125" s="117" t="s">
        <v>510</v>
      </c>
      <c r="I125" s="117" t="s">
        <v>226</v>
      </c>
      <c r="J125" s="463"/>
      <c r="K125" s="463">
        <v>506</v>
      </c>
      <c r="L125" s="463">
        <v>506</v>
      </c>
      <c r="M125" s="490" t="str">
        <f t="shared" si="93"/>
        <v>1. Small</v>
      </c>
      <c r="N125" s="544" t="s">
        <v>235</v>
      </c>
      <c r="O125" s="554" t="s">
        <v>294</v>
      </c>
      <c r="P125" s="545" t="str">
        <f t="shared" si="54"/>
        <v>Covered</v>
      </c>
      <c r="Q125" s="461">
        <v>42185</v>
      </c>
      <c r="R125" s="117" t="s">
        <v>426</v>
      </c>
      <c r="S125" s="461">
        <v>42185</v>
      </c>
      <c r="T125" s="529" t="s">
        <v>260</v>
      </c>
      <c r="U125" s="533" t="str">
        <f t="shared" si="55"/>
        <v>Documented</v>
      </c>
      <c r="V125" s="539">
        <v>0</v>
      </c>
      <c r="W125" s="463">
        <v>0</v>
      </c>
      <c r="X125" s="561" t="s">
        <v>19</v>
      </c>
      <c r="Y125" s="539">
        <v>0</v>
      </c>
      <c r="Z125" s="463">
        <v>0</v>
      </c>
      <c r="AA125" s="561">
        <v>24300</v>
      </c>
      <c r="AB125" s="569">
        <v>0</v>
      </c>
      <c r="AC125" s="542">
        <v>0</v>
      </c>
      <c r="AD125" s="574">
        <f t="shared" si="56"/>
        <v>1</v>
      </c>
      <c r="AE125" s="495">
        <f t="shared" si="57"/>
        <v>506</v>
      </c>
      <c r="AF125" s="496">
        <f t="shared" si="94"/>
        <v>1</v>
      </c>
      <c r="AG125" s="497">
        <f t="shared" si="59"/>
        <v>506</v>
      </c>
      <c r="AH125" s="494">
        <f t="shared" si="95"/>
        <v>1</v>
      </c>
      <c r="AI125" s="497">
        <f t="shared" si="61"/>
        <v>506</v>
      </c>
      <c r="AJ125" s="498" t="str">
        <f t="shared" si="96"/>
        <v>80-100%</v>
      </c>
      <c r="AK125" s="494">
        <f t="shared" si="97"/>
        <v>0</v>
      </c>
      <c r="AL125" s="499">
        <f t="shared" si="98"/>
        <v>0</v>
      </c>
      <c r="AM125" s="497">
        <f t="shared" si="99"/>
        <v>1.2649999999999999</v>
      </c>
      <c r="AN125" s="497">
        <f t="shared" si="100"/>
        <v>0</v>
      </c>
      <c r="AO125" s="497">
        <f t="shared" si="67"/>
        <v>0</v>
      </c>
      <c r="AP125" s="542">
        <v>1</v>
      </c>
      <c r="AQ125" s="577">
        <f t="shared" si="68"/>
        <v>506</v>
      </c>
      <c r="AR125" s="582"/>
      <c r="AS125" s="539">
        <v>14</v>
      </c>
      <c r="AT125" s="463">
        <v>6</v>
      </c>
      <c r="AU125" s="463">
        <v>16</v>
      </c>
      <c r="AV125" s="463" t="s">
        <v>91</v>
      </c>
      <c r="AW125" s="500">
        <f t="shared" si="101"/>
        <v>0.86956521739130432</v>
      </c>
      <c r="AX125" s="497">
        <f t="shared" si="70"/>
        <v>440</v>
      </c>
      <c r="AY125" s="500">
        <f t="shared" si="102"/>
        <v>0.23715415019762842</v>
      </c>
      <c r="AZ125" s="497">
        <f t="shared" si="72"/>
        <v>119.99999999999999</v>
      </c>
      <c r="BA125" s="500">
        <f t="shared" si="103"/>
        <v>0.6324110671936759</v>
      </c>
      <c r="BB125" s="497">
        <f t="shared" si="74"/>
        <v>320</v>
      </c>
      <c r="BC125" s="465">
        <v>0</v>
      </c>
      <c r="BD125" s="464">
        <v>0.873</v>
      </c>
      <c r="BE125" s="501">
        <f t="shared" si="104"/>
        <v>441.738</v>
      </c>
      <c r="BF125" s="502">
        <f t="shared" si="76"/>
        <v>9.3000000000000007</v>
      </c>
      <c r="BG125" s="466">
        <v>1</v>
      </c>
      <c r="BH125" s="463" t="s">
        <v>300</v>
      </c>
      <c r="BI125" s="500">
        <f t="shared" si="77"/>
        <v>0.19762845849802371</v>
      </c>
      <c r="BJ125" s="497">
        <f t="shared" si="78"/>
        <v>100</v>
      </c>
      <c r="BK125" s="502">
        <f t="shared" si="79"/>
        <v>4.0599999999999996</v>
      </c>
      <c r="BL125" s="467">
        <v>0.28999999999999998</v>
      </c>
      <c r="BM125" s="497">
        <f t="shared" si="80"/>
        <v>146.73999999999998</v>
      </c>
      <c r="BN125" s="463">
        <v>2</v>
      </c>
      <c r="BO125" s="500">
        <f t="shared" si="105"/>
        <v>0.39525691699604742</v>
      </c>
      <c r="BP125" s="502">
        <f t="shared" si="106"/>
        <v>3.0599999999999996</v>
      </c>
      <c r="BQ125" s="542">
        <v>0.4</v>
      </c>
      <c r="BR125" s="582"/>
      <c r="BS125" s="596">
        <v>41996</v>
      </c>
      <c r="BT125" s="503">
        <f t="shared" si="90"/>
        <v>42361</v>
      </c>
      <c r="BU125" s="465">
        <v>0</v>
      </c>
      <c r="BV125" s="465">
        <v>0</v>
      </c>
      <c r="BW125" s="504">
        <f t="shared" si="91"/>
        <v>0</v>
      </c>
      <c r="BX125" s="505">
        <f t="shared" si="107"/>
        <v>1</v>
      </c>
      <c r="BY125" s="497">
        <f t="shared" si="108"/>
        <v>506</v>
      </c>
      <c r="BZ125" s="595">
        <f t="shared" si="92"/>
        <v>3</v>
      </c>
      <c r="CA125" s="602"/>
      <c r="CB125" s="542">
        <v>0.2</v>
      </c>
      <c r="CC125" s="605">
        <f t="shared" si="88"/>
        <v>101.2</v>
      </c>
      <c r="CD125" s="602">
        <v>1</v>
      </c>
      <c r="CE125" s="506" t="str">
        <f t="shared" si="89"/>
        <v>Good coverage</v>
      </c>
      <c r="CF125" s="492">
        <v>0</v>
      </c>
      <c r="CG125" s="607" t="s">
        <v>302</v>
      </c>
      <c r="CH125" s="610"/>
    </row>
    <row r="126" spans="2:86" s="40" customFormat="1" ht="30" customHeight="1" x14ac:dyDescent="0.2">
      <c r="B126" s="527" t="s">
        <v>188</v>
      </c>
      <c r="C126" s="488" t="s">
        <v>795</v>
      </c>
      <c r="D126" s="117" t="s">
        <v>273</v>
      </c>
      <c r="E126" s="488" t="s">
        <v>698</v>
      </c>
      <c r="F126" s="117">
        <v>97.740570000000005</v>
      </c>
      <c r="G126" s="117">
        <v>24.266819999999999</v>
      </c>
      <c r="H126" s="117" t="s">
        <v>510</v>
      </c>
      <c r="I126" s="117" t="s">
        <v>226</v>
      </c>
      <c r="J126" s="463"/>
      <c r="K126" s="463">
        <v>333</v>
      </c>
      <c r="L126" s="463">
        <v>333</v>
      </c>
      <c r="M126" s="490" t="str">
        <f t="shared" si="93"/>
        <v>1. Small</v>
      </c>
      <c r="N126" s="544" t="s">
        <v>235</v>
      </c>
      <c r="O126" s="554" t="s">
        <v>294</v>
      </c>
      <c r="P126" s="545" t="str">
        <f t="shared" si="54"/>
        <v>Covered</v>
      </c>
      <c r="Q126" s="461">
        <v>42185</v>
      </c>
      <c r="R126" s="117" t="s">
        <v>426</v>
      </c>
      <c r="S126" s="461">
        <v>42185</v>
      </c>
      <c r="T126" s="529" t="s">
        <v>260</v>
      </c>
      <c r="U126" s="533" t="str">
        <f t="shared" si="55"/>
        <v>Documented</v>
      </c>
      <c r="V126" s="539">
        <v>0</v>
      </c>
      <c r="W126" s="463">
        <v>0</v>
      </c>
      <c r="X126" s="561" t="s">
        <v>19</v>
      </c>
      <c r="Y126" s="539">
        <v>0</v>
      </c>
      <c r="Z126" s="463">
        <v>0</v>
      </c>
      <c r="AA126" s="561">
        <v>8640</v>
      </c>
      <c r="AB126" s="569">
        <v>0</v>
      </c>
      <c r="AC126" s="542">
        <v>0</v>
      </c>
      <c r="AD126" s="574">
        <f t="shared" si="56"/>
        <v>1</v>
      </c>
      <c r="AE126" s="495">
        <f t="shared" si="57"/>
        <v>333</v>
      </c>
      <c r="AF126" s="496">
        <f t="shared" si="94"/>
        <v>1</v>
      </c>
      <c r="AG126" s="497">
        <f t="shared" si="59"/>
        <v>333</v>
      </c>
      <c r="AH126" s="494">
        <f t="shared" si="95"/>
        <v>1</v>
      </c>
      <c r="AI126" s="497">
        <f t="shared" si="61"/>
        <v>333</v>
      </c>
      <c r="AJ126" s="498" t="str">
        <f t="shared" si="96"/>
        <v>80-100%</v>
      </c>
      <c r="AK126" s="494">
        <f t="shared" si="97"/>
        <v>0</v>
      </c>
      <c r="AL126" s="499">
        <f t="shared" si="98"/>
        <v>0</v>
      </c>
      <c r="AM126" s="497">
        <f t="shared" si="99"/>
        <v>0.83250000000000002</v>
      </c>
      <c r="AN126" s="497">
        <f t="shared" si="100"/>
        <v>0</v>
      </c>
      <c r="AO126" s="497">
        <f t="shared" si="67"/>
        <v>0</v>
      </c>
      <c r="AP126" s="542">
        <v>1</v>
      </c>
      <c r="AQ126" s="577">
        <f t="shared" si="68"/>
        <v>333</v>
      </c>
      <c r="AR126" s="582"/>
      <c r="AS126" s="539">
        <v>23</v>
      </c>
      <c r="AT126" s="463">
        <v>0</v>
      </c>
      <c r="AU126" s="463">
        <v>27</v>
      </c>
      <c r="AV126" s="463" t="s">
        <v>300</v>
      </c>
      <c r="AW126" s="500">
        <f t="shared" si="101"/>
        <v>1</v>
      </c>
      <c r="AX126" s="497">
        <f t="shared" si="70"/>
        <v>333</v>
      </c>
      <c r="AY126" s="500">
        <f t="shared" si="102"/>
        <v>0</v>
      </c>
      <c r="AZ126" s="497">
        <f t="shared" si="72"/>
        <v>0</v>
      </c>
      <c r="BA126" s="500">
        <f t="shared" si="103"/>
        <v>1</v>
      </c>
      <c r="BB126" s="497">
        <f t="shared" si="74"/>
        <v>333</v>
      </c>
      <c r="BC126" s="465">
        <v>0</v>
      </c>
      <c r="BD126" s="464">
        <v>1</v>
      </c>
      <c r="BE126" s="501">
        <f t="shared" si="104"/>
        <v>333</v>
      </c>
      <c r="BF126" s="502">
        <f t="shared" si="76"/>
        <v>0</v>
      </c>
      <c r="BG126" s="466">
        <v>4</v>
      </c>
      <c r="BH126" s="463" t="s">
        <v>301</v>
      </c>
      <c r="BI126" s="500">
        <f t="shared" si="77"/>
        <v>1</v>
      </c>
      <c r="BJ126" s="497">
        <f t="shared" si="78"/>
        <v>333</v>
      </c>
      <c r="BK126" s="502">
        <f t="shared" si="79"/>
        <v>0</v>
      </c>
      <c r="BL126" s="467">
        <v>1</v>
      </c>
      <c r="BM126" s="497">
        <f t="shared" si="80"/>
        <v>333</v>
      </c>
      <c r="BN126" s="463">
        <v>4</v>
      </c>
      <c r="BO126" s="500">
        <f t="shared" si="105"/>
        <v>1</v>
      </c>
      <c r="BP126" s="502">
        <f t="shared" si="106"/>
        <v>0</v>
      </c>
      <c r="BQ126" s="542">
        <v>1</v>
      </c>
      <c r="BR126" s="582"/>
      <c r="BS126" s="596">
        <v>41996</v>
      </c>
      <c r="BT126" s="503">
        <f t="shared" si="90"/>
        <v>42361</v>
      </c>
      <c r="BU126" s="465">
        <v>0</v>
      </c>
      <c r="BV126" s="465">
        <v>0</v>
      </c>
      <c r="BW126" s="504">
        <f t="shared" si="91"/>
        <v>0</v>
      </c>
      <c r="BX126" s="505">
        <f t="shared" si="107"/>
        <v>1</v>
      </c>
      <c r="BY126" s="497">
        <f t="shared" si="108"/>
        <v>333</v>
      </c>
      <c r="BZ126" s="595">
        <f t="shared" si="92"/>
        <v>3</v>
      </c>
      <c r="CA126" s="602"/>
      <c r="CB126" s="542">
        <v>0.2</v>
      </c>
      <c r="CC126" s="605">
        <f t="shared" si="88"/>
        <v>66.600000000000009</v>
      </c>
      <c r="CD126" s="602">
        <v>0</v>
      </c>
      <c r="CE126" s="506" t="str">
        <f t="shared" si="89"/>
        <v>No coverage</v>
      </c>
      <c r="CF126" s="492">
        <v>0</v>
      </c>
      <c r="CG126" s="607" t="s">
        <v>302</v>
      </c>
      <c r="CH126" s="610"/>
    </row>
    <row r="127" spans="2:86" s="40" customFormat="1" ht="30" customHeight="1" x14ac:dyDescent="0.2">
      <c r="B127" s="527" t="s">
        <v>188</v>
      </c>
      <c r="C127" s="488" t="s">
        <v>795</v>
      </c>
      <c r="D127" s="117" t="s">
        <v>273</v>
      </c>
      <c r="E127" s="488" t="s">
        <v>702</v>
      </c>
      <c r="F127" s="117">
        <v>97.758769999999998</v>
      </c>
      <c r="G127" s="117">
        <v>24.255469999999999</v>
      </c>
      <c r="H127" s="117" t="s">
        <v>530</v>
      </c>
      <c r="I127" s="117" t="s">
        <v>226</v>
      </c>
      <c r="J127" s="463">
        <v>78</v>
      </c>
      <c r="K127" s="463">
        <v>326</v>
      </c>
      <c r="L127" s="463">
        <v>326</v>
      </c>
      <c r="M127" s="490" t="str">
        <f t="shared" si="93"/>
        <v>2. Medium</v>
      </c>
      <c r="N127" s="544" t="s">
        <v>235</v>
      </c>
      <c r="O127" s="554" t="s">
        <v>294</v>
      </c>
      <c r="P127" s="545" t="str">
        <f t="shared" si="54"/>
        <v>Covered</v>
      </c>
      <c r="Q127" s="461">
        <v>42185</v>
      </c>
      <c r="R127" s="117" t="s">
        <v>426</v>
      </c>
      <c r="S127" s="461">
        <v>42185</v>
      </c>
      <c r="T127" s="529" t="s">
        <v>260</v>
      </c>
      <c r="U127" s="533" t="str">
        <f t="shared" si="55"/>
        <v>Documented</v>
      </c>
      <c r="V127" s="539">
        <v>0</v>
      </c>
      <c r="W127" s="463">
        <v>0</v>
      </c>
      <c r="X127" s="561" t="s">
        <v>19</v>
      </c>
      <c r="Y127" s="539">
        <v>0</v>
      </c>
      <c r="Z127" s="463">
        <v>0</v>
      </c>
      <c r="AA127" s="561">
        <v>10631</v>
      </c>
      <c r="AB127" s="569">
        <v>0</v>
      </c>
      <c r="AC127" s="542">
        <v>0</v>
      </c>
      <c r="AD127" s="574">
        <f t="shared" si="56"/>
        <v>1</v>
      </c>
      <c r="AE127" s="495">
        <f t="shared" si="57"/>
        <v>326</v>
      </c>
      <c r="AF127" s="496">
        <f t="shared" si="94"/>
        <v>1</v>
      </c>
      <c r="AG127" s="497">
        <f t="shared" si="59"/>
        <v>326</v>
      </c>
      <c r="AH127" s="494">
        <f t="shared" si="95"/>
        <v>1</v>
      </c>
      <c r="AI127" s="497">
        <f t="shared" si="61"/>
        <v>326</v>
      </c>
      <c r="AJ127" s="498" t="str">
        <f t="shared" si="96"/>
        <v>80-100%</v>
      </c>
      <c r="AK127" s="494">
        <f t="shared" si="97"/>
        <v>0</v>
      </c>
      <c r="AL127" s="499">
        <f t="shared" si="98"/>
        <v>0</v>
      </c>
      <c r="AM127" s="497">
        <f t="shared" si="99"/>
        <v>0.81499999999999995</v>
      </c>
      <c r="AN127" s="497">
        <f t="shared" si="100"/>
        <v>0</v>
      </c>
      <c r="AO127" s="497">
        <f t="shared" si="67"/>
        <v>0</v>
      </c>
      <c r="AP127" s="542">
        <v>1</v>
      </c>
      <c r="AQ127" s="577">
        <f t="shared" si="68"/>
        <v>326</v>
      </c>
      <c r="AR127" s="582"/>
      <c r="AS127" s="539">
        <v>78</v>
      </c>
      <c r="AT127" s="463">
        <v>78</v>
      </c>
      <c r="AU127" s="463">
        <v>0</v>
      </c>
      <c r="AV127" s="463" t="s">
        <v>91</v>
      </c>
      <c r="AW127" s="500">
        <f t="shared" si="101"/>
        <v>1</v>
      </c>
      <c r="AX127" s="497">
        <f t="shared" si="70"/>
        <v>326</v>
      </c>
      <c r="AY127" s="500">
        <f t="shared" si="102"/>
        <v>1</v>
      </c>
      <c r="AZ127" s="497">
        <f t="shared" si="72"/>
        <v>326</v>
      </c>
      <c r="BA127" s="500">
        <f t="shared" si="103"/>
        <v>0</v>
      </c>
      <c r="BB127" s="497">
        <f t="shared" si="74"/>
        <v>0</v>
      </c>
      <c r="BC127" s="465">
        <v>0</v>
      </c>
      <c r="BD127" s="464">
        <v>1</v>
      </c>
      <c r="BE127" s="501">
        <f t="shared" si="104"/>
        <v>326</v>
      </c>
      <c r="BF127" s="502">
        <f t="shared" si="76"/>
        <v>16.3</v>
      </c>
      <c r="BG127" s="466">
        <v>0</v>
      </c>
      <c r="BH127" s="463" t="s">
        <v>91</v>
      </c>
      <c r="BI127" s="500">
        <f t="shared" si="77"/>
        <v>0</v>
      </c>
      <c r="BJ127" s="497">
        <f t="shared" si="78"/>
        <v>0</v>
      </c>
      <c r="BK127" s="502">
        <f t="shared" si="79"/>
        <v>3.26</v>
      </c>
      <c r="BL127" s="467">
        <v>0</v>
      </c>
      <c r="BM127" s="497">
        <f t="shared" si="80"/>
        <v>0</v>
      </c>
      <c r="BN127" s="463">
        <v>0</v>
      </c>
      <c r="BO127" s="500">
        <f t="shared" si="105"/>
        <v>0</v>
      </c>
      <c r="BP127" s="502">
        <f t="shared" si="106"/>
        <v>3.26</v>
      </c>
      <c r="BQ127" s="542">
        <v>0</v>
      </c>
      <c r="BR127" s="582"/>
      <c r="BS127" s="596">
        <v>41996</v>
      </c>
      <c r="BT127" s="503">
        <f t="shared" si="90"/>
        <v>42361</v>
      </c>
      <c r="BU127" s="465">
        <v>78</v>
      </c>
      <c r="BV127" s="465">
        <v>0</v>
      </c>
      <c r="BW127" s="504">
        <f t="shared" si="91"/>
        <v>0</v>
      </c>
      <c r="BX127" s="505">
        <f t="shared" si="107"/>
        <v>1</v>
      </c>
      <c r="BY127" s="497">
        <f t="shared" si="108"/>
        <v>326</v>
      </c>
      <c r="BZ127" s="595">
        <f t="shared" si="92"/>
        <v>3</v>
      </c>
      <c r="CA127" s="602"/>
      <c r="CB127" s="542">
        <v>0</v>
      </c>
      <c r="CC127" s="605">
        <f t="shared" si="88"/>
        <v>0</v>
      </c>
      <c r="CD127" s="602">
        <v>0</v>
      </c>
      <c r="CE127" s="506" t="str">
        <f t="shared" si="89"/>
        <v>No coverage</v>
      </c>
      <c r="CF127" s="492">
        <v>0</v>
      </c>
      <c r="CG127" s="607" t="s">
        <v>66</v>
      </c>
      <c r="CH127" s="610"/>
    </row>
    <row r="128" spans="2:86" s="40" customFormat="1" ht="30" customHeight="1" x14ac:dyDescent="0.2">
      <c r="B128" s="527" t="s">
        <v>180</v>
      </c>
      <c r="C128" s="488" t="s">
        <v>579</v>
      </c>
      <c r="D128" s="117" t="s">
        <v>267</v>
      </c>
      <c r="E128" s="488" t="s">
        <v>281</v>
      </c>
      <c r="F128" s="117">
        <v>97.238829999999993</v>
      </c>
      <c r="G128" s="117">
        <v>24.260719999999999</v>
      </c>
      <c r="H128" s="117" t="s">
        <v>509</v>
      </c>
      <c r="I128" s="117" t="s">
        <v>218</v>
      </c>
      <c r="J128" s="546">
        <v>206</v>
      </c>
      <c r="K128" s="546">
        <v>940</v>
      </c>
      <c r="L128" s="546">
        <v>940</v>
      </c>
      <c r="M128" s="490" t="str">
        <f t="shared" si="93"/>
        <v>2. Medium</v>
      </c>
      <c r="N128" s="528" t="s">
        <v>235</v>
      </c>
      <c r="O128" s="553" t="s">
        <v>238</v>
      </c>
      <c r="P128" s="545" t="str">
        <f t="shared" si="54"/>
        <v>Covered</v>
      </c>
      <c r="Q128" s="491">
        <v>42247</v>
      </c>
      <c r="R128" s="489"/>
      <c r="S128" s="491"/>
      <c r="T128" s="528" t="s">
        <v>260</v>
      </c>
      <c r="U128" s="533" t="str">
        <f t="shared" si="55"/>
        <v>Documented</v>
      </c>
      <c r="V128" s="537">
        <v>0</v>
      </c>
      <c r="W128" s="492">
        <v>0</v>
      </c>
      <c r="X128" s="538" t="s">
        <v>19</v>
      </c>
      <c r="Y128" s="537">
        <v>0</v>
      </c>
      <c r="Z128" s="492">
        <v>6</v>
      </c>
      <c r="AA128" s="538">
        <v>34200</v>
      </c>
      <c r="AB128" s="570">
        <v>0.93</v>
      </c>
      <c r="AC128" s="571">
        <v>0.21</v>
      </c>
      <c r="AD128" s="574">
        <f t="shared" si="56"/>
        <v>1</v>
      </c>
      <c r="AE128" s="495">
        <f t="shared" si="57"/>
        <v>940</v>
      </c>
      <c r="AF128" s="496">
        <f t="shared" si="94"/>
        <v>1</v>
      </c>
      <c r="AG128" s="497">
        <f t="shared" si="59"/>
        <v>940</v>
      </c>
      <c r="AH128" s="494">
        <f t="shared" si="95"/>
        <v>1</v>
      </c>
      <c r="AI128" s="497">
        <f t="shared" si="61"/>
        <v>940</v>
      </c>
      <c r="AJ128" s="498" t="str">
        <f t="shared" si="96"/>
        <v>80-100%</v>
      </c>
      <c r="AK128" s="494">
        <f t="shared" si="97"/>
        <v>0</v>
      </c>
      <c r="AL128" s="499">
        <f t="shared" si="98"/>
        <v>0</v>
      </c>
      <c r="AM128" s="497">
        <f t="shared" si="99"/>
        <v>0</v>
      </c>
      <c r="AN128" s="497">
        <f t="shared" si="100"/>
        <v>43.26</v>
      </c>
      <c r="AO128" s="497">
        <f t="shared" si="67"/>
        <v>874.2</v>
      </c>
      <c r="AP128" s="568">
        <v>1</v>
      </c>
      <c r="AQ128" s="577">
        <f t="shared" si="68"/>
        <v>940</v>
      </c>
      <c r="AR128" s="581"/>
      <c r="AS128" s="537">
        <v>25</v>
      </c>
      <c r="AT128" s="492">
        <v>0</v>
      </c>
      <c r="AU128" s="492">
        <v>25</v>
      </c>
      <c r="AV128" s="492" t="s">
        <v>299</v>
      </c>
      <c r="AW128" s="500">
        <f t="shared" si="101"/>
        <v>0.53191489361702127</v>
      </c>
      <c r="AX128" s="497">
        <f t="shared" si="70"/>
        <v>500</v>
      </c>
      <c r="AY128" s="500">
        <f t="shared" si="102"/>
        <v>0</v>
      </c>
      <c r="AZ128" s="497">
        <f t="shared" si="72"/>
        <v>0</v>
      </c>
      <c r="BA128" s="500">
        <f t="shared" si="103"/>
        <v>0.53191489361702127</v>
      </c>
      <c r="BB128" s="497">
        <f t="shared" si="74"/>
        <v>500</v>
      </c>
      <c r="BC128" s="492">
        <v>0</v>
      </c>
      <c r="BD128" s="493">
        <v>0.7</v>
      </c>
      <c r="BE128" s="501">
        <f t="shared" si="104"/>
        <v>658</v>
      </c>
      <c r="BF128" s="502">
        <f t="shared" si="76"/>
        <v>22</v>
      </c>
      <c r="BG128" s="492">
        <v>2</v>
      </c>
      <c r="BH128" s="492" t="s">
        <v>301</v>
      </c>
      <c r="BI128" s="500">
        <f t="shared" si="77"/>
        <v>0.21276595744680851</v>
      </c>
      <c r="BJ128" s="497">
        <f t="shared" si="78"/>
        <v>200</v>
      </c>
      <c r="BK128" s="502">
        <f t="shared" si="79"/>
        <v>7.4</v>
      </c>
      <c r="BL128" s="493">
        <v>0.21</v>
      </c>
      <c r="BM128" s="497">
        <f t="shared" si="80"/>
        <v>197.4</v>
      </c>
      <c r="BN128" s="492">
        <v>6</v>
      </c>
      <c r="BO128" s="500">
        <f t="shared" si="105"/>
        <v>0.63829787234042556</v>
      </c>
      <c r="BP128" s="502">
        <f t="shared" si="106"/>
        <v>3.4000000000000004</v>
      </c>
      <c r="BQ128" s="568">
        <v>0.64</v>
      </c>
      <c r="BR128" s="580" t="s">
        <v>725</v>
      </c>
      <c r="BS128" s="594">
        <v>41788</v>
      </c>
      <c r="BT128" s="503">
        <f t="shared" si="90"/>
        <v>42153</v>
      </c>
      <c r="BU128" s="546">
        <v>212</v>
      </c>
      <c r="BV128" s="546">
        <v>6</v>
      </c>
      <c r="BW128" s="504">
        <f t="shared" si="91"/>
        <v>0</v>
      </c>
      <c r="BX128" s="505">
        <f t="shared" si="107"/>
        <v>1</v>
      </c>
      <c r="BY128" s="497">
        <f t="shared" si="108"/>
        <v>940</v>
      </c>
      <c r="BZ128" s="595">
        <f t="shared" si="92"/>
        <v>4</v>
      </c>
      <c r="CA128" s="537"/>
      <c r="CB128" s="568">
        <v>1</v>
      </c>
      <c r="CC128" s="605">
        <f t="shared" si="88"/>
        <v>940</v>
      </c>
      <c r="CD128" s="537">
        <v>5</v>
      </c>
      <c r="CE128" s="506" t="str">
        <f t="shared" si="89"/>
        <v>Excellent coverage</v>
      </c>
      <c r="CF128" s="492">
        <v>0</v>
      </c>
      <c r="CG128" s="538" t="s">
        <v>65</v>
      </c>
      <c r="CH128" s="580"/>
    </row>
    <row r="129" spans="2:86" s="40" customFormat="1" ht="30" customHeight="1" x14ac:dyDescent="0.2">
      <c r="B129" s="527" t="s">
        <v>180</v>
      </c>
      <c r="C129" s="488" t="s">
        <v>579</v>
      </c>
      <c r="D129" s="117" t="s">
        <v>267</v>
      </c>
      <c r="E129" s="488" t="s">
        <v>717</v>
      </c>
      <c r="F129" s="117">
        <v>97.243579999999994</v>
      </c>
      <c r="G129" s="117">
        <v>24.260120000000001</v>
      </c>
      <c r="H129" s="117" t="s">
        <v>509</v>
      </c>
      <c r="I129" s="117" t="s">
        <v>218</v>
      </c>
      <c r="J129" s="546">
        <v>83</v>
      </c>
      <c r="K129" s="546">
        <v>435</v>
      </c>
      <c r="L129" s="546">
        <v>435</v>
      </c>
      <c r="M129" s="490" t="str">
        <f t="shared" si="93"/>
        <v>2. Medium</v>
      </c>
      <c r="N129" s="528" t="s">
        <v>235</v>
      </c>
      <c r="O129" s="553" t="s">
        <v>238</v>
      </c>
      <c r="P129" s="545" t="str">
        <f t="shared" si="54"/>
        <v>Covered</v>
      </c>
      <c r="Q129" s="491">
        <v>42247</v>
      </c>
      <c r="R129" s="489"/>
      <c r="S129" s="491"/>
      <c r="T129" s="528" t="s">
        <v>260</v>
      </c>
      <c r="U129" s="533" t="str">
        <f t="shared" si="55"/>
        <v>Documented</v>
      </c>
      <c r="V129" s="537">
        <v>0</v>
      </c>
      <c r="W129" s="492">
        <v>0</v>
      </c>
      <c r="X129" s="538" t="s">
        <v>19</v>
      </c>
      <c r="Y129" s="537">
        <v>0</v>
      </c>
      <c r="Z129" s="492">
        <v>1</v>
      </c>
      <c r="AA129" s="538">
        <v>3600</v>
      </c>
      <c r="AB129" s="570">
        <v>0.16</v>
      </c>
      <c r="AC129" s="571">
        <v>0</v>
      </c>
      <c r="AD129" s="574">
        <f t="shared" si="56"/>
        <v>1</v>
      </c>
      <c r="AE129" s="495">
        <f t="shared" si="57"/>
        <v>435</v>
      </c>
      <c r="AF129" s="496">
        <f t="shared" si="94"/>
        <v>1</v>
      </c>
      <c r="AG129" s="497">
        <f t="shared" si="59"/>
        <v>435</v>
      </c>
      <c r="AH129" s="494">
        <f t="shared" si="95"/>
        <v>1</v>
      </c>
      <c r="AI129" s="497">
        <f t="shared" si="61"/>
        <v>435</v>
      </c>
      <c r="AJ129" s="498" t="str">
        <f t="shared" si="96"/>
        <v>80-100%</v>
      </c>
      <c r="AK129" s="494">
        <f t="shared" si="97"/>
        <v>0</v>
      </c>
      <c r="AL129" s="499">
        <f t="shared" si="98"/>
        <v>0</v>
      </c>
      <c r="AM129" s="497">
        <f t="shared" si="99"/>
        <v>8.7499999999999911E-2</v>
      </c>
      <c r="AN129" s="497">
        <f t="shared" si="100"/>
        <v>0</v>
      </c>
      <c r="AO129" s="497">
        <f t="shared" si="67"/>
        <v>69.600000000000009</v>
      </c>
      <c r="AP129" s="568">
        <v>1</v>
      </c>
      <c r="AQ129" s="577">
        <f t="shared" si="68"/>
        <v>435</v>
      </c>
      <c r="AR129" s="581"/>
      <c r="AS129" s="537">
        <v>0</v>
      </c>
      <c r="AT129" s="492">
        <v>6</v>
      </c>
      <c r="AU129" s="492">
        <v>4</v>
      </c>
      <c r="AV129" s="492" t="s">
        <v>299</v>
      </c>
      <c r="AW129" s="500">
        <f t="shared" si="101"/>
        <v>0.45977011494252873</v>
      </c>
      <c r="AX129" s="497">
        <f t="shared" si="70"/>
        <v>200</v>
      </c>
      <c r="AY129" s="500">
        <f t="shared" si="102"/>
        <v>0.27586206896551724</v>
      </c>
      <c r="AZ129" s="497">
        <f t="shared" si="72"/>
        <v>120</v>
      </c>
      <c r="BA129" s="500">
        <f t="shared" si="103"/>
        <v>0.18390804597701149</v>
      </c>
      <c r="BB129" s="497">
        <f t="shared" si="74"/>
        <v>80</v>
      </c>
      <c r="BC129" s="492">
        <v>0</v>
      </c>
      <c r="BD129" s="493">
        <v>0.64</v>
      </c>
      <c r="BE129" s="501">
        <f t="shared" si="104"/>
        <v>278.40000000000003</v>
      </c>
      <c r="BF129" s="502">
        <f t="shared" si="76"/>
        <v>17.75</v>
      </c>
      <c r="BG129" s="492">
        <v>1</v>
      </c>
      <c r="BH129" s="492" t="s">
        <v>301</v>
      </c>
      <c r="BI129" s="500">
        <f t="shared" si="77"/>
        <v>0.22988505747126436</v>
      </c>
      <c r="BJ129" s="497">
        <f t="shared" si="78"/>
        <v>100</v>
      </c>
      <c r="BK129" s="502">
        <f t="shared" si="79"/>
        <v>3.3499999999999996</v>
      </c>
      <c r="BL129" s="493">
        <v>0.23</v>
      </c>
      <c r="BM129" s="497">
        <f t="shared" si="80"/>
        <v>100.05000000000001</v>
      </c>
      <c r="BN129" s="492">
        <v>4</v>
      </c>
      <c r="BO129" s="500">
        <f t="shared" si="105"/>
        <v>0.91954022988505746</v>
      </c>
      <c r="BP129" s="502">
        <f t="shared" si="106"/>
        <v>0.34999999999999964</v>
      </c>
      <c r="BQ129" s="568">
        <v>0.92</v>
      </c>
      <c r="BR129" s="580" t="s">
        <v>725</v>
      </c>
      <c r="BS129" s="594">
        <v>41788</v>
      </c>
      <c r="BT129" s="503">
        <f t="shared" si="90"/>
        <v>42153</v>
      </c>
      <c r="BU129" s="546">
        <v>78</v>
      </c>
      <c r="BV129" s="546">
        <v>6</v>
      </c>
      <c r="BW129" s="504">
        <f t="shared" si="91"/>
        <v>5</v>
      </c>
      <c r="BX129" s="505">
        <f t="shared" si="107"/>
        <v>0.93975903614457834</v>
      </c>
      <c r="BY129" s="497">
        <f t="shared" si="108"/>
        <v>408.79518072289159</v>
      </c>
      <c r="BZ129" s="595">
        <f t="shared" si="92"/>
        <v>4</v>
      </c>
      <c r="CA129" s="537"/>
      <c r="CB129" s="568">
        <v>1</v>
      </c>
      <c r="CC129" s="605">
        <f t="shared" si="88"/>
        <v>435</v>
      </c>
      <c r="CD129" s="537">
        <v>2</v>
      </c>
      <c r="CE129" s="506" t="str">
        <f t="shared" si="89"/>
        <v>Excellent coverage</v>
      </c>
      <c r="CF129" s="492">
        <v>0</v>
      </c>
      <c r="CG129" s="538" t="s">
        <v>65</v>
      </c>
      <c r="CH129" s="580"/>
    </row>
    <row r="130" spans="2:86" s="40" customFormat="1" ht="30" customHeight="1" x14ac:dyDescent="0.2">
      <c r="B130" s="527" t="s">
        <v>180</v>
      </c>
      <c r="C130" s="488" t="s">
        <v>585</v>
      </c>
      <c r="D130" s="117" t="s">
        <v>267</v>
      </c>
      <c r="E130" s="488" t="s">
        <v>764</v>
      </c>
      <c r="F130" s="117">
        <v>97.252650000000003</v>
      </c>
      <c r="G130" s="117">
        <v>24.222349999999999</v>
      </c>
      <c r="H130" s="117" t="s">
        <v>509</v>
      </c>
      <c r="I130" s="117" t="s">
        <v>218</v>
      </c>
      <c r="J130" s="463">
        <v>170</v>
      </c>
      <c r="K130" s="463">
        <v>817</v>
      </c>
      <c r="L130" s="463">
        <v>817</v>
      </c>
      <c r="M130" s="490" t="str">
        <f t="shared" si="93"/>
        <v>2. Medium</v>
      </c>
      <c r="N130" s="528" t="s">
        <v>239</v>
      </c>
      <c r="O130" s="553" t="s">
        <v>238</v>
      </c>
      <c r="P130" s="545" t="str">
        <f t="shared" si="54"/>
        <v>Covered</v>
      </c>
      <c r="Q130" s="491">
        <v>42247</v>
      </c>
      <c r="R130" s="489"/>
      <c r="S130" s="491"/>
      <c r="T130" s="528" t="s">
        <v>260</v>
      </c>
      <c r="U130" s="533" t="str">
        <f t="shared" si="55"/>
        <v>Documented</v>
      </c>
      <c r="V130" s="537">
        <v>0</v>
      </c>
      <c r="W130" s="492">
        <v>0</v>
      </c>
      <c r="X130" s="538" t="s">
        <v>19</v>
      </c>
      <c r="Y130" s="537">
        <v>0</v>
      </c>
      <c r="Z130" s="492">
        <v>3</v>
      </c>
      <c r="AA130" s="538">
        <v>54000</v>
      </c>
      <c r="AB130" s="570">
        <v>0</v>
      </c>
      <c r="AC130" s="571">
        <v>0</v>
      </c>
      <c r="AD130" s="574">
        <f t="shared" si="56"/>
        <v>1</v>
      </c>
      <c r="AE130" s="495">
        <f t="shared" si="57"/>
        <v>817</v>
      </c>
      <c r="AF130" s="496">
        <f t="shared" si="94"/>
        <v>1</v>
      </c>
      <c r="AG130" s="497">
        <f t="shared" si="59"/>
        <v>817</v>
      </c>
      <c r="AH130" s="494">
        <f t="shared" si="95"/>
        <v>1</v>
      </c>
      <c r="AI130" s="497">
        <f t="shared" si="61"/>
        <v>817</v>
      </c>
      <c r="AJ130" s="498" t="str">
        <f t="shared" si="96"/>
        <v>80-100%</v>
      </c>
      <c r="AK130" s="494">
        <f t="shared" si="97"/>
        <v>0</v>
      </c>
      <c r="AL130" s="499">
        <f t="shared" si="98"/>
        <v>0</v>
      </c>
      <c r="AM130" s="497">
        <f t="shared" si="99"/>
        <v>0</v>
      </c>
      <c r="AN130" s="497">
        <f t="shared" si="100"/>
        <v>0</v>
      </c>
      <c r="AO130" s="497">
        <f t="shared" si="67"/>
        <v>0</v>
      </c>
      <c r="AP130" s="568">
        <v>1</v>
      </c>
      <c r="AQ130" s="577">
        <f t="shared" si="68"/>
        <v>817</v>
      </c>
      <c r="AR130" s="581"/>
      <c r="AS130" s="537">
        <v>34</v>
      </c>
      <c r="AT130" s="492">
        <v>32</v>
      </c>
      <c r="AU130" s="492">
        <v>10</v>
      </c>
      <c r="AV130" s="492" t="s">
        <v>91</v>
      </c>
      <c r="AW130" s="500">
        <f t="shared" si="101"/>
        <v>1</v>
      </c>
      <c r="AX130" s="497">
        <f t="shared" si="70"/>
        <v>817</v>
      </c>
      <c r="AY130" s="500">
        <f t="shared" si="102"/>
        <v>0.75520195838433291</v>
      </c>
      <c r="AZ130" s="497">
        <f t="shared" si="72"/>
        <v>617</v>
      </c>
      <c r="BA130" s="500">
        <f t="shared" si="103"/>
        <v>0.24479804161566707</v>
      </c>
      <c r="BB130" s="497">
        <f t="shared" si="74"/>
        <v>200</v>
      </c>
      <c r="BC130" s="492">
        <v>0</v>
      </c>
      <c r="BD130" s="493">
        <v>1</v>
      </c>
      <c r="BE130" s="501">
        <f t="shared" si="104"/>
        <v>817</v>
      </c>
      <c r="BF130" s="502">
        <f t="shared" si="76"/>
        <v>30.85</v>
      </c>
      <c r="BG130" s="492">
        <v>5</v>
      </c>
      <c r="BH130" s="492" t="s">
        <v>300</v>
      </c>
      <c r="BI130" s="500">
        <f t="shared" si="77"/>
        <v>0.61199510403916768</v>
      </c>
      <c r="BJ130" s="497">
        <f t="shared" si="78"/>
        <v>500</v>
      </c>
      <c r="BK130" s="502">
        <f t="shared" si="79"/>
        <v>3.17</v>
      </c>
      <c r="BL130" s="493">
        <v>0.61</v>
      </c>
      <c r="BM130" s="497">
        <f t="shared" si="80"/>
        <v>498.37</v>
      </c>
      <c r="BN130" s="492">
        <v>12</v>
      </c>
      <c r="BO130" s="500">
        <f t="shared" si="105"/>
        <v>1</v>
      </c>
      <c r="BP130" s="502">
        <f t="shared" si="106"/>
        <v>0</v>
      </c>
      <c r="BQ130" s="568">
        <v>1</v>
      </c>
      <c r="BR130" s="580"/>
      <c r="BS130" s="594">
        <v>41787</v>
      </c>
      <c r="BT130" s="503">
        <f t="shared" si="90"/>
        <v>42152</v>
      </c>
      <c r="BU130" s="546">
        <v>178</v>
      </c>
      <c r="BV130" s="546">
        <v>6</v>
      </c>
      <c r="BW130" s="504">
        <f t="shared" si="91"/>
        <v>0</v>
      </c>
      <c r="BX130" s="505">
        <f t="shared" si="107"/>
        <v>1</v>
      </c>
      <c r="BY130" s="497">
        <f t="shared" si="108"/>
        <v>817</v>
      </c>
      <c r="BZ130" s="595">
        <f t="shared" si="92"/>
        <v>4</v>
      </c>
      <c r="CA130" s="537"/>
      <c r="CB130" s="568">
        <v>1</v>
      </c>
      <c r="CC130" s="605">
        <f t="shared" si="88"/>
        <v>817</v>
      </c>
      <c r="CD130" s="537">
        <v>7</v>
      </c>
      <c r="CE130" s="506" t="str">
        <f t="shared" si="89"/>
        <v>Excellent coverage</v>
      </c>
      <c r="CF130" s="492">
        <v>0</v>
      </c>
      <c r="CG130" s="538" t="s">
        <v>65</v>
      </c>
      <c r="CH130" s="580"/>
    </row>
    <row r="131" spans="2:86" s="40" customFormat="1" ht="30" customHeight="1" x14ac:dyDescent="0.2">
      <c r="B131" s="527" t="s">
        <v>180</v>
      </c>
      <c r="C131" s="488" t="s">
        <v>586</v>
      </c>
      <c r="D131" s="117" t="s">
        <v>267</v>
      </c>
      <c r="E131" s="488" t="s">
        <v>283</v>
      </c>
      <c r="F131" s="117">
        <v>97.228769999999997</v>
      </c>
      <c r="G131" s="117">
        <v>24.26502</v>
      </c>
      <c r="H131" s="117" t="s">
        <v>509</v>
      </c>
      <c r="I131" s="117" t="s">
        <v>218</v>
      </c>
      <c r="J131" s="463">
        <v>622</v>
      </c>
      <c r="K131" s="463">
        <v>3780</v>
      </c>
      <c r="L131" s="463">
        <v>3780</v>
      </c>
      <c r="M131" s="490" t="str">
        <f t="shared" ref="M131:M162" si="109">IF(J131&gt;50,IF(J131&gt;250,IF(J131&gt;500,IF(J131&gt;1000,"5. Massive","4. Big"),"3. Large"),"2. Medium"),"1. Small")</f>
        <v>4. Big</v>
      </c>
      <c r="N131" s="528" t="s">
        <v>239</v>
      </c>
      <c r="O131" s="553" t="s">
        <v>238</v>
      </c>
      <c r="P131" s="545" t="str">
        <f t="shared" si="54"/>
        <v>Covered</v>
      </c>
      <c r="Q131" s="491">
        <v>42247</v>
      </c>
      <c r="R131" s="489"/>
      <c r="S131" s="491"/>
      <c r="T131" s="528" t="s">
        <v>260</v>
      </c>
      <c r="U131" s="533" t="str">
        <f t="shared" si="55"/>
        <v>Documented</v>
      </c>
      <c r="V131" s="537">
        <v>0</v>
      </c>
      <c r="W131" s="492">
        <v>0</v>
      </c>
      <c r="X131" s="538" t="s">
        <v>19</v>
      </c>
      <c r="Y131" s="537">
        <v>0</v>
      </c>
      <c r="Z131" s="492">
        <v>24</v>
      </c>
      <c r="AA131" s="538">
        <v>86400</v>
      </c>
      <c r="AB131" s="570">
        <v>0.89</v>
      </c>
      <c r="AC131" s="571">
        <v>0.42</v>
      </c>
      <c r="AD131" s="574">
        <f t="shared" ref="AD131:AD179" si="110">IF((((V131/15)+((W131/30)/15)+Y131*400+Z131*500+(AA131/15))/L131)&gt;1,1,(((V131/15)+((W131/30)/15)+Y131*400+Z131*500+(AA131/15))/L131))</f>
        <v>1</v>
      </c>
      <c r="AE131" s="495">
        <f t="shared" si="57"/>
        <v>3780</v>
      </c>
      <c r="AF131" s="496">
        <f t="shared" ref="AF131:AF162" si="111">IF(((Y131*400+Z131*500+(AA131/15))/L131)&gt;1,1,(Y131*400+Z131*500+(AA131/15))/L131)</f>
        <v>1</v>
      </c>
      <c r="AG131" s="497">
        <f t="shared" si="59"/>
        <v>3780</v>
      </c>
      <c r="AH131" s="494">
        <f t="shared" ref="AH131:AH162" si="112">IF(AC131=0,AD131,IF(AC131&lt;AD131,AD131,AC131))</f>
        <v>1</v>
      </c>
      <c r="AI131" s="497">
        <f t="shared" si="61"/>
        <v>3780</v>
      </c>
      <c r="AJ131" s="498" t="str">
        <f t="shared" ref="AJ131:AJ162" si="113">IF(AD131&gt;0.15,IF(AD131&gt;0.3,IF(AD131&gt;0.45,IF(AD131&gt;0.6,IF(AD131&gt;0.8,"80-100%","60-80%"),"45-60%"),"30-45%"),"15-30%"),"0-10%")</f>
        <v>80-100%</v>
      </c>
      <c r="AK131" s="494">
        <f t="shared" ref="AK131:AK162" si="114">IF((AD131-AF131)&lt; 0, 0, AD131-AF131)</f>
        <v>0</v>
      </c>
      <c r="AL131" s="499">
        <f t="shared" ref="AL131:AL162" si="115">AK131*L131</f>
        <v>0</v>
      </c>
      <c r="AM131" s="497">
        <f t="shared" ref="AM131:AM162" si="116">IF(L131/400-(Y131+Z131)&lt;0,0,L131/400-(Y131+Z131))</f>
        <v>0</v>
      </c>
      <c r="AN131" s="497">
        <f t="shared" ref="AN131:AN162" si="117">AC131*J131</f>
        <v>261.24</v>
      </c>
      <c r="AO131" s="497">
        <f t="shared" si="67"/>
        <v>3364.2000000000003</v>
      </c>
      <c r="AP131" s="568">
        <v>1</v>
      </c>
      <c r="AQ131" s="577">
        <f t="shared" si="68"/>
        <v>3780</v>
      </c>
      <c r="AR131" s="581"/>
      <c r="AS131" s="537">
        <v>113</v>
      </c>
      <c r="AT131" s="492">
        <v>47</v>
      </c>
      <c r="AU131" s="492">
        <v>98</v>
      </c>
      <c r="AV131" s="492" t="s">
        <v>91</v>
      </c>
      <c r="AW131" s="500">
        <f t="shared" ref="AW131:AW157" si="118">IF((((AT131+AU131)*20)/L131)&gt;1,1,(((AT131+AU131)*20)/L131))</f>
        <v>0.76719576719576721</v>
      </c>
      <c r="AX131" s="497">
        <f t="shared" si="70"/>
        <v>2900</v>
      </c>
      <c r="AY131" s="500">
        <f t="shared" ref="AY131:AY157" si="119">AW131-BA131</f>
        <v>0.24867724867724872</v>
      </c>
      <c r="AZ131" s="497">
        <f t="shared" si="72"/>
        <v>940.00000000000011</v>
      </c>
      <c r="BA131" s="500">
        <f t="shared" ref="BA131:BA157" si="120">IF(((AU131*20)/L131)&gt;1,1,((AU131*20)/L131))</f>
        <v>0.51851851851851849</v>
      </c>
      <c r="BB131" s="497">
        <f t="shared" si="74"/>
        <v>1960</v>
      </c>
      <c r="BC131" s="492">
        <v>4</v>
      </c>
      <c r="BD131" s="493">
        <v>0.88</v>
      </c>
      <c r="BE131" s="501">
        <f t="shared" ref="BE131:BE162" si="121">BD131*L131</f>
        <v>3326.4</v>
      </c>
      <c r="BF131" s="502">
        <f t="shared" si="76"/>
        <v>95</v>
      </c>
      <c r="BG131" s="492">
        <v>7</v>
      </c>
      <c r="BH131" s="492" t="s">
        <v>301</v>
      </c>
      <c r="BI131" s="500">
        <f t="shared" si="77"/>
        <v>0.18518518518518517</v>
      </c>
      <c r="BJ131" s="497">
        <f t="shared" si="78"/>
        <v>700</v>
      </c>
      <c r="BK131" s="502">
        <f t="shared" si="79"/>
        <v>30.799999999999997</v>
      </c>
      <c r="BL131" s="493">
        <v>0.19</v>
      </c>
      <c r="BM131" s="497">
        <f t="shared" si="80"/>
        <v>718.2</v>
      </c>
      <c r="BN131" s="492">
        <v>26</v>
      </c>
      <c r="BO131" s="500">
        <f t="shared" ref="BO131:BO157" si="122">IF((BN131*100/L131)&gt;1,1,(BN131*100/L131))</f>
        <v>0.68783068783068779</v>
      </c>
      <c r="BP131" s="502">
        <f t="shared" ref="BP131:BP157" si="123">IF(K131/100-BN131&lt;0,0,K131/100-BN131)</f>
        <v>11.799999999999997</v>
      </c>
      <c r="BQ131" s="568">
        <v>0.69</v>
      </c>
      <c r="BR131" s="580" t="s">
        <v>726</v>
      </c>
      <c r="BS131" s="594">
        <v>41768</v>
      </c>
      <c r="BT131" s="503">
        <f t="shared" si="90"/>
        <v>42133</v>
      </c>
      <c r="BU131" s="546">
        <v>649</v>
      </c>
      <c r="BV131" s="546">
        <v>6</v>
      </c>
      <c r="BW131" s="504">
        <f t="shared" si="91"/>
        <v>0</v>
      </c>
      <c r="BX131" s="505">
        <f t="shared" ref="BX131:BX159" si="124">IF(BW131=0,1,(J131-BW131)/J131)</f>
        <v>1</v>
      </c>
      <c r="BY131" s="497">
        <f t="shared" ref="BY131:BY159" si="125">BX131*L131</f>
        <v>3780</v>
      </c>
      <c r="BZ131" s="595">
        <f t="shared" si="92"/>
        <v>5</v>
      </c>
      <c r="CA131" s="537"/>
      <c r="CB131" s="568">
        <v>1</v>
      </c>
      <c r="CC131" s="605">
        <f t="shared" si="88"/>
        <v>3780</v>
      </c>
      <c r="CD131" s="537">
        <v>11</v>
      </c>
      <c r="CE131" s="506" t="str">
        <f t="shared" si="89"/>
        <v>Excellent coverage</v>
      </c>
      <c r="CF131" s="492">
        <v>0</v>
      </c>
      <c r="CG131" s="538" t="s">
        <v>65</v>
      </c>
      <c r="CH131" s="580"/>
    </row>
    <row r="132" spans="2:86" s="40" customFormat="1" ht="30" customHeight="1" x14ac:dyDescent="0.2">
      <c r="B132" s="527" t="s">
        <v>180</v>
      </c>
      <c r="C132" s="488" t="s">
        <v>587</v>
      </c>
      <c r="D132" s="117" t="s">
        <v>267</v>
      </c>
      <c r="E132" s="488" t="s">
        <v>184</v>
      </c>
      <c r="F132" s="117">
        <v>97.227789999999999</v>
      </c>
      <c r="G132" s="117">
        <v>24.29138</v>
      </c>
      <c r="H132" s="117" t="s">
        <v>509</v>
      </c>
      <c r="I132" s="117" t="s">
        <v>218</v>
      </c>
      <c r="J132" s="463">
        <v>37</v>
      </c>
      <c r="K132" s="463">
        <v>166</v>
      </c>
      <c r="L132" s="463">
        <v>166</v>
      </c>
      <c r="M132" s="490" t="str">
        <f t="shared" si="109"/>
        <v>1. Small</v>
      </c>
      <c r="N132" s="528" t="s">
        <v>284</v>
      </c>
      <c r="O132" s="553" t="s">
        <v>238</v>
      </c>
      <c r="P132" s="545" t="str">
        <f t="shared" ref="P132:P179" si="126">IF(O132="None","Not covered","Covered")</f>
        <v>Covered</v>
      </c>
      <c r="Q132" s="491">
        <v>42247</v>
      </c>
      <c r="R132" s="489"/>
      <c r="S132" s="491"/>
      <c r="T132" s="528" t="s">
        <v>260</v>
      </c>
      <c r="U132" s="533" t="str">
        <f t="shared" ref="U132:U179" si="127">IF(T132="Not documented","Not documented","Documented")</f>
        <v>Documented</v>
      </c>
      <c r="V132" s="537">
        <v>0</v>
      </c>
      <c r="W132" s="492">
        <v>0</v>
      </c>
      <c r="X132" s="538" t="s">
        <v>19</v>
      </c>
      <c r="Y132" s="537">
        <v>0</v>
      </c>
      <c r="Z132" s="492">
        <v>4</v>
      </c>
      <c r="AA132" s="538">
        <v>43200</v>
      </c>
      <c r="AB132" s="570">
        <v>0</v>
      </c>
      <c r="AC132" s="571">
        <v>0</v>
      </c>
      <c r="AD132" s="574">
        <f t="shared" si="110"/>
        <v>1</v>
      </c>
      <c r="AE132" s="495">
        <f t="shared" ref="AE132:AE179" si="128">AD132*L132</f>
        <v>166</v>
      </c>
      <c r="AF132" s="496">
        <f t="shared" si="111"/>
        <v>1</v>
      </c>
      <c r="AG132" s="497">
        <f t="shared" ref="AG132:AG179" si="129">AF132*L132</f>
        <v>166</v>
      </c>
      <c r="AH132" s="494">
        <f t="shared" si="112"/>
        <v>1</v>
      </c>
      <c r="AI132" s="497">
        <f t="shared" ref="AI132:AI179" si="130">AH132*L132</f>
        <v>166</v>
      </c>
      <c r="AJ132" s="498" t="str">
        <f t="shared" si="113"/>
        <v>80-100%</v>
      </c>
      <c r="AK132" s="494">
        <f t="shared" si="114"/>
        <v>0</v>
      </c>
      <c r="AL132" s="499">
        <f t="shared" si="115"/>
        <v>0</v>
      </c>
      <c r="AM132" s="497">
        <f t="shared" si="116"/>
        <v>0</v>
      </c>
      <c r="AN132" s="497">
        <f t="shared" si="117"/>
        <v>0</v>
      </c>
      <c r="AO132" s="497">
        <f t="shared" ref="AO132:AO179" si="131">AB132*L132</f>
        <v>0</v>
      </c>
      <c r="AP132" s="568">
        <v>1</v>
      </c>
      <c r="AQ132" s="577">
        <f t="shared" ref="AQ132:AQ179" si="132">AP132*L132</f>
        <v>166</v>
      </c>
      <c r="AR132" s="581"/>
      <c r="AS132" s="537">
        <v>4</v>
      </c>
      <c r="AT132" s="492">
        <v>8</v>
      </c>
      <c r="AU132" s="492">
        <v>10</v>
      </c>
      <c r="AV132" s="492" t="s">
        <v>299</v>
      </c>
      <c r="AW132" s="500">
        <f t="shared" si="118"/>
        <v>1</v>
      </c>
      <c r="AX132" s="497">
        <f t="shared" ref="AX132:AX157" si="133">AW132*L132</f>
        <v>166</v>
      </c>
      <c r="AY132" s="500">
        <f t="shared" si="119"/>
        <v>0</v>
      </c>
      <c r="AZ132" s="497">
        <f t="shared" ref="AZ132:AZ157" si="134">AY132*L132</f>
        <v>0</v>
      </c>
      <c r="BA132" s="500">
        <f t="shared" si="120"/>
        <v>1</v>
      </c>
      <c r="BB132" s="497">
        <f t="shared" ref="BB132:BB157" si="135">BA132*L132</f>
        <v>166</v>
      </c>
      <c r="BC132" s="492">
        <v>0</v>
      </c>
      <c r="BD132" s="493">
        <v>1</v>
      </c>
      <c r="BE132" s="501">
        <f t="shared" si="121"/>
        <v>166</v>
      </c>
      <c r="BF132" s="502">
        <f t="shared" ref="BF132:BF179" si="136">IF((L132/20-AU132+BC132)&lt;0,0,(L132/20-AU132+BC132))</f>
        <v>0</v>
      </c>
      <c r="BG132" s="492">
        <v>3</v>
      </c>
      <c r="BH132" s="492" t="s">
        <v>300</v>
      </c>
      <c r="BI132" s="500">
        <f t="shared" ref="BI132:BI157" si="137">IF((BG132*100/L132)&gt;1,1,(BG132*100/L132))</f>
        <v>1</v>
      </c>
      <c r="BJ132" s="497">
        <f t="shared" ref="BJ132:BJ157" si="138">BI132*L132</f>
        <v>166</v>
      </c>
      <c r="BK132" s="502">
        <f t="shared" ref="BK132:BK157" si="139">IF(K132/100-BG132&lt;0,0,K132/100-BG132)</f>
        <v>0</v>
      </c>
      <c r="BL132" s="493">
        <v>1</v>
      </c>
      <c r="BM132" s="497">
        <f t="shared" ref="BM132:BM156" si="140">BL132*L132</f>
        <v>166</v>
      </c>
      <c r="BN132" s="492">
        <v>3</v>
      </c>
      <c r="BO132" s="500">
        <f t="shared" si="122"/>
        <v>1</v>
      </c>
      <c r="BP132" s="502">
        <f t="shared" si="123"/>
        <v>0</v>
      </c>
      <c r="BQ132" s="568">
        <v>1</v>
      </c>
      <c r="BR132" s="580"/>
      <c r="BS132" s="594">
        <v>41800</v>
      </c>
      <c r="BT132" s="503">
        <f t="shared" si="90"/>
        <v>42165</v>
      </c>
      <c r="BU132" s="546">
        <v>42</v>
      </c>
      <c r="BV132" s="546">
        <v>6</v>
      </c>
      <c r="BW132" s="504">
        <f t="shared" si="91"/>
        <v>0</v>
      </c>
      <c r="BX132" s="505">
        <f t="shared" si="124"/>
        <v>1</v>
      </c>
      <c r="BY132" s="497">
        <f t="shared" si="125"/>
        <v>166</v>
      </c>
      <c r="BZ132" s="595">
        <f t="shared" si="92"/>
        <v>4</v>
      </c>
      <c r="CA132" s="537"/>
      <c r="CB132" s="568">
        <v>1</v>
      </c>
      <c r="CC132" s="605">
        <f t="shared" ref="CC132:CC179" si="141">CB132*L132</f>
        <v>166</v>
      </c>
      <c r="CD132" s="537">
        <v>2</v>
      </c>
      <c r="CE132" s="506" t="str">
        <f t="shared" ref="CE132:CE179" si="142">IF(CD132=0,"No coverage",IF(L132/CD132&gt;1000,"Low coverage",IF(L132/CD132&gt;750,"Average coverage",IF(L132/CD132&gt;500,"Good coverage","Excellent coverage"))))</f>
        <v>Excellent coverage</v>
      </c>
      <c r="CF132" s="492">
        <v>0</v>
      </c>
      <c r="CG132" s="538" t="s">
        <v>65</v>
      </c>
      <c r="CH132" s="580"/>
    </row>
    <row r="133" spans="2:86" s="40" customFormat="1" ht="30" customHeight="1" x14ac:dyDescent="0.2">
      <c r="B133" s="527" t="s">
        <v>188</v>
      </c>
      <c r="C133" s="488" t="s">
        <v>638</v>
      </c>
      <c r="D133" s="117" t="s">
        <v>268</v>
      </c>
      <c r="E133" s="488" t="s">
        <v>203</v>
      </c>
      <c r="F133" s="117">
        <v>97.568282999999994</v>
      </c>
      <c r="G133" s="117">
        <v>24.688167</v>
      </c>
      <c r="H133" s="117" t="s">
        <v>509</v>
      </c>
      <c r="I133" s="117" t="s">
        <v>226</v>
      </c>
      <c r="J133" s="463">
        <v>1701</v>
      </c>
      <c r="K133" s="463">
        <v>6516</v>
      </c>
      <c r="L133" s="463">
        <v>7108</v>
      </c>
      <c r="M133" s="490" t="str">
        <f t="shared" si="109"/>
        <v>5. Massive</v>
      </c>
      <c r="N133" s="528" t="s">
        <v>235</v>
      </c>
      <c r="O133" s="553" t="s">
        <v>239</v>
      </c>
      <c r="P133" s="545" t="str">
        <f t="shared" si="126"/>
        <v>Covered</v>
      </c>
      <c r="Q133" s="491">
        <v>42247</v>
      </c>
      <c r="R133" s="489" t="s">
        <v>238</v>
      </c>
      <c r="S133" s="491">
        <v>42247</v>
      </c>
      <c r="T133" s="528" t="s">
        <v>260</v>
      </c>
      <c r="U133" s="533" t="str">
        <f t="shared" si="127"/>
        <v>Documented</v>
      </c>
      <c r="V133" s="537">
        <v>0</v>
      </c>
      <c r="W133" s="492">
        <v>0</v>
      </c>
      <c r="X133" s="538" t="s">
        <v>19</v>
      </c>
      <c r="Y133" s="537">
        <v>5</v>
      </c>
      <c r="Z133" s="492">
        <v>0</v>
      </c>
      <c r="AA133" s="538">
        <v>23721</v>
      </c>
      <c r="AB133" s="570">
        <v>0</v>
      </c>
      <c r="AC133" s="571">
        <v>0.5</v>
      </c>
      <c r="AD133" s="574">
        <f t="shared" si="110"/>
        <v>0.50385481148002254</v>
      </c>
      <c r="AE133" s="495">
        <f t="shared" si="128"/>
        <v>3581.4</v>
      </c>
      <c r="AF133" s="496">
        <f t="shared" si="111"/>
        <v>0.50385481148002254</v>
      </c>
      <c r="AG133" s="497">
        <f t="shared" si="129"/>
        <v>3581.4</v>
      </c>
      <c r="AH133" s="494">
        <f t="shared" si="112"/>
        <v>0.50385481148002254</v>
      </c>
      <c r="AI133" s="497">
        <f t="shared" si="130"/>
        <v>3581.4</v>
      </c>
      <c r="AJ133" s="498" t="str">
        <f t="shared" si="113"/>
        <v>45-60%</v>
      </c>
      <c r="AK133" s="494">
        <f t="shared" si="114"/>
        <v>0</v>
      </c>
      <c r="AL133" s="499">
        <f t="shared" si="115"/>
        <v>0</v>
      </c>
      <c r="AM133" s="497">
        <f t="shared" si="116"/>
        <v>12.77</v>
      </c>
      <c r="AN133" s="497">
        <f t="shared" si="117"/>
        <v>850.5</v>
      </c>
      <c r="AO133" s="497">
        <f t="shared" si="131"/>
        <v>0</v>
      </c>
      <c r="AP133" s="568">
        <v>1</v>
      </c>
      <c r="AQ133" s="577">
        <f t="shared" si="132"/>
        <v>7108</v>
      </c>
      <c r="AR133" s="583" t="s">
        <v>839</v>
      </c>
      <c r="AS133" s="537">
        <v>573</v>
      </c>
      <c r="AT133" s="492">
        <v>23</v>
      </c>
      <c r="AU133" s="492">
        <v>500</v>
      </c>
      <c r="AV133" s="492" t="s">
        <v>91</v>
      </c>
      <c r="AW133" s="500">
        <f t="shared" si="118"/>
        <v>1</v>
      </c>
      <c r="AX133" s="497">
        <f t="shared" si="133"/>
        <v>7108</v>
      </c>
      <c r="AY133" s="500">
        <f t="shared" si="119"/>
        <v>0</v>
      </c>
      <c r="AZ133" s="497">
        <f t="shared" si="134"/>
        <v>0</v>
      </c>
      <c r="BA133" s="500">
        <f t="shared" si="120"/>
        <v>1</v>
      </c>
      <c r="BB133" s="497">
        <f t="shared" si="135"/>
        <v>7108</v>
      </c>
      <c r="BC133" s="492">
        <v>0</v>
      </c>
      <c r="BD133" s="493">
        <v>1</v>
      </c>
      <c r="BE133" s="501">
        <f t="shared" si="121"/>
        <v>7108</v>
      </c>
      <c r="BF133" s="502">
        <f t="shared" si="136"/>
        <v>0</v>
      </c>
      <c r="BG133" s="492">
        <v>49</v>
      </c>
      <c r="BH133" s="492" t="s">
        <v>91</v>
      </c>
      <c r="BI133" s="500">
        <f t="shared" si="137"/>
        <v>0.68936409679234667</v>
      </c>
      <c r="BJ133" s="497">
        <f t="shared" si="138"/>
        <v>4900</v>
      </c>
      <c r="BK133" s="502">
        <f t="shared" si="139"/>
        <v>16.159999999999997</v>
      </c>
      <c r="BL133" s="493">
        <v>0.69</v>
      </c>
      <c r="BM133" s="497">
        <f t="shared" si="140"/>
        <v>4904.5199999999995</v>
      </c>
      <c r="BN133" s="492">
        <v>82</v>
      </c>
      <c r="BO133" s="500">
        <f t="shared" si="122"/>
        <v>1</v>
      </c>
      <c r="BP133" s="502">
        <f t="shared" si="123"/>
        <v>0</v>
      </c>
      <c r="BQ133" s="568">
        <v>1</v>
      </c>
      <c r="BR133" s="580"/>
      <c r="BS133" s="594">
        <v>41557</v>
      </c>
      <c r="BT133" s="503" t="str">
        <f t="shared" si="90"/>
        <v>To be realised</v>
      </c>
      <c r="BU133" s="546">
        <v>1646</v>
      </c>
      <c r="BV133" s="546">
        <v>6</v>
      </c>
      <c r="BW133" s="504">
        <f t="shared" si="91"/>
        <v>1701</v>
      </c>
      <c r="BX133" s="505">
        <f t="shared" si="124"/>
        <v>0</v>
      </c>
      <c r="BY133" s="497">
        <f t="shared" si="125"/>
        <v>0</v>
      </c>
      <c r="BZ133" s="595">
        <f t="shared" si="92"/>
        <v>12</v>
      </c>
      <c r="CA133" s="537" t="s">
        <v>920</v>
      </c>
      <c r="CB133" s="568">
        <v>1</v>
      </c>
      <c r="CC133" s="605">
        <f t="shared" si="141"/>
        <v>7108</v>
      </c>
      <c r="CD133" s="537">
        <v>17</v>
      </c>
      <c r="CE133" s="506" t="str">
        <f t="shared" si="142"/>
        <v>Excellent coverage</v>
      </c>
      <c r="CF133" s="492">
        <v>0</v>
      </c>
      <c r="CG133" s="538" t="s">
        <v>65</v>
      </c>
      <c r="CH133" s="580"/>
    </row>
    <row r="134" spans="2:86" s="40" customFormat="1" ht="30" customHeight="1" x14ac:dyDescent="0.2">
      <c r="B134" s="527" t="s">
        <v>188</v>
      </c>
      <c r="C134" s="488" t="s">
        <v>640</v>
      </c>
      <c r="D134" s="117" t="s">
        <v>273</v>
      </c>
      <c r="E134" s="488" t="s">
        <v>192</v>
      </c>
      <c r="F134" s="117">
        <v>97.718582999999995</v>
      </c>
      <c r="G134" s="117">
        <v>24.200972</v>
      </c>
      <c r="H134" s="117" t="s">
        <v>509</v>
      </c>
      <c r="I134" s="117" t="s">
        <v>218</v>
      </c>
      <c r="J134" s="463">
        <v>30</v>
      </c>
      <c r="K134" s="463">
        <v>174</v>
      </c>
      <c r="L134" s="463">
        <v>174</v>
      </c>
      <c r="M134" s="490" t="str">
        <f t="shared" si="109"/>
        <v>1. Small</v>
      </c>
      <c r="N134" s="528" t="s">
        <v>239</v>
      </c>
      <c r="O134" s="553" t="s">
        <v>238</v>
      </c>
      <c r="P134" s="545" t="str">
        <f t="shared" si="126"/>
        <v>Covered</v>
      </c>
      <c r="Q134" s="491">
        <v>42247</v>
      </c>
      <c r="R134" s="489"/>
      <c r="S134" s="491"/>
      <c r="T134" s="528" t="s">
        <v>260</v>
      </c>
      <c r="U134" s="533" t="str">
        <f t="shared" si="127"/>
        <v>Documented</v>
      </c>
      <c r="V134" s="537">
        <v>0</v>
      </c>
      <c r="W134" s="492">
        <v>0</v>
      </c>
      <c r="X134" s="538" t="s">
        <v>19</v>
      </c>
      <c r="Y134" s="537">
        <v>0</v>
      </c>
      <c r="Z134" s="492">
        <v>1</v>
      </c>
      <c r="AA134" s="538">
        <v>5670</v>
      </c>
      <c r="AB134" s="570">
        <v>0</v>
      </c>
      <c r="AC134" s="571">
        <v>0</v>
      </c>
      <c r="AD134" s="574">
        <f t="shared" si="110"/>
        <v>1</v>
      </c>
      <c r="AE134" s="495">
        <f t="shared" si="128"/>
        <v>174</v>
      </c>
      <c r="AF134" s="496">
        <f t="shared" si="111"/>
        <v>1</v>
      </c>
      <c r="AG134" s="497">
        <f t="shared" si="129"/>
        <v>174</v>
      </c>
      <c r="AH134" s="494">
        <f t="shared" si="112"/>
        <v>1</v>
      </c>
      <c r="AI134" s="497">
        <f t="shared" si="130"/>
        <v>174</v>
      </c>
      <c r="AJ134" s="498" t="str">
        <f t="shared" si="113"/>
        <v>80-100%</v>
      </c>
      <c r="AK134" s="494">
        <f t="shared" si="114"/>
        <v>0</v>
      </c>
      <c r="AL134" s="499">
        <f t="shared" si="115"/>
        <v>0</v>
      </c>
      <c r="AM134" s="497">
        <f t="shared" si="116"/>
        <v>0</v>
      </c>
      <c r="AN134" s="497">
        <f t="shared" si="117"/>
        <v>0</v>
      </c>
      <c r="AO134" s="497">
        <f t="shared" si="131"/>
        <v>0</v>
      </c>
      <c r="AP134" s="568">
        <v>1</v>
      </c>
      <c r="AQ134" s="577">
        <f t="shared" si="132"/>
        <v>174</v>
      </c>
      <c r="AR134" s="581"/>
      <c r="AS134" s="537">
        <v>0</v>
      </c>
      <c r="AT134" s="463">
        <v>0</v>
      </c>
      <c r="AU134" s="463">
        <v>13</v>
      </c>
      <c r="AV134" s="492" t="s">
        <v>768</v>
      </c>
      <c r="AW134" s="500">
        <f t="shared" si="118"/>
        <v>1</v>
      </c>
      <c r="AX134" s="497">
        <f t="shared" si="133"/>
        <v>174</v>
      </c>
      <c r="AY134" s="500">
        <f t="shared" si="119"/>
        <v>0</v>
      </c>
      <c r="AZ134" s="497">
        <f t="shared" si="134"/>
        <v>0</v>
      </c>
      <c r="BA134" s="500">
        <f t="shared" si="120"/>
        <v>1</v>
      </c>
      <c r="BB134" s="497">
        <f t="shared" si="135"/>
        <v>174</v>
      </c>
      <c r="BC134" s="492">
        <v>0</v>
      </c>
      <c r="BD134" s="493">
        <v>1</v>
      </c>
      <c r="BE134" s="501">
        <f t="shared" si="121"/>
        <v>174</v>
      </c>
      <c r="BF134" s="502">
        <f t="shared" si="136"/>
        <v>0</v>
      </c>
      <c r="BG134" s="492">
        <v>1</v>
      </c>
      <c r="BH134" s="492" t="s">
        <v>300</v>
      </c>
      <c r="BI134" s="500">
        <f t="shared" si="137"/>
        <v>0.57471264367816088</v>
      </c>
      <c r="BJ134" s="497">
        <f t="shared" si="138"/>
        <v>100</v>
      </c>
      <c r="BK134" s="502">
        <f t="shared" si="139"/>
        <v>0.74</v>
      </c>
      <c r="BL134" s="493">
        <v>0.56999999999999995</v>
      </c>
      <c r="BM134" s="497">
        <f t="shared" si="140"/>
        <v>99.179999999999993</v>
      </c>
      <c r="BN134" s="492">
        <v>6</v>
      </c>
      <c r="BO134" s="500">
        <f t="shared" si="122"/>
        <v>1</v>
      </c>
      <c r="BP134" s="502">
        <f t="shared" si="123"/>
        <v>0</v>
      </c>
      <c r="BQ134" s="568">
        <v>1</v>
      </c>
      <c r="BR134" s="580"/>
      <c r="BS134" s="594">
        <v>41794</v>
      </c>
      <c r="BT134" s="503">
        <f t="shared" si="90"/>
        <v>42159</v>
      </c>
      <c r="BU134" s="546">
        <v>29</v>
      </c>
      <c r="BV134" s="546">
        <v>6</v>
      </c>
      <c r="BW134" s="504">
        <f t="shared" si="91"/>
        <v>1</v>
      </c>
      <c r="BX134" s="505">
        <f t="shared" si="124"/>
        <v>0.96666666666666667</v>
      </c>
      <c r="BY134" s="497">
        <f t="shared" si="125"/>
        <v>168.2</v>
      </c>
      <c r="BZ134" s="595">
        <f t="shared" si="92"/>
        <v>4</v>
      </c>
      <c r="CA134" s="537"/>
      <c r="CB134" s="568">
        <v>1</v>
      </c>
      <c r="CC134" s="605">
        <f t="shared" si="141"/>
        <v>174</v>
      </c>
      <c r="CD134" s="537">
        <v>1</v>
      </c>
      <c r="CE134" s="506" t="str">
        <f t="shared" si="142"/>
        <v>Excellent coverage</v>
      </c>
      <c r="CF134" s="492">
        <v>0</v>
      </c>
      <c r="CG134" s="538" t="s">
        <v>65</v>
      </c>
      <c r="CH134" s="580"/>
    </row>
    <row r="135" spans="2:86" s="40" customFormat="1" ht="30" customHeight="1" x14ac:dyDescent="0.2">
      <c r="B135" s="527" t="s">
        <v>188</v>
      </c>
      <c r="C135" s="488" t="s">
        <v>641</v>
      </c>
      <c r="D135" s="117" t="s">
        <v>273</v>
      </c>
      <c r="E135" s="488" t="s">
        <v>193</v>
      </c>
      <c r="F135" s="117">
        <v>97.724566999999993</v>
      </c>
      <c r="G135" s="117">
        <v>24.205417000000001</v>
      </c>
      <c r="H135" s="117" t="s">
        <v>509</v>
      </c>
      <c r="I135" s="117" t="s">
        <v>218</v>
      </c>
      <c r="J135" s="463">
        <v>69</v>
      </c>
      <c r="K135" s="463">
        <v>368</v>
      </c>
      <c r="L135" s="463">
        <v>368</v>
      </c>
      <c r="M135" s="490" t="str">
        <f t="shared" si="109"/>
        <v>2. Medium</v>
      </c>
      <c r="N135" s="528" t="s">
        <v>235</v>
      </c>
      <c r="O135" s="553" t="s">
        <v>238</v>
      </c>
      <c r="P135" s="545" t="str">
        <f t="shared" si="126"/>
        <v>Covered</v>
      </c>
      <c r="Q135" s="491">
        <v>42247</v>
      </c>
      <c r="R135" s="489"/>
      <c r="S135" s="491"/>
      <c r="T135" s="528" t="s">
        <v>260</v>
      </c>
      <c r="U135" s="533" t="str">
        <f t="shared" si="127"/>
        <v>Documented</v>
      </c>
      <c r="V135" s="537">
        <v>0</v>
      </c>
      <c r="W135" s="492">
        <v>0</v>
      </c>
      <c r="X135" s="538" t="s">
        <v>19</v>
      </c>
      <c r="Y135" s="537">
        <v>0</v>
      </c>
      <c r="Z135" s="492">
        <v>1</v>
      </c>
      <c r="AA135" s="538">
        <v>21600</v>
      </c>
      <c r="AB135" s="570">
        <v>0.2</v>
      </c>
      <c r="AC135" s="571">
        <v>0</v>
      </c>
      <c r="AD135" s="574">
        <f t="shared" si="110"/>
        <v>1</v>
      </c>
      <c r="AE135" s="495">
        <f t="shared" si="128"/>
        <v>368</v>
      </c>
      <c r="AF135" s="496">
        <f t="shared" si="111"/>
        <v>1</v>
      </c>
      <c r="AG135" s="497">
        <f t="shared" si="129"/>
        <v>368</v>
      </c>
      <c r="AH135" s="494">
        <f t="shared" si="112"/>
        <v>1</v>
      </c>
      <c r="AI135" s="497">
        <f t="shared" si="130"/>
        <v>368</v>
      </c>
      <c r="AJ135" s="498" t="str">
        <f t="shared" si="113"/>
        <v>80-100%</v>
      </c>
      <c r="AK135" s="494">
        <f t="shared" si="114"/>
        <v>0</v>
      </c>
      <c r="AL135" s="499">
        <f t="shared" si="115"/>
        <v>0</v>
      </c>
      <c r="AM135" s="497">
        <f t="shared" si="116"/>
        <v>0</v>
      </c>
      <c r="AN135" s="497">
        <f t="shared" si="117"/>
        <v>0</v>
      </c>
      <c r="AO135" s="497">
        <f t="shared" si="131"/>
        <v>73.600000000000009</v>
      </c>
      <c r="AP135" s="568">
        <v>1</v>
      </c>
      <c r="AQ135" s="577">
        <f t="shared" si="132"/>
        <v>368</v>
      </c>
      <c r="AR135" s="581"/>
      <c r="AS135" s="537">
        <v>16</v>
      </c>
      <c r="AT135" s="463">
        <v>6</v>
      </c>
      <c r="AU135" s="463">
        <v>5</v>
      </c>
      <c r="AV135" s="492" t="s">
        <v>299</v>
      </c>
      <c r="AW135" s="500">
        <f t="shared" si="118"/>
        <v>0.59782608695652173</v>
      </c>
      <c r="AX135" s="497">
        <f t="shared" si="133"/>
        <v>220</v>
      </c>
      <c r="AY135" s="500">
        <f t="shared" si="119"/>
        <v>0.32608695652173914</v>
      </c>
      <c r="AZ135" s="497">
        <f t="shared" si="134"/>
        <v>120</v>
      </c>
      <c r="BA135" s="500">
        <f t="shared" si="120"/>
        <v>0.27173913043478259</v>
      </c>
      <c r="BB135" s="497">
        <f t="shared" si="135"/>
        <v>100</v>
      </c>
      <c r="BC135" s="492">
        <v>0</v>
      </c>
      <c r="BD135" s="493">
        <v>0.65</v>
      </c>
      <c r="BE135" s="501">
        <f t="shared" si="121"/>
        <v>239.20000000000002</v>
      </c>
      <c r="BF135" s="502">
        <f t="shared" si="136"/>
        <v>13.399999999999999</v>
      </c>
      <c r="BG135" s="492">
        <v>2</v>
      </c>
      <c r="BH135" s="492" t="s">
        <v>91</v>
      </c>
      <c r="BI135" s="500">
        <f t="shared" si="137"/>
        <v>0.54347826086956519</v>
      </c>
      <c r="BJ135" s="497">
        <f t="shared" si="138"/>
        <v>200</v>
      </c>
      <c r="BK135" s="502">
        <f t="shared" si="139"/>
        <v>1.6800000000000002</v>
      </c>
      <c r="BL135" s="493">
        <v>0.54</v>
      </c>
      <c r="BM135" s="497">
        <f t="shared" si="140"/>
        <v>198.72000000000003</v>
      </c>
      <c r="BN135" s="492">
        <v>5</v>
      </c>
      <c r="BO135" s="500">
        <f t="shared" si="122"/>
        <v>1</v>
      </c>
      <c r="BP135" s="502">
        <f t="shared" si="123"/>
        <v>0</v>
      </c>
      <c r="BQ135" s="568">
        <v>1</v>
      </c>
      <c r="BR135" s="580" t="s">
        <v>844</v>
      </c>
      <c r="BS135" s="594">
        <v>41794</v>
      </c>
      <c r="BT135" s="503">
        <f t="shared" si="90"/>
        <v>42159</v>
      </c>
      <c r="BU135" s="546">
        <v>55</v>
      </c>
      <c r="BV135" s="546">
        <v>6</v>
      </c>
      <c r="BW135" s="504">
        <f t="shared" si="91"/>
        <v>14</v>
      </c>
      <c r="BX135" s="505">
        <f t="shared" si="124"/>
        <v>0.79710144927536231</v>
      </c>
      <c r="BY135" s="497">
        <f t="shared" si="125"/>
        <v>293.33333333333331</v>
      </c>
      <c r="BZ135" s="595">
        <f t="shared" si="92"/>
        <v>4</v>
      </c>
      <c r="CA135" s="537"/>
      <c r="CB135" s="568">
        <v>1</v>
      </c>
      <c r="CC135" s="605">
        <f t="shared" si="141"/>
        <v>368</v>
      </c>
      <c r="CD135" s="537">
        <v>3</v>
      </c>
      <c r="CE135" s="506" t="str">
        <f t="shared" si="142"/>
        <v>Excellent coverage</v>
      </c>
      <c r="CF135" s="492">
        <v>0</v>
      </c>
      <c r="CG135" s="538" t="s">
        <v>65</v>
      </c>
      <c r="CH135" s="580"/>
    </row>
    <row r="136" spans="2:86" s="40" customFormat="1" ht="30" customHeight="1" x14ac:dyDescent="0.2">
      <c r="B136" s="527" t="s">
        <v>188</v>
      </c>
      <c r="C136" s="488" t="s">
        <v>642</v>
      </c>
      <c r="D136" s="117" t="s">
        <v>273</v>
      </c>
      <c r="E136" s="488" t="s">
        <v>718</v>
      </c>
      <c r="F136" s="117">
        <v>97.717133000000004</v>
      </c>
      <c r="G136" s="117">
        <v>24.200433</v>
      </c>
      <c r="H136" s="117" t="s">
        <v>509</v>
      </c>
      <c r="I136" s="117" t="s">
        <v>218</v>
      </c>
      <c r="J136" s="463">
        <v>75</v>
      </c>
      <c r="K136" s="463">
        <v>437</v>
      </c>
      <c r="L136" s="463">
        <v>437</v>
      </c>
      <c r="M136" s="490" t="str">
        <f t="shared" si="109"/>
        <v>2. Medium</v>
      </c>
      <c r="N136" s="528" t="s">
        <v>239</v>
      </c>
      <c r="O136" s="553" t="s">
        <v>238</v>
      </c>
      <c r="P136" s="545" t="str">
        <f t="shared" si="126"/>
        <v>Covered</v>
      </c>
      <c r="Q136" s="491">
        <v>42247</v>
      </c>
      <c r="R136" s="489"/>
      <c r="S136" s="491"/>
      <c r="T136" s="528" t="s">
        <v>260</v>
      </c>
      <c r="U136" s="533" t="str">
        <f t="shared" si="127"/>
        <v>Documented</v>
      </c>
      <c r="V136" s="537">
        <v>0</v>
      </c>
      <c r="W136" s="492">
        <v>0</v>
      </c>
      <c r="X136" s="538" t="s">
        <v>19</v>
      </c>
      <c r="Y136" s="537">
        <v>0</v>
      </c>
      <c r="Z136" s="492">
        <v>1</v>
      </c>
      <c r="AA136" s="538">
        <v>25340</v>
      </c>
      <c r="AB136" s="570">
        <v>0</v>
      </c>
      <c r="AC136" s="571">
        <v>0</v>
      </c>
      <c r="AD136" s="574">
        <f t="shared" si="110"/>
        <v>1</v>
      </c>
      <c r="AE136" s="495">
        <f t="shared" si="128"/>
        <v>437</v>
      </c>
      <c r="AF136" s="496">
        <f t="shared" si="111"/>
        <v>1</v>
      </c>
      <c r="AG136" s="497">
        <f t="shared" si="129"/>
        <v>437</v>
      </c>
      <c r="AH136" s="494">
        <f t="shared" si="112"/>
        <v>1</v>
      </c>
      <c r="AI136" s="497">
        <f t="shared" si="130"/>
        <v>437</v>
      </c>
      <c r="AJ136" s="498" t="str">
        <f t="shared" si="113"/>
        <v>80-100%</v>
      </c>
      <c r="AK136" s="494">
        <f t="shared" si="114"/>
        <v>0</v>
      </c>
      <c r="AL136" s="499">
        <f t="shared" si="115"/>
        <v>0</v>
      </c>
      <c r="AM136" s="497">
        <f t="shared" si="116"/>
        <v>9.2500000000000027E-2</v>
      </c>
      <c r="AN136" s="497">
        <f t="shared" si="117"/>
        <v>0</v>
      </c>
      <c r="AO136" s="497">
        <f t="shared" si="131"/>
        <v>0</v>
      </c>
      <c r="AP136" s="568">
        <v>1</v>
      </c>
      <c r="AQ136" s="577">
        <f t="shared" si="132"/>
        <v>437</v>
      </c>
      <c r="AR136" s="581"/>
      <c r="AS136" s="537">
        <v>15</v>
      </c>
      <c r="AT136" s="463">
        <v>0</v>
      </c>
      <c r="AU136" s="463">
        <v>12</v>
      </c>
      <c r="AV136" s="492" t="s">
        <v>299</v>
      </c>
      <c r="AW136" s="500">
        <f t="shared" si="118"/>
        <v>0.54919908466819223</v>
      </c>
      <c r="AX136" s="497">
        <f t="shared" si="133"/>
        <v>240</v>
      </c>
      <c r="AY136" s="500">
        <f t="shared" si="119"/>
        <v>0</v>
      </c>
      <c r="AZ136" s="497">
        <f t="shared" si="134"/>
        <v>0</v>
      </c>
      <c r="BA136" s="500">
        <f t="shared" si="120"/>
        <v>0.54919908466819223</v>
      </c>
      <c r="BB136" s="497">
        <f t="shared" si="135"/>
        <v>240</v>
      </c>
      <c r="BC136" s="492">
        <v>0</v>
      </c>
      <c r="BD136" s="493">
        <v>0.55000000000000004</v>
      </c>
      <c r="BE136" s="501">
        <f t="shared" si="121"/>
        <v>240.35000000000002</v>
      </c>
      <c r="BF136" s="502">
        <f t="shared" si="136"/>
        <v>9.8500000000000014</v>
      </c>
      <c r="BG136" s="492">
        <v>1</v>
      </c>
      <c r="BH136" s="492" t="s">
        <v>91</v>
      </c>
      <c r="BI136" s="500">
        <f t="shared" si="137"/>
        <v>0.2288329519450801</v>
      </c>
      <c r="BJ136" s="497">
        <f t="shared" si="138"/>
        <v>100</v>
      </c>
      <c r="BK136" s="502">
        <f t="shared" si="139"/>
        <v>3.37</v>
      </c>
      <c r="BL136" s="493">
        <v>0.23</v>
      </c>
      <c r="BM136" s="497">
        <f t="shared" si="140"/>
        <v>100.51</v>
      </c>
      <c r="BN136" s="492">
        <v>4</v>
      </c>
      <c r="BO136" s="500">
        <f t="shared" si="122"/>
        <v>0.91533180778032042</v>
      </c>
      <c r="BP136" s="502">
        <f t="shared" si="123"/>
        <v>0.37000000000000011</v>
      </c>
      <c r="BQ136" s="568">
        <v>0.92</v>
      </c>
      <c r="BR136" s="580"/>
      <c r="BS136" s="594">
        <v>41796</v>
      </c>
      <c r="BT136" s="503">
        <f t="shared" si="90"/>
        <v>42161</v>
      </c>
      <c r="BU136" s="546">
        <v>113</v>
      </c>
      <c r="BV136" s="546">
        <v>6</v>
      </c>
      <c r="BW136" s="504">
        <f t="shared" si="91"/>
        <v>0</v>
      </c>
      <c r="BX136" s="505">
        <f t="shared" si="124"/>
        <v>1</v>
      </c>
      <c r="BY136" s="497">
        <f t="shared" si="125"/>
        <v>437</v>
      </c>
      <c r="BZ136" s="595">
        <f t="shared" si="92"/>
        <v>4</v>
      </c>
      <c r="CA136" s="537"/>
      <c r="CB136" s="568">
        <v>1</v>
      </c>
      <c r="CC136" s="605">
        <f t="shared" si="141"/>
        <v>437</v>
      </c>
      <c r="CD136" s="537">
        <v>4</v>
      </c>
      <c r="CE136" s="506" t="str">
        <f t="shared" si="142"/>
        <v>Excellent coverage</v>
      </c>
      <c r="CF136" s="492">
        <v>0</v>
      </c>
      <c r="CG136" s="538" t="s">
        <v>65</v>
      </c>
      <c r="CH136" s="580"/>
    </row>
    <row r="137" spans="2:86" s="40" customFormat="1" ht="30" customHeight="1" x14ac:dyDescent="0.2">
      <c r="B137" s="527" t="s">
        <v>188</v>
      </c>
      <c r="C137" s="488" t="s">
        <v>642</v>
      </c>
      <c r="D137" s="117" t="s">
        <v>273</v>
      </c>
      <c r="E137" s="488" t="s">
        <v>719</v>
      </c>
      <c r="F137" s="117">
        <v>97.715400000000002</v>
      </c>
      <c r="G137" s="117">
        <v>24.20083</v>
      </c>
      <c r="H137" s="117" t="s">
        <v>509</v>
      </c>
      <c r="I137" s="117" t="s">
        <v>218</v>
      </c>
      <c r="J137" s="463">
        <v>35</v>
      </c>
      <c r="K137" s="463">
        <v>202</v>
      </c>
      <c r="L137" s="463">
        <v>202</v>
      </c>
      <c r="M137" s="490" t="str">
        <f t="shared" si="109"/>
        <v>1. Small</v>
      </c>
      <c r="N137" s="528" t="s">
        <v>239</v>
      </c>
      <c r="O137" s="553" t="s">
        <v>238</v>
      </c>
      <c r="P137" s="545" t="str">
        <f t="shared" si="126"/>
        <v>Covered</v>
      </c>
      <c r="Q137" s="491">
        <v>42247</v>
      </c>
      <c r="R137" s="489"/>
      <c r="S137" s="491"/>
      <c r="T137" s="528" t="s">
        <v>260</v>
      </c>
      <c r="U137" s="533" t="str">
        <f t="shared" si="127"/>
        <v>Documented</v>
      </c>
      <c r="V137" s="537">
        <v>0</v>
      </c>
      <c r="W137" s="492">
        <v>0</v>
      </c>
      <c r="X137" s="538" t="s">
        <v>19</v>
      </c>
      <c r="Y137" s="537">
        <v>0</v>
      </c>
      <c r="Z137" s="492">
        <v>1</v>
      </c>
      <c r="AA137" s="538">
        <v>1000</v>
      </c>
      <c r="AB137" s="570">
        <v>0</v>
      </c>
      <c r="AC137" s="571">
        <v>0</v>
      </c>
      <c r="AD137" s="574">
        <f t="shared" si="110"/>
        <v>1</v>
      </c>
      <c r="AE137" s="495">
        <f t="shared" si="128"/>
        <v>202</v>
      </c>
      <c r="AF137" s="496">
        <f t="shared" si="111"/>
        <v>1</v>
      </c>
      <c r="AG137" s="497">
        <f t="shared" si="129"/>
        <v>202</v>
      </c>
      <c r="AH137" s="494">
        <f t="shared" si="112"/>
        <v>1</v>
      </c>
      <c r="AI137" s="497">
        <f t="shared" si="130"/>
        <v>202</v>
      </c>
      <c r="AJ137" s="498" t="str">
        <f t="shared" si="113"/>
        <v>80-100%</v>
      </c>
      <c r="AK137" s="494">
        <f t="shared" si="114"/>
        <v>0</v>
      </c>
      <c r="AL137" s="499">
        <f t="shared" si="115"/>
        <v>0</v>
      </c>
      <c r="AM137" s="497">
        <f t="shared" si="116"/>
        <v>0</v>
      </c>
      <c r="AN137" s="497">
        <f t="shared" si="117"/>
        <v>0</v>
      </c>
      <c r="AO137" s="497">
        <f t="shared" si="131"/>
        <v>0</v>
      </c>
      <c r="AP137" s="568">
        <v>1</v>
      </c>
      <c r="AQ137" s="577">
        <f t="shared" si="132"/>
        <v>202</v>
      </c>
      <c r="AR137" s="581"/>
      <c r="AS137" s="537">
        <v>0</v>
      </c>
      <c r="AT137" s="463">
        <v>2</v>
      </c>
      <c r="AU137" s="463">
        <v>10</v>
      </c>
      <c r="AV137" s="492" t="s">
        <v>299</v>
      </c>
      <c r="AW137" s="500">
        <f t="shared" si="118"/>
        <v>1</v>
      </c>
      <c r="AX137" s="497">
        <f t="shared" si="133"/>
        <v>202</v>
      </c>
      <c r="AY137" s="500">
        <f t="shared" si="119"/>
        <v>9.9009900990099098E-3</v>
      </c>
      <c r="AZ137" s="497">
        <f t="shared" si="134"/>
        <v>2.0000000000000018</v>
      </c>
      <c r="BA137" s="500">
        <f t="shared" si="120"/>
        <v>0.99009900990099009</v>
      </c>
      <c r="BB137" s="497">
        <f t="shared" si="135"/>
        <v>200</v>
      </c>
      <c r="BC137" s="492">
        <v>0</v>
      </c>
      <c r="BD137" s="493">
        <v>1</v>
      </c>
      <c r="BE137" s="501">
        <f t="shared" si="121"/>
        <v>202</v>
      </c>
      <c r="BF137" s="502">
        <f t="shared" si="136"/>
        <v>9.9999999999999645E-2</v>
      </c>
      <c r="BG137" s="492">
        <v>1</v>
      </c>
      <c r="BH137" s="492" t="s">
        <v>91</v>
      </c>
      <c r="BI137" s="500">
        <f t="shared" si="137"/>
        <v>0.49504950495049505</v>
      </c>
      <c r="BJ137" s="497">
        <f t="shared" si="138"/>
        <v>100</v>
      </c>
      <c r="BK137" s="502">
        <f t="shared" si="139"/>
        <v>1.02</v>
      </c>
      <c r="BL137" s="493">
        <v>0.5</v>
      </c>
      <c r="BM137" s="497">
        <f t="shared" si="140"/>
        <v>101</v>
      </c>
      <c r="BN137" s="492">
        <v>4</v>
      </c>
      <c r="BO137" s="500">
        <f t="shared" si="122"/>
        <v>1</v>
      </c>
      <c r="BP137" s="502">
        <f t="shared" si="123"/>
        <v>0</v>
      </c>
      <c r="BQ137" s="568">
        <v>1</v>
      </c>
      <c r="BR137" s="580"/>
      <c r="BS137" s="594">
        <v>41796</v>
      </c>
      <c r="BT137" s="503">
        <f t="shared" si="90"/>
        <v>42161</v>
      </c>
      <c r="BU137" s="546">
        <v>35</v>
      </c>
      <c r="BV137" s="546">
        <v>6</v>
      </c>
      <c r="BW137" s="504">
        <f t="shared" si="91"/>
        <v>0</v>
      </c>
      <c r="BX137" s="505">
        <f t="shared" si="124"/>
        <v>1</v>
      </c>
      <c r="BY137" s="497">
        <f t="shared" si="125"/>
        <v>202</v>
      </c>
      <c r="BZ137" s="595">
        <f t="shared" si="92"/>
        <v>4</v>
      </c>
      <c r="CA137" s="537"/>
      <c r="CB137" s="568">
        <v>1</v>
      </c>
      <c r="CC137" s="605">
        <f t="shared" si="141"/>
        <v>202</v>
      </c>
      <c r="CD137" s="537">
        <v>1</v>
      </c>
      <c r="CE137" s="506" t="str">
        <f t="shared" si="142"/>
        <v>Excellent coverage</v>
      </c>
      <c r="CF137" s="492">
        <v>0</v>
      </c>
      <c r="CG137" s="538" t="s">
        <v>65</v>
      </c>
      <c r="CH137" s="580"/>
    </row>
    <row r="138" spans="2:86" s="40" customFormat="1" ht="30" customHeight="1" x14ac:dyDescent="0.2">
      <c r="B138" s="527" t="s">
        <v>188</v>
      </c>
      <c r="C138" s="488" t="s">
        <v>642</v>
      </c>
      <c r="D138" s="117" t="s">
        <v>273</v>
      </c>
      <c r="E138" s="488" t="s">
        <v>720</v>
      </c>
      <c r="F138" s="117">
        <v>97.716260000000005</v>
      </c>
      <c r="G138" s="117">
        <v>24.20411</v>
      </c>
      <c r="H138" s="117" t="s">
        <v>509</v>
      </c>
      <c r="I138" s="117" t="s">
        <v>218</v>
      </c>
      <c r="J138" s="463">
        <v>22</v>
      </c>
      <c r="K138" s="463">
        <v>82</v>
      </c>
      <c r="L138" s="463">
        <v>82</v>
      </c>
      <c r="M138" s="490" t="str">
        <f t="shared" si="109"/>
        <v>1. Small</v>
      </c>
      <c r="N138" s="528" t="s">
        <v>239</v>
      </c>
      <c r="O138" s="553" t="s">
        <v>238</v>
      </c>
      <c r="P138" s="545" t="str">
        <f t="shared" si="126"/>
        <v>Covered</v>
      </c>
      <c r="Q138" s="491">
        <v>42247</v>
      </c>
      <c r="R138" s="489"/>
      <c r="S138" s="491"/>
      <c r="T138" s="528" t="s">
        <v>260</v>
      </c>
      <c r="U138" s="533" t="str">
        <f t="shared" si="127"/>
        <v>Documented</v>
      </c>
      <c r="V138" s="537">
        <v>0</v>
      </c>
      <c r="W138" s="492">
        <v>0</v>
      </c>
      <c r="X138" s="538" t="s">
        <v>19</v>
      </c>
      <c r="Y138" s="537">
        <v>0</v>
      </c>
      <c r="Z138" s="492">
        <v>1</v>
      </c>
      <c r="AA138" s="538">
        <v>2000</v>
      </c>
      <c r="AB138" s="570">
        <v>0</v>
      </c>
      <c r="AC138" s="571">
        <v>0</v>
      </c>
      <c r="AD138" s="574">
        <f t="shared" si="110"/>
        <v>1</v>
      </c>
      <c r="AE138" s="495">
        <f t="shared" si="128"/>
        <v>82</v>
      </c>
      <c r="AF138" s="496">
        <f t="shared" si="111"/>
        <v>1</v>
      </c>
      <c r="AG138" s="497">
        <f t="shared" si="129"/>
        <v>82</v>
      </c>
      <c r="AH138" s="494">
        <f t="shared" si="112"/>
        <v>1</v>
      </c>
      <c r="AI138" s="497">
        <f t="shared" si="130"/>
        <v>82</v>
      </c>
      <c r="AJ138" s="498" t="str">
        <f t="shared" si="113"/>
        <v>80-100%</v>
      </c>
      <c r="AK138" s="494">
        <f t="shared" si="114"/>
        <v>0</v>
      </c>
      <c r="AL138" s="499">
        <f t="shared" si="115"/>
        <v>0</v>
      </c>
      <c r="AM138" s="497">
        <f t="shared" si="116"/>
        <v>0</v>
      </c>
      <c r="AN138" s="497">
        <f t="shared" si="117"/>
        <v>0</v>
      </c>
      <c r="AO138" s="497">
        <f t="shared" si="131"/>
        <v>0</v>
      </c>
      <c r="AP138" s="568">
        <v>1</v>
      </c>
      <c r="AQ138" s="577">
        <f t="shared" si="132"/>
        <v>82</v>
      </c>
      <c r="AR138" s="581"/>
      <c r="AS138" s="537">
        <v>0</v>
      </c>
      <c r="AT138" s="463">
        <v>2</v>
      </c>
      <c r="AU138" s="463">
        <v>3</v>
      </c>
      <c r="AV138" s="492" t="s">
        <v>299</v>
      </c>
      <c r="AW138" s="500">
        <f t="shared" si="118"/>
        <v>1</v>
      </c>
      <c r="AX138" s="497">
        <f t="shared" si="133"/>
        <v>82</v>
      </c>
      <c r="AY138" s="500">
        <f t="shared" si="119"/>
        <v>0.26829268292682928</v>
      </c>
      <c r="AZ138" s="497">
        <f t="shared" si="134"/>
        <v>22</v>
      </c>
      <c r="BA138" s="500">
        <f t="shared" si="120"/>
        <v>0.73170731707317072</v>
      </c>
      <c r="BB138" s="497">
        <f t="shared" si="135"/>
        <v>60</v>
      </c>
      <c r="BC138" s="492">
        <v>0</v>
      </c>
      <c r="BD138" s="493">
        <v>1</v>
      </c>
      <c r="BE138" s="501">
        <f t="shared" si="121"/>
        <v>82</v>
      </c>
      <c r="BF138" s="502">
        <f t="shared" si="136"/>
        <v>1.0999999999999996</v>
      </c>
      <c r="BG138" s="492">
        <v>1</v>
      </c>
      <c r="BH138" s="492" t="s">
        <v>91</v>
      </c>
      <c r="BI138" s="500">
        <f t="shared" si="137"/>
        <v>1</v>
      </c>
      <c r="BJ138" s="497">
        <f t="shared" si="138"/>
        <v>82</v>
      </c>
      <c r="BK138" s="502">
        <f t="shared" si="139"/>
        <v>0</v>
      </c>
      <c r="BL138" s="493">
        <v>1</v>
      </c>
      <c r="BM138" s="497">
        <f t="shared" si="140"/>
        <v>82</v>
      </c>
      <c r="BN138" s="492">
        <v>1</v>
      </c>
      <c r="BO138" s="500">
        <f t="shared" si="122"/>
        <v>1</v>
      </c>
      <c r="BP138" s="502">
        <f t="shared" si="123"/>
        <v>0</v>
      </c>
      <c r="BQ138" s="568">
        <v>1</v>
      </c>
      <c r="BR138" s="580" t="s">
        <v>845</v>
      </c>
      <c r="BS138" s="594">
        <v>41796</v>
      </c>
      <c r="BT138" s="503">
        <f t="shared" si="90"/>
        <v>42161</v>
      </c>
      <c r="BU138" s="546">
        <v>22</v>
      </c>
      <c r="BV138" s="546">
        <v>6</v>
      </c>
      <c r="BW138" s="504">
        <f t="shared" si="91"/>
        <v>0</v>
      </c>
      <c r="BX138" s="505">
        <f t="shared" si="124"/>
        <v>1</v>
      </c>
      <c r="BY138" s="497">
        <f t="shared" si="125"/>
        <v>82</v>
      </c>
      <c r="BZ138" s="595">
        <f t="shared" si="92"/>
        <v>4</v>
      </c>
      <c r="CA138" s="537"/>
      <c r="CB138" s="568">
        <v>1</v>
      </c>
      <c r="CC138" s="605">
        <f t="shared" si="141"/>
        <v>82</v>
      </c>
      <c r="CD138" s="537">
        <v>1</v>
      </c>
      <c r="CE138" s="506" t="str">
        <f t="shared" si="142"/>
        <v>Excellent coverage</v>
      </c>
      <c r="CF138" s="492">
        <v>0</v>
      </c>
      <c r="CG138" s="538" t="s">
        <v>65</v>
      </c>
      <c r="CH138" s="580"/>
    </row>
    <row r="139" spans="2:86" s="40" customFormat="1" ht="30" customHeight="1" x14ac:dyDescent="0.2">
      <c r="B139" s="527" t="s">
        <v>188</v>
      </c>
      <c r="C139" s="488" t="s">
        <v>642</v>
      </c>
      <c r="D139" s="117" t="s">
        <v>273</v>
      </c>
      <c r="E139" s="488" t="s">
        <v>888</v>
      </c>
      <c r="F139" s="117" t="s">
        <v>543</v>
      </c>
      <c r="G139" s="117" t="s">
        <v>543</v>
      </c>
      <c r="H139" s="117" t="s">
        <v>509</v>
      </c>
      <c r="I139" s="117" t="s">
        <v>218</v>
      </c>
      <c r="J139" s="463">
        <v>47</v>
      </c>
      <c r="K139" s="463">
        <v>237</v>
      </c>
      <c r="L139" s="463">
        <v>237</v>
      </c>
      <c r="M139" s="490" t="str">
        <f t="shared" si="109"/>
        <v>1. Small</v>
      </c>
      <c r="N139" s="544" t="s">
        <v>239</v>
      </c>
      <c r="O139" s="554" t="s">
        <v>238</v>
      </c>
      <c r="P139" s="545" t="str">
        <f t="shared" si="126"/>
        <v>Covered</v>
      </c>
      <c r="Q139" s="461">
        <v>42247</v>
      </c>
      <c r="R139" s="117"/>
      <c r="S139" s="462"/>
      <c r="T139" s="529" t="s">
        <v>260</v>
      </c>
      <c r="U139" s="533" t="str">
        <f t="shared" si="127"/>
        <v>Documented</v>
      </c>
      <c r="V139" s="539">
        <v>0</v>
      </c>
      <c r="W139" s="463">
        <v>0</v>
      </c>
      <c r="X139" s="561" t="s">
        <v>19</v>
      </c>
      <c r="Y139" s="539">
        <v>0</v>
      </c>
      <c r="Z139" s="463">
        <v>1</v>
      </c>
      <c r="AA139" s="561">
        <v>2000</v>
      </c>
      <c r="AB139" s="569">
        <v>0</v>
      </c>
      <c r="AC139" s="542">
        <v>0</v>
      </c>
      <c r="AD139" s="574">
        <f t="shared" si="110"/>
        <v>1</v>
      </c>
      <c r="AE139" s="495">
        <f t="shared" si="128"/>
        <v>237</v>
      </c>
      <c r="AF139" s="496">
        <f t="shared" si="111"/>
        <v>1</v>
      </c>
      <c r="AG139" s="497">
        <f t="shared" si="129"/>
        <v>237</v>
      </c>
      <c r="AH139" s="494">
        <f t="shared" si="112"/>
        <v>1</v>
      </c>
      <c r="AI139" s="497">
        <f t="shared" si="130"/>
        <v>237</v>
      </c>
      <c r="AJ139" s="498" t="str">
        <f t="shared" si="113"/>
        <v>80-100%</v>
      </c>
      <c r="AK139" s="494">
        <f t="shared" si="114"/>
        <v>0</v>
      </c>
      <c r="AL139" s="499">
        <f t="shared" si="115"/>
        <v>0</v>
      </c>
      <c r="AM139" s="497">
        <f t="shared" si="116"/>
        <v>0</v>
      </c>
      <c r="AN139" s="497">
        <f t="shared" si="117"/>
        <v>0</v>
      </c>
      <c r="AO139" s="497">
        <f t="shared" si="131"/>
        <v>0</v>
      </c>
      <c r="AP139" s="542">
        <v>1</v>
      </c>
      <c r="AQ139" s="577">
        <f t="shared" si="132"/>
        <v>237</v>
      </c>
      <c r="AR139" s="581"/>
      <c r="AS139" s="539">
        <v>0</v>
      </c>
      <c r="AT139" s="463">
        <v>0</v>
      </c>
      <c r="AU139" s="463">
        <v>10</v>
      </c>
      <c r="AV139" s="492" t="s">
        <v>91</v>
      </c>
      <c r="AW139" s="500">
        <f t="shared" si="118"/>
        <v>0.84388185654008441</v>
      </c>
      <c r="AX139" s="497">
        <f t="shared" si="133"/>
        <v>200</v>
      </c>
      <c r="AY139" s="500">
        <f t="shared" si="119"/>
        <v>0</v>
      </c>
      <c r="AZ139" s="497">
        <f t="shared" si="134"/>
        <v>0</v>
      </c>
      <c r="BA139" s="500">
        <f t="shared" si="120"/>
        <v>0.84388185654008441</v>
      </c>
      <c r="BB139" s="497">
        <f t="shared" si="135"/>
        <v>200</v>
      </c>
      <c r="BC139" s="465"/>
      <c r="BD139" s="464">
        <v>0.84</v>
      </c>
      <c r="BE139" s="501">
        <f t="shared" si="121"/>
        <v>199.07999999999998</v>
      </c>
      <c r="BF139" s="502">
        <f t="shared" si="136"/>
        <v>1.8499999999999996</v>
      </c>
      <c r="BG139" s="466">
        <v>2</v>
      </c>
      <c r="BH139" s="463"/>
      <c r="BI139" s="500">
        <f t="shared" si="137"/>
        <v>0.84388185654008441</v>
      </c>
      <c r="BJ139" s="497">
        <f t="shared" si="138"/>
        <v>200</v>
      </c>
      <c r="BK139" s="502">
        <f t="shared" si="139"/>
        <v>0.37000000000000011</v>
      </c>
      <c r="BL139" s="467">
        <v>0.84</v>
      </c>
      <c r="BM139" s="497">
        <f t="shared" si="140"/>
        <v>199.07999999999998</v>
      </c>
      <c r="BN139" s="463">
        <v>2</v>
      </c>
      <c r="BO139" s="500">
        <f t="shared" si="122"/>
        <v>0.84388185654008441</v>
      </c>
      <c r="BP139" s="502">
        <f t="shared" si="123"/>
        <v>0.37000000000000011</v>
      </c>
      <c r="BQ139" s="586">
        <v>0.84</v>
      </c>
      <c r="BR139" s="582"/>
      <c r="BS139" s="596">
        <v>41796</v>
      </c>
      <c r="BT139" s="503">
        <f t="shared" si="90"/>
        <v>42161</v>
      </c>
      <c r="BU139" s="465">
        <v>47</v>
      </c>
      <c r="BV139" s="465">
        <v>6</v>
      </c>
      <c r="BW139" s="504">
        <f t="shared" si="91"/>
        <v>0</v>
      </c>
      <c r="BX139" s="505">
        <f t="shared" si="124"/>
        <v>1</v>
      </c>
      <c r="BY139" s="497">
        <f t="shared" si="125"/>
        <v>237</v>
      </c>
      <c r="BZ139" s="595">
        <f t="shared" si="92"/>
        <v>4</v>
      </c>
      <c r="CA139" s="601"/>
      <c r="CB139" s="542">
        <v>1</v>
      </c>
      <c r="CC139" s="605">
        <f t="shared" si="141"/>
        <v>237</v>
      </c>
      <c r="CD139" s="602">
        <v>1</v>
      </c>
      <c r="CE139" s="506" t="str">
        <f t="shared" si="142"/>
        <v>Excellent coverage</v>
      </c>
      <c r="CF139" s="492">
        <v>0</v>
      </c>
      <c r="CG139" s="607" t="s">
        <v>65</v>
      </c>
      <c r="CH139" s="610"/>
    </row>
    <row r="140" spans="2:86" s="40" customFormat="1" ht="30" customHeight="1" x14ac:dyDescent="0.2">
      <c r="B140" s="527" t="s">
        <v>188</v>
      </c>
      <c r="C140" s="488" t="s">
        <v>792</v>
      </c>
      <c r="D140" s="117" t="s">
        <v>273</v>
      </c>
      <c r="E140" s="488" t="s">
        <v>328</v>
      </c>
      <c r="F140" s="117">
        <v>97.724483000000006</v>
      </c>
      <c r="G140" s="117">
        <v>24.205417000000001</v>
      </c>
      <c r="H140" s="117" t="s">
        <v>509</v>
      </c>
      <c r="I140" s="117" t="s">
        <v>218</v>
      </c>
      <c r="J140" s="463">
        <v>50</v>
      </c>
      <c r="K140" s="463">
        <v>295</v>
      </c>
      <c r="L140" s="546">
        <v>295</v>
      </c>
      <c r="M140" s="490" t="str">
        <f t="shared" si="109"/>
        <v>1. Small</v>
      </c>
      <c r="N140" s="528" t="s">
        <v>239</v>
      </c>
      <c r="O140" s="553" t="s">
        <v>238</v>
      </c>
      <c r="P140" s="545" t="str">
        <f t="shared" si="126"/>
        <v>Covered</v>
      </c>
      <c r="Q140" s="491">
        <v>42247</v>
      </c>
      <c r="R140" s="489"/>
      <c r="S140" s="491"/>
      <c r="T140" s="528" t="s">
        <v>260</v>
      </c>
      <c r="U140" s="533" t="str">
        <f t="shared" si="127"/>
        <v>Documented</v>
      </c>
      <c r="V140" s="537">
        <v>0</v>
      </c>
      <c r="W140" s="492">
        <v>0</v>
      </c>
      <c r="X140" s="538" t="s">
        <v>19</v>
      </c>
      <c r="Y140" s="537">
        <v>1</v>
      </c>
      <c r="Z140" s="492">
        <v>1</v>
      </c>
      <c r="AA140" s="538">
        <v>11790</v>
      </c>
      <c r="AB140" s="570">
        <v>0</v>
      </c>
      <c r="AC140" s="571">
        <v>0</v>
      </c>
      <c r="AD140" s="574">
        <f t="shared" si="110"/>
        <v>1</v>
      </c>
      <c r="AE140" s="495">
        <f t="shared" si="128"/>
        <v>295</v>
      </c>
      <c r="AF140" s="496">
        <f t="shared" si="111"/>
        <v>1</v>
      </c>
      <c r="AG140" s="497">
        <f t="shared" si="129"/>
        <v>295</v>
      </c>
      <c r="AH140" s="494">
        <f t="shared" si="112"/>
        <v>1</v>
      </c>
      <c r="AI140" s="497">
        <f t="shared" si="130"/>
        <v>295</v>
      </c>
      <c r="AJ140" s="498" t="str">
        <f t="shared" si="113"/>
        <v>80-100%</v>
      </c>
      <c r="AK140" s="494">
        <f t="shared" si="114"/>
        <v>0</v>
      </c>
      <c r="AL140" s="499">
        <f t="shared" si="115"/>
        <v>0</v>
      </c>
      <c r="AM140" s="497">
        <f t="shared" si="116"/>
        <v>0</v>
      </c>
      <c r="AN140" s="497">
        <f t="shared" si="117"/>
        <v>0</v>
      </c>
      <c r="AO140" s="497">
        <f t="shared" si="131"/>
        <v>0</v>
      </c>
      <c r="AP140" s="568">
        <v>1</v>
      </c>
      <c r="AQ140" s="577">
        <f t="shared" si="132"/>
        <v>295</v>
      </c>
      <c r="AR140" s="581"/>
      <c r="AS140" s="537">
        <v>21</v>
      </c>
      <c r="AT140" s="463">
        <v>12</v>
      </c>
      <c r="AU140" s="463">
        <v>4</v>
      </c>
      <c r="AV140" s="492" t="s">
        <v>299</v>
      </c>
      <c r="AW140" s="500">
        <f t="shared" si="118"/>
        <v>1</v>
      </c>
      <c r="AX140" s="497">
        <f t="shared" si="133"/>
        <v>295</v>
      </c>
      <c r="AY140" s="500">
        <f t="shared" si="119"/>
        <v>0.72881355932203395</v>
      </c>
      <c r="AZ140" s="497">
        <f t="shared" si="134"/>
        <v>215.00000000000003</v>
      </c>
      <c r="BA140" s="500">
        <f t="shared" si="120"/>
        <v>0.2711864406779661</v>
      </c>
      <c r="BB140" s="497">
        <f t="shared" si="135"/>
        <v>80</v>
      </c>
      <c r="BC140" s="492">
        <v>0</v>
      </c>
      <c r="BD140" s="493">
        <v>1</v>
      </c>
      <c r="BE140" s="501">
        <f t="shared" si="121"/>
        <v>295</v>
      </c>
      <c r="BF140" s="502">
        <f t="shared" si="136"/>
        <v>10.75</v>
      </c>
      <c r="BG140" s="492">
        <v>3</v>
      </c>
      <c r="BH140" s="492" t="s">
        <v>300</v>
      </c>
      <c r="BI140" s="500">
        <f t="shared" si="137"/>
        <v>1</v>
      </c>
      <c r="BJ140" s="497">
        <f t="shared" si="138"/>
        <v>295</v>
      </c>
      <c r="BK140" s="502">
        <f t="shared" si="139"/>
        <v>0</v>
      </c>
      <c r="BL140" s="493">
        <v>1</v>
      </c>
      <c r="BM140" s="497">
        <f t="shared" si="140"/>
        <v>295</v>
      </c>
      <c r="BN140" s="492">
        <v>4</v>
      </c>
      <c r="BO140" s="500">
        <f t="shared" si="122"/>
        <v>1</v>
      </c>
      <c r="BP140" s="502">
        <f t="shared" si="123"/>
        <v>0</v>
      </c>
      <c r="BQ140" s="568">
        <v>1</v>
      </c>
      <c r="BR140" s="580" t="s">
        <v>846</v>
      </c>
      <c r="BS140" s="594">
        <v>41795</v>
      </c>
      <c r="BT140" s="503">
        <f t="shared" si="90"/>
        <v>42160</v>
      </c>
      <c r="BU140" s="546">
        <v>48</v>
      </c>
      <c r="BV140" s="546">
        <v>6</v>
      </c>
      <c r="BW140" s="504">
        <f t="shared" si="91"/>
        <v>2</v>
      </c>
      <c r="BX140" s="505">
        <f t="shared" si="124"/>
        <v>0.96</v>
      </c>
      <c r="BY140" s="497">
        <f t="shared" si="125"/>
        <v>283.2</v>
      </c>
      <c r="BZ140" s="595">
        <f t="shared" si="92"/>
        <v>4</v>
      </c>
      <c r="CA140" s="537"/>
      <c r="CB140" s="568">
        <v>1</v>
      </c>
      <c r="CC140" s="605">
        <f t="shared" si="141"/>
        <v>295</v>
      </c>
      <c r="CD140" s="537">
        <v>2</v>
      </c>
      <c r="CE140" s="506" t="str">
        <f t="shared" si="142"/>
        <v>Excellent coverage</v>
      </c>
      <c r="CF140" s="492">
        <v>0</v>
      </c>
      <c r="CG140" s="538" t="s">
        <v>65</v>
      </c>
      <c r="CH140" s="580"/>
    </row>
    <row r="141" spans="2:86" s="40" customFormat="1" ht="30" customHeight="1" x14ac:dyDescent="0.2">
      <c r="B141" s="527" t="s">
        <v>188</v>
      </c>
      <c r="C141" s="488" t="s">
        <v>641</v>
      </c>
      <c r="D141" s="117" t="s">
        <v>273</v>
      </c>
      <c r="E141" s="488" t="s">
        <v>553</v>
      </c>
      <c r="F141" s="117">
        <v>97.724000000000004</v>
      </c>
      <c r="G141" s="117">
        <v>24.204999999999998</v>
      </c>
      <c r="H141" s="117" t="s">
        <v>510</v>
      </c>
      <c r="I141" s="117" t="s">
        <v>218</v>
      </c>
      <c r="J141" s="546">
        <v>40</v>
      </c>
      <c r="K141" s="546">
        <v>136</v>
      </c>
      <c r="L141" s="546">
        <v>136</v>
      </c>
      <c r="M141" s="490" t="str">
        <f t="shared" si="109"/>
        <v>1. Small</v>
      </c>
      <c r="N141" s="528" t="s">
        <v>235</v>
      </c>
      <c r="O141" s="553" t="s">
        <v>238</v>
      </c>
      <c r="P141" s="545" t="str">
        <f t="shared" si="126"/>
        <v>Covered</v>
      </c>
      <c r="Q141" s="491">
        <v>42247</v>
      </c>
      <c r="R141" s="489"/>
      <c r="S141" s="491"/>
      <c r="T141" s="528" t="s">
        <v>260</v>
      </c>
      <c r="U141" s="533" t="str">
        <f t="shared" si="127"/>
        <v>Documented</v>
      </c>
      <c r="V141" s="537">
        <v>0</v>
      </c>
      <c r="W141" s="492">
        <v>0</v>
      </c>
      <c r="X141" s="538" t="s">
        <v>19</v>
      </c>
      <c r="Y141" s="537">
        <v>2</v>
      </c>
      <c r="Z141" s="492">
        <v>1</v>
      </c>
      <c r="AA141" s="538">
        <v>2720</v>
      </c>
      <c r="AB141" s="570">
        <v>0</v>
      </c>
      <c r="AC141" s="571">
        <v>0</v>
      </c>
      <c r="AD141" s="574">
        <f t="shared" si="110"/>
        <v>1</v>
      </c>
      <c r="AE141" s="495">
        <f t="shared" si="128"/>
        <v>136</v>
      </c>
      <c r="AF141" s="496">
        <f t="shared" si="111"/>
        <v>1</v>
      </c>
      <c r="AG141" s="497">
        <f t="shared" si="129"/>
        <v>136</v>
      </c>
      <c r="AH141" s="494">
        <f t="shared" si="112"/>
        <v>1</v>
      </c>
      <c r="AI141" s="497">
        <f t="shared" si="130"/>
        <v>136</v>
      </c>
      <c r="AJ141" s="498" t="str">
        <f t="shared" si="113"/>
        <v>80-100%</v>
      </c>
      <c r="AK141" s="494">
        <f t="shared" si="114"/>
        <v>0</v>
      </c>
      <c r="AL141" s="499">
        <f t="shared" si="115"/>
        <v>0</v>
      </c>
      <c r="AM141" s="497">
        <f t="shared" si="116"/>
        <v>0</v>
      </c>
      <c r="AN141" s="497">
        <f t="shared" si="117"/>
        <v>0</v>
      </c>
      <c r="AO141" s="497">
        <f t="shared" si="131"/>
        <v>0</v>
      </c>
      <c r="AP141" s="568">
        <v>1</v>
      </c>
      <c r="AQ141" s="577">
        <f t="shared" si="132"/>
        <v>136</v>
      </c>
      <c r="AR141" s="581"/>
      <c r="AS141" s="537">
        <v>9</v>
      </c>
      <c r="AT141" s="492">
        <v>9</v>
      </c>
      <c r="AU141" s="492">
        <v>0</v>
      </c>
      <c r="AV141" s="492" t="s">
        <v>91</v>
      </c>
      <c r="AW141" s="500">
        <f t="shared" si="118"/>
        <v>1</v>
      </c>
      <c r="AX141" s="497">
        <f t="shared" si="133"/>
        <v>136</v>
      </c>
      <c r="AY141" s="500">
        <f t="shared" si="119"/>
        <v>1</v>
      </c>
      <c r="AZ141" s="497">
        <f t="shared" si="134"/>
        <v>136</v>
      </c>
      <c r="BA141" s="500">
        <f t="shared" si="120"/>
        <v>0</v>
      </c>
      <c r="BB141" s="497">
        <f t="shared" si="135"/>
        <v>0</v>
      </c>
      <c r="BC141" s="492">
        <v>0</v>
      </c>
      <c r="BD141" s="493">
        <v>1</v>
      </c>
      <c r="BE141" s="501">
        <f t="shared" si="121"/>
        <v>136</v>
      </c>
      <c r="BF141" s="502">
        <f t="shared" si="136"/>
        <v>6.8</v>
      </c>
      <c r="BG141" s="492">
        <v>1</v>
      </c>
      <c r="BH141" s="492" t="s">
        <v>91</v>
      </c>
      <c r="BI141" s="500">
        <f t="shared" si="137"/>
        <v>0.73529411764705888</v>
      </c>
      <c r="BJ141" s="497">
        <f t="shared" si="138"/>
        <v>100</v>
      </c>
      <c r="BK141" s="502">
        <f t="shared" si="139"/>
        <v>0.3600000000000001</v>
      </c>
      <c r="BL141" s="493">
        <v>0.74</v>
      </c>
      <c r="BM141" s="497">
        <f t="shared" si="140"/>
        <v>100.64</v>
      </c>
      <c r="BN141" s="492">
        <v>0</v>
      </c>
      <c r="BO141" s="500">
        <f t="shared" si="122"/>
        <v>0</v>
      </c>
      <c r="BP141" s="502">
        <f t="shared" si="123"/>
        <v>1.36</v>
      </c>
      <c r="BQ141" s="568">
        <v>0</v>
      </c>
      <c r="BR141" s="580"/>
      <c r="BS141" s="594">
        <v>41584</v>
      </c>
      <c r="BT141" s="503" t="str">
        <f t="shared" si="90"/>
        <v>To be realised</v>
      </c>
      <c r="BU141" s="546">
        <v>5</v>
      </c>
      <c r="BV141" s="546">
        <v>3</v>
      </c>
      <c r="BW141" s="504">
        <f t="shared" si="91"/>
        <v>40</v>
      </c>
      <c r="BX141" s="505">
        <f t="shared" si="124"/>
        <v>0</v>
      </c>
      <c r="BY141" s="497">
        <f t="shared" si="125"/>
        <v>0</v>
      </c>
      <c r="BZ141" s="595">
        <f t="shared" si="92"/>
        <v>14</v>
      </c>
      <c r="CA141" s="537"/>
      <c r="CB141" s="568">
        <v>0</v>
      </c>
      <c r="CC141" s="605">
        <f t="shared" si="141"/>
        <v>0</v>
      </c>
      <c r="CD141" s="537">
        <v>0</v>
      </c>
      <c r="CE141" s="506" t="str">
        <f t="shared" si="142"/>
        <v>No coverage</v>
      </c>
      <c r="CF141" s="492">
        <v>0</v>
      </c>
      <c r="CG141" s="538" t="s">
        <v>66</v>
      </c>
      <c r="CH141" s="580"/>
    </row>
    <row r="142" spans="2:86" s="40" customFormat="1" ht="30" customHeight="1" x14ac:dyDescent="0.2">
      <c r="B142" s="527" t="s">
        <v>188</v>
      </c>
      <c r="C142" s="488" t="s">
        <v>793</v>
      </c>
      <c r="D142" s="117" t="s">
        <v>273</v>
      </c>
      <c r="E142" s="488" t="s">
        <v>329</v>
      </c>
      <c r="F142" s="117">
        <v>97.710864000000001</v>
      </c>
      <c r="G142" s="117">
        <v>24.207332999999998</v>
      </c>
      <c r="H142" s="117" t="s">
        <v>509</v>
      </c>
      <c r="I142" s="117" t="s">
        <v>218</v>
      </c>
      <c r="J142" s="463">
        <v>39</v>
      </c>
      <c r="K142" s="463">
        <v>236</v>
      </c>
      <c r="L142" s="546">
        <v>236</v>
      </c>
      <c r="M142" s="490" t="str">
        <f t="shared" si="109"/>
        <v>1. Small</v>
      </c>
      <c r="N142" s="528" t="s">
        <v>239</v>
      </c>
      <c r="O142" s="553" t="s">
        <v>238</v>
      </c>
      <c r="P142" s="545" t="str">
        <f t="shared" si="126"/>
        <v>Covered</v>
      </c>
      <c r="Q142" s="491">
        <v>42247</v>
      </c>
      <c r="R142" s="489"/>
      <c r="S142" s="491"/>
      <c r="T142" s="528" t="s">
        <v>260</v>
      </c>
      <c r="U142" s="533" t="str">
        <f t="shared" si="127"/>
        <v>Documented</v>
      </c>
      <c r="V142" s="537">
        <v>0</v>
      </c>
      <c r="W142" s="492">
        <v>0</v>
      </c>
      <c r="X142" s="538" t="s">
        <v>19</v>
      </c>
      <c r="Y142" s="537">
        <v>1</v>
      </c>
      <c r="Z142" s="492">
        <v>1</v>
      </c>
      <c r="AA142" s="538">
        <v>6120</v>
      </c>
      <c r="AB142" s="570">
        <v>0</v>
      </c>
      <c r="AC142" s="571">
        <v>0</v>
      </c>
      <c r="AD142" s="574">
        <f t="shared" si="110"/>
        <v>1</v>
      </c>
      <c r="AE142" s="495">
        <f t="shared" si="128"/>
        <v>236</v>
      </c>
      <c r="AF142" s="496">
        <f t="shared" si="111"/>
        <v>1</v>
      </c>
      <c r="AG142" s="497">
        <f t="shared" si="129"/>
        <v>236</v>
      </c>
      <c r="AH142" s="494">
        <f t="shared" si="112"/>
        <v>1</v>
      </c>
      <c r="AI142" s="497">
        <f t="shared" si="130"/>
        <v>236</v>
      </c>
      <c r="AJ142" s="498" t="str">
        <f t="shared" si="113"/>
        <v>80-100%</v>
      </c>
      <c r="AK142" s="494">
        <f t="shared" si="114"/>
        <v>0</v>
      </c>
      <c r="AL142" s="499">
        <f t="shared" si="115"/>
        <v>0</v>
      </c>
      <c r="AM142" s="497">
        <f t="shared" si="116"/>
        <v>0</v>
      </c>
      <c r="AN142" s="497">
        <f t="shared" si="117"/>
        <v>0</v>
      </c>
      <c r="AO142" s="497">
        <f t="shared" si="131"/>
        <v>0</v>
      </c>
      <c r="AP142" s="568">
        <v>1</v>
      </c>
      <c r="AQ142" s="577">
        <f t="shared" si="132"/>
        <v>236</v>
      </c>
      <c r="AR142" s="581"/>
      <c r="AS142" s="537">
        <v>0</v>
      </c>
      <c r="AT142" s="463">
        <v>0</v>
      </c>
      <c r="AU142" s="463">
        <v>22</v>
      </c>
      <c r="AV142" s="492" t="s">
        <v>299</v>
      </c>
      <c r="AW142" s="500">
        <f t="shared" si="118"/>
        <v>1</v>
      </c>
      <c r="AX142" s="497">
        <f t="shared" si="133"/>
        <v>236</v>
      </c>
      <c r="AY142" s="500">
        <f t="shared" si="119"/>
        <v>0</v>
      </c>
      <c r="AZ142" s="497">
        <f t="shared" si="134"/>
        <v>0</v>
      </c>
      <c r="BA142" s="500">
        <f t="shared" si="120"/>
        <v>1</v>
      </c>
      <c r="BB142" s="497">
        <f t="shared" si="135"/>
        <v>236</v>
      </c>
      <c r="BC142" s="492">
        <v>0</v>
      </c>
      <c r="BD142" s="493">
        <v>1</v>
      </c>
      <c r="BE142" s="501">
        <f t="shared" si="121"/>
        <v>236</v>
      </c>
      <c r="BF142" s="502">
        <f t="shared" si="136"/>
        <v>0</v>
      </c>
      <c r="BG142" s="492">
        <v>2</v>
      </c>
      <c r="BH142" s="492" t="s">
        <v>300</v>
      </c>
      <c r="BI142" s="500">
        <f t="shared" si="137"/>
        <v>0.84745762711864403</v>
      </c>
      <c r="BJ142" s="497">
        <f t="shared" si="138"/>
        <v>200</v>
      </c>
      <c r="BK142" s="502">
        <f t="shared" si="139"/>
        <v>0.35999999999999988</v>
      </c>
      <c r="BL142" s="493">
        <v>0.85</v>
      </c>
      <c r="BM142" s="497">
        <f t="shared" si="140"/>
        <v>200.6</v>
      </c>
      <c r="BN142" s="492">
        <v>11</v>
      </c>
      <c r="BO142" s="500">
        <f t="shared" si="122"/>
        <v>1</v>
      </c>
      <c r="BP142" s="502">
        <f t="shared" si="123"/>
        <v>0</v>
      </c>
      <c r="BQ142" s="568">
        <v>1</v>
      </c>
      <c r="BR142" s="580"/>
      <c r="BS142" s="594">
        <v>41795</v>
      </c>
      <c r="BT142" s="503">
        <f t="shared" si="90"/>
        <v>42160</v>
      </c>
      <c r="BU142" s="546">
        <v>33</v>
      </c>
      <c r="BV142" s="546">
        <v>6</v>
      </c>
      <c r="BW142" s="504">
        <f t="shared" si="91"/>
        <v>6</v>
      </c>
      <c r="BX142" s="505">
        <f t="shared" si="124"/>
        <v>0.84615384615384615</v>
      </c>
      <c r="BY142" s="497">
        <f t="shared" si="125"/>
        <v>199.69230769230768</v>
      </c>
      <c r="BZ142" s="595">
        <f t="shared" si="92"/>
        <v>4</v>
      </c>
      <c r="CA142" s="537"/>
      <c r="CB142" s="568">
        <v>1</v>
      </c>
      <c r="CC142" s="605">
        <f t="shared" si="141"/>
        <v>236</v>
      </c>
      <c r="CD142" s="537">
        <v>1</v>
      </c>
      <c r="CE142" s="506" t="str">
        <f t="shared" si="142"/>
        <v>Excellent coverage</v>
      </c>
      <c r="CF142" s="492">
        <v>0</v>
      </c>
      <c r="CG142" s="538" t="s">
        <v>65</v>
      </c>
      <c r="CH142" s="580"/>
    </row>
    <row r="143" spans="2:86" s="40" customFormat="1" ht="30" customHeight="1" x14ac:dyDescent="0.2">
      <c r="B143" s="527" t="s">
        <v>188</v>
      </c>
      <c r="C143" s="488" t="s">
        <v>647</v>
      </c>
      <c r="D143" s="117" t="s">
        <v>267</v>
      </c>
      <c r="E143" s="488" t="s">
        <v>535</v>
      </c>
      <c r="F143" s="117">
        <v>97.337649999999996</v>
      </c>
      <c r="G143" s="117">
        <v>24.242049999999999</v>
      </c>
      <c r="H143" s="117" t="s">
        <v>509</v>
      </c>
      <c r="I143" s="117" t="s">
        <v>218</v>
      </c>
      <c r="J143" s="463">
        <v>72</v>
      </c>
      <c r="K143" s="463">
        <v>373</v>
      </c>
      <c r="L143" s="546">
        <v>373</v>
      </c>
      <c r="M143" s="490" t="str">
        <f t="shared" si="109"/>
        <v>2. Medium</v>
      </c>
      <c r="N143" s="528" t="s">
        <v>239</v>
      </c>
      <c r="O143" s="553" t="s">
        <v>238</v>
      </c>
      <c r="P143" s="545" t="str">
        <f t="shared" si="126"/>
        <v>Covered</v>
      </c>
      <c r="Q143" s="491">
        <v>42247</v>
      </c>
      <c r="R143" s="489"/>
      <c r="S143" s="491"/>
      <c r="T143" s="528" t="s">
        <v>260</v>
      </c>
      <c r="U143" s="533" t="str">
        <f t="shared" si="127"/>
        <v>Documented</v>
      </c>
      <c r="V143" s="537">
        <v>0</v>
      </c>
      <c r="W143" s="492">
        <v>0</v>
      </c>
      <c r="X143" s="538" t="s">
        <v>19</v>
      </c>
      <c r="Y143" s="537">
        <v>0</v>
      </c>
      <c r="Z143" s="492">
        <v>1</v>
      </c>
      <c r="AA143" s="538">
        <v>1000</v>
      </c>
      <c r="AB143" s="570">
        <v>1</v>
      </c>
      <c r="AC143" s="571">
        <v>7.0000000000000007E-2</v>
      </c>
      <c r="AD143" s="574">
        <f t="shared" si="110"/>
        <v>1</v>
      </c>
      <c r="AE143" s="495">
        <f t="shared" si="128"/>
        <v>373</v>
      </c>
      <c r="AF143" s="496">
        <f t="shared" si="111"/>
        <v>1</v>
      </c>
      <c r="AG143" s="497">
        <f t="shared" si="129"/>
        <v>373</v>
      </c>
      <c r="AH143" s="494">
        <f t="shared" si="112"/>
        <v>1</v>
      </c>
      <c r="AI143" s="497">
        <f t="shared" si="130"/>
        <v>373</v>
      </c>
      <c r="AJ143" s="498" t="str">
        <f t="shared" si="113"/>
        <v>80-100%</v>
      </c>
      <c r="AK143" s="494">
        <f t="shared" si="114"/>
        <v>0</v>
      </c>
      <c r="AL143" s="499">
        <f t="shared" si="115"/>
        <v>0</v>
      </c>
      <c r="AM143" s="497">
        <f t="shared" si="116"/>
        <v>0</v>
      </c>
      <c r="AN143" s="497">
        <f t="shared" si="117"/>
        <v>5.0400000000000009</v>
      </c>
      <c r="AO143" s="497">
        <f t="shared" si="131"/>
        <v>373</v>
      </c>
      <c r="AP143" s="568">
        <v>1</v>
      </c>
      <c r="AQ143" s="577">
        <f t="shared" si="132"/>
        <v>373</v>
      </c>
      <c r="AR143" s="581"/>
      <c r="AS143" s="537">
        <v>0</v>
      </c>
      <c r="AT143" s="463">
        <v>0</v>
      </c>
      <c r="AU143" s="463">
        <v>15</v>
      </c>
      <c r="AV143" s="492" t="s">
        <v>91</v>
      </c>
      <c r="AW143" s="500">
        <f t="shared" si="118"/>
        <v>0.80428954423592491</v>
      </c>
      <c r="AX143" s="497">
        <f t="shared" si="133"/>
        <v>300</v>
      </c>
      <c r="AY143" s="500">
        <f t="shared" si="119"/>
        <v>0</v>
      </c>
      <c r="AZ143" s="497">
        <f t="shared" si="134"/>
        <v>0</v>
      </c>
      <c r="BA143" s="500">
        <f t="shared" si="120"/>
        <v>0.80428954423592491</v>
      </c>
      <c r="BB143" s="497">
        <f t="shared" si="135"/>
        <v>300</v>
      </c>
      <c r="BC143" s="492">
        <v>0</v>
      </c>
      <c r="BD143" s="493">
        <v>0.8</v>
      </c>
      <c r="BE143" s="501">
        <f t="shared" si="121"/>
        <v>298.40000000000003</v>
      </c>
      <c r="BF143" s="502">
        <f t="shared" si="136"/>
        <v>3.6499999999999986</v>
      </c>
      <c r="BG143" s="492">
        <v>3</v>
      </c>
      <c r="BH143" s="492" t="s">
        <v>300</v>
      </c>
      <c r="BI143" s="500">
        <f t="shared" si="137"/>
        <v>0.80428954423592491</v>
      </c>
      <c r="BJ143" s="497">
        <f t="shared" si="138"/>
        <v>300</v>
      </c>
      <c r="BK143" s="502">
        <f t="shared" si="139"/>
        <v>0.73</v>
      </c>
      <c r="BL143" s="493">
        <v>0.8</v>
      </c>
      <c r="BM143" s="497">
        <f t="shared" si="140"/>
        <v>298.40000000000003</v>
      </c>
      <c r="BN143" s="492">
        <v>5</v>
      </c>
      <c r="BO143" s="500">
        <f t="shared" si="122"/>
        <v>1</v>
      </c>
      <c r="BP143" s="502">
        <f t="shared" si="123"/>
        <v>0</v>
      </c>
      <c r="BQ143" s="568">
        <v>1</v>
      </c>
      <c r="BR143" s="580"/>
      <c r="BS143" s="594">
        <v>41745</v>
      </c>
      <c r="BT143" s="503" t="str">
        <f t="shared" si="90"/>
        <v>To be realised</v>
      </c>
      <c r="BU143" s="546">
        <v>9</v>
      </c>
      <c r="BV143" s="546">
        <v>6</v>
      </c>
      <c r="BW143" s="504">
        <f t="shared" si="91"/>
        <v>72</v>
      </c>
      <c r="BX143" s="505">
        <f t="shared" si="124"/>
        <v>0</v>
      </c>
      <c r="BY143" s="497">
        <f t="shared" si="125"/>
        <v>0</v>
      </c>
      <c r="BZ143" s="595">
        <f t="shared" si="92"/>
        <v>6</v>
      </c>
      <c r="CA143" s="537"/>
      <c r="CB143" s="568">
        <v>1</v>
      </c>
      <c r="CC143" s="605">
        <f t="shared" si="141"/>
        <v>373</v>
      </c>
      <c r="CD143" s="537">
        <v>3</v>
      </c>
      <c r="CE143" s="506" t="str">
        <f t="shared" si="142"/>
        <v>Excellent coverage</v>
      </c>
      <c r="CF143" s="492">
        <v>0</v>
      </c>
      <c r="CG143" s="538" t="s">
        <v>65</v>
      </c>
      <c r="CH143" s="580"/>
    </row>
    <row r="144" spans="2:86" s="40" customFormat="1" ht="30" customHeight="1" x14ac:dyDescent="0.2">
      <c r="B144" s="527" t="s">
        <v>188</v>
      </c>
      <c r="C144" s="488" t="s">
        <v>649</v>
      </c>
      <c r="D144" s="117" t="s">
        <v>267</v>
      </c>
      <c r="E144" s="488" t="s">
        <v>199</v>
      </c>
      <c r="F144" s="117">
        <v>97.347740000000002</v>
      </c>
      <c r="G144" s="117">
        <v>24.253769999999999</v>
      </c>
      <c r="H144" s="117" t="s">
        <v>509</v>
      </c>
      <c r="I144" s="117" t="s">
        <v>218</v>
      </c>
      <c r="J144" s="463">
        <v>25</v>
      </c>
      <c r="K144" s="463">
        <v>92</v>
      </c>
      <c r="L144" s="546">
        <v>92</v>
      </c>
      <c r="M144" s="490" t="str">
        <f t="shared" si="109"/>
        <v>1. Small</v>
      </c>
      <c r="N144" s="528" t="s">
        <v>284</v>
      </c>
      <c r="O144" s="553" t="s">
        <v>238</v>
      </c>
      <c r="P144" s="545" t="str">
        <f t="shared" si="126"/>
        <v>Covered</v>
      </c>
      <c r="Q144" s="491">
        <v>42247</v>
      </c>
      <c r="R144" s="489"/>
      <c r="S144" s="491"/>
      <c r="T144" s="528" t="s">
        <v>260</v>
      </c>
      <c r="U144" s="533" t="str">
        <f t="shared" si="127"/>
        <v>Documented</v>
      </c>
      <c r="V144" s="537">
        <v>0</v>
      </c>
      <c r="W144" s="492">
        <v>0</v>
      </c>
      <c r="X144" s="538" t="s">
        <v>19</v>
      </c>
      <c r="Y144" s="537">
        <v>0</v>
      </c>
      <c r="Z144" s="492">
        <v>0</v>
      </c>
      <c r="AA144" s="538">
        <v>920</v>
      </c>
      <c r="AB144" s="570">
        <v>0</v>
      </c>
      <c r="AC144" s="571">
        <v>0.8</v>
      </c>
      <c r="AD144" s="574">
        <f t="shared" si="110"/>
        <v>0.66666666666666674</v>
      </c>
      <c r="AE144" s="495">
        <f t="shared" si="128"/>
        <v>61.333333333333343</v>
      </c>
      <c r="AF144" s="496">
        <f t="shared" si="111"/>
        <v>0.66666666666666674</v>
      </c>
      <c r="AG144" s="497">
        <f t="shared" si="129"/>
        <v>61.333333333333343</v>
      </c>
      <c r="AH144" s="494">
        <f t="shared" si="112"/>
        <v>0.8</v>
      </c>
      <c r="AI144" s="497">
        <f t="shared" si="130"/>
        <v>73.600000000000009</v>
      </c>
      <c r="AJ144" s="498" t="str">
        <f t="shared" si="113"/>
        <v>60-80%</v>
      </c>
      <c r="AK144" s="494">
        <f t="shared" si="114"/>
        <v>0</v>
      </c>
      <c r="AL144" s="499">
        <f t="shared" si="115"/>
        <v>0</v>
      </c>
      <c r="AM144" s="497">
        <f t="shared" si="116"/>
        <v>0.23</v>
      </c>
      <c r="AN144" s="497">
        <f t="shared" si="117"/>
        <v>20</v>
      </c>
      <c r="AO144" s="497">
        <f t="shared" si="131"/>
        <v>0</v>
      </c>
      <c r="AP144" s="568">
        <v>0.67</v>
      </c>
      <c r="AQ144" s="577">
        <f t="shared" si="132"/>
        <v>61.64</v>
      </c>
      <c r="AR144" s="581"/>
      <c r="AS144" s="537">
        <v>4</v>
      </c>
      <c r="AT144" s="463">
        <v>4</v>
      </c>
      <c r="AU144" s="463">
        <v>1</v>
      </c>
      <c r="AV144" s="492" t="s">
        <v>300</v>
      </c>
      <c r="AW144" s="500">
        <f t="shared" si="118"/>
        <v>1</v>
      </c>
      <c r="AX144" s="497">
        <f t="shared" si="133"/>
        <v>92</v>
      </c>
      <c r="AY144" s="500">
        <f t="shared" si="119"/>
        <v>0.78260869565217395</v>
      </c>
      <c r="AZ144" s="497">
        <f t="shared" si="134"/>
        <v>72</v>
      </c>
      <c r="BA144" s="500">
        <f t="shared" si="120"/>
        <v>0.21739130434782608</v>
      </c>
      <c r="BB144" s="497">
        <f t="shared" si="135"/>
        <v>20</v>
      </c>
      <c r="BC144" s="492">
        <v>0</v>
      </c>
      <c r="BD144" s="493">
        <v>1</v>
      </c>
      <c r="BE144" s="501">
        <f t="shared" si="121"/>
        <v>92</v>
      </c>
      <c r="BF144" s="502">
        <f t="shared" si="136"/>
        <v>3.5999999999999996</v>
      </c>
      <c r="BG144" s="492">
        <v>1</v>
      </c>
      <c r="BH144" s="492" t="s">
        <v>91</v>
      </c>
      <c r="BI144" s="500">
        <f t="shared" si="137"/>
        <v>1</v>
      </c>
      <c r="BJ144" s="497">
        <f t="shared" si="138"/>
        <v>92</v>
      </c>
      <c r="BK144" s="502">
        <f t="shared" si="139"/>
        <v>0</v>
      </c>
      <c r="BL144" s="493">
        <v>1</v>
      </c>
      <c r="BM144" s="497">
        <f t="shared" si="140"/>
        <v>92</v>
      </c>
      <c r="BN144" s="492">
        <v>2</v>
      </c>
      <c r="BO144" s="500">
        <f t="shared" si="122"/>
        <v>1</v>
      </c>
      <c r="BP144" s="502">
        <f t="shared" si="123"/>
        <v>0</v>
      </c>
      <c r="BQ144" s="568">
        <v>1</v>
      </c>
      <c r="BR144" s="580"/>
      <c r="BS144" s="594">
        <v>41785</v>
      </c>
      <c r="BT144" s="503">
        <f t="shared" si="90"/>
        <v>42150</v>
      </c>
      <c r="BU144" s="546">
        <v>23</v>
      </c>
      <c r="BV144" s="546">
        <v>6</v>
      </c>
      <c r="BW144" s="504">
        <f t="shared" si="91"/>
        <v>2</v>
      </c>
      <c r="BX144" s="505">
        <f t="shared" si="124"/>
        <v>0.92</v>
      </c>
      <c r="BY144" s="497">
        <f t="shared" si="125"/>
        <v>84.64</v>
      </c>
      <c r="BZ144" s="595">
        <f t="shared" si="92"/>
        <v>4</v>
      </c>
      <c r="CA144" s="537"/>
      <c r="CB144" s="568">
        <v>1</v>
      </c>
      <c r="CC144" s="605">
        <f t="shared" si="141"/>
        <v>92</v>
      </c>
      <c r="CD144" s="537">
        <v>1</v>
      </c>
      <c r="CE144" s="506" t="str">
        <f t="shared" si="142"/>
        <v>Excellent coverage</v>
      </c>
      <c r="CF144" s="492">
        <v>0</v>
      </c>
      <c r="CG144" s="538" t="s">
        <v>65</v>
      </c>
      <c r="CH144" s="580"/>
    </row>
    <row r="145" spans="2:86" s="40" customFormat="1" ht="30" customHeight="1" x14ac:dyDescent="0.2">
      <c r="B145" s="527" t="s">
        <v>158</v>
      </c>
      <c r="C145" s="488" t="s">
        <v>663</v>
      </c>
      <c r="D145" s="117" t="s">
        <v>268</v>
      </c>
      <c r="E145" s="488" t="s">
        <v>161</v>
      </c>
      <c r="F145" s="117">
        <v>97.551716999999996</v>
      </c>
      <c r="G145" s="117">
        <v>24.746817</v>
      </c>
      <c r="H145" s="117" t="s">
        <v>509</v>
      </c>
      <c r="I145" s="117" t="s">
        <v>226</v>
      </c>
      <c r="J145" s="463">
        <v>555</v>
      </c>
      <c r="K145" s="463">
        <v>421</v>
      </c>
      <c r="L145" s="546">
        <v>2326</v>
      </c>
      <c r="M145" s="490" t="str">
        <f t="shared" si="109"/>
        <v>4. Big</v>
      </c>
      <c r="N145" s="528" t="s">
        <v>285</v>
      </c>
      <c r="O145" s="553" t="s">
        <v>239</v>
      </c>
      <c r="P145" s="545" t="str">
        <f t="shared" si="126"/>
        <v>Covered</v>
      </c>
      <c r="Q145" s="491">
        <v>42247</v>
      </c>
      <c r="R145" s="489" t="s">
        <v>238</v>
      </c>
      <c r="S145" s="491">
        <v>42247</v>
      </c>
      <c r="T145" s="528" t="s">
        <v>260</v>
      </c>
      <c r="U145" s="533" t="str">
        <f t="shared" si="127"/>
        <v>Documented</v>
      </c>
      <c r="V145" s="537">
        <v>0</v>
      </c>
      <c r="W145" s="492">
        <v>0</v>
      </c>
      <c r="X145" s="538" t="s">
        <v>19</v>
      </c>
      <c r="Y145" s="537">
        <v>1</v>
      </c>
      <c r="Z145" s="492">
        <v>0</v>
      </c>
      <c r="AA145" s="538">
        <v>30000</v>
      </c>
      <c r="AB145" s="570">
        <v>0</v>
      </c>
      <c r="AC145" s="571">
        <v>0.31</v>
      </c>
      <c r="AD145" s="574">
        <f t="shared" si="110"/>
        <v>1</v>
      </c>
      <c r="AE145" s="495">
        <f t="shared" si="128"/>
        <v>2326</v>
      </c>
      <c r="AF145" s="496">
        <f t="shared" si="111"/>
        <v>1</v>
      </c>
      <c r="AG145" s="497">
        <f t="shared" si="129"/>
        <v>2326</v>
      </c>
      <c r="AH145" s="494">
        <f t="shared" si="112"/>
        <v>1</v>
      </c>
      <c r="AI145" s="497">
        <f t="shared" si="130"/>
        <v>2326</v>
      </c>
      <c r="AJ145" s="498" t="str">
        <f t="shared" si="113"/>
        <v>80-100%</v>
      </c>
      <c r="AK145" s="494">
        <f t="shared" si="114"/>
        <v>0</v>
      </c>
      <c r="AL145" s="499">
        <f t="shared" si="115"/>
        <v>0</v>
      </c>
      <c r="AM145" s="497">
        <f t="shared" si="116"/>
        <v>4.8150000000000004</v>
      </c>
      <c r="AN145" s="497">
        <f t="shared" si="117"/>
        <v>172.05</v>
      </c>
      <c r="AO145" s="497">
        <f t="shared" si="131"/>
        <v>0</v>
      </c>
      <c r="AP145" s="568">
        <v>1</v>
      </c>
      <c r="AQ145" s="577">
        <f t="shared" si="132"/>
        <v>2326</v>
      </c>
      <c r="AR145" s="583" t="s">
        <v>839</v>
      </c>
      <c r="AS145" s="537">
        <v>3</v>
      </c>
      <c r="AT145" s="463">
        <v>2</v>
      </c>
      <c r="AU145" s="463">
        <v>4</v>
      </c>
      <c r="AV145" s="492" t="s">
        <v>91</v>
      </c>
      <c r="AW145" s="500">
        <f t="shared" si="118"/>
        <v>5.1590713671539126E-2</v>
      </c>
      <c r="AX145" s="497">
        <f t="shared" si="133"/>
        <v>120.00000000000001</v>
      </c>
      <c r="AY145" s="500">
        <f t="shared" si="119"/>
        <v>1.7196904557179711E-2</v>
      </c>
      <c r="AZ145" s="497">
        <f t="shared" si="134"/>
        <v>40.000000000000007</v>
      </c>
      <c r="BA145" s="500">
        <f t="shared" si="120"/>
        <v>3.4393809114359415E-2</v>
      </c>
      <c r="BB145" s="497">
        <f t="shared" si="135"/>
        <v>80</v>
      </c>
      <c r="BC145" s="492">
        <v>0</v>
      </c>
      <c r="BD145" s="493">
        <v>0.05</v>
      </c>
      <c r="BE145" s="501">
        <f t="shared" si="121"/>
        <v>116.30000000000001</v>
      </c>
      <c r="BF145" s="502">
        <f t="shared" si="136"/>
        <v>112.3</v>
      </c>
      <c r="BG145" s="492">
        <v>2</v>
      </c>
      <c r="BH145" s="492" t="s">
        <v>91</v>
      </c>
      <c r="BI145" s="500">
        <f t="shared" si="137"/>
        <v>8.5984522785898534E-2</v>
      </c>
      <c r="BJ145" s="497">
        <f t="shared" si="138"/>
        <v>200</v>
      </c>
      <c r="BK145" s="502">
        <f t="shared" si="139"/>
        <v>2.21</v>
      </c>
      <c r="BL145" s="493">
        <v>0.09</v>
      </c>
      <c r="BM145" s="497">
        <f t="shared" si="140"/>
        <v>209.34</v>
      </c>
      <c r="BN145" s="492">
        <v>1</v>
      </c>
      <c r="BO145" s="500">
        <f t="shared" si="122"/>
        <v>4.2992261392949267E-2</v>
      </c>
      <c r="BP145" s="502">
        <f t="shared" si="123"/>
        <v>3.21</v>
      </c>
      <c r="BQ145" s="568">
        <v>0.04</v>
      </c>
      <c r="BR145" s="580" t="s">
        <v>879</v>
      </c>
      <c r="BS145" s="594">
        <v>41640</v>
      </c>
      <c r="BT145" s="503" t="str">
        <f t="shared" si="90"/>
        <v>To be realised</v>
      </c>
      <c r="BU145" s="546">
        <v>422</v>
      </c>
      <c r="BV145" s="546">
        <v>6</v>
      </c>
      <c r="BW145" s="504">
        <f t="shared" si="91"/>
        <v>555</v>
      </c>
      <c r="BX145" s="505">
        <f t="shared" si="124"/>
        <v>0</v>
      </c>
      <c r="BY145" s="497">
        <f t="shared" si="125"/>
        <v>0</v>
      </c>
      <c r="BZ145" s="595">
        <f t="shared" si="92"/>
        <v>9</v>
      </c>
      <c r="CA145" s="537" t="s">
        <v>920</v>
      </c>
      <c r="CB145" s="568">
        <v>1</v>
      </c>
      <c r="CC145" s="605">
        <f t="shared" si="141"/>
        <v>2326</v>
      </c>
      <c r="CD145" s="537">
        <v>2</v>
      </c>
      <c r="CE145" s="506" t="str">
        <f t="shared" si="142"/>
        <v>Low coverage</v>
      </c>
      <c r="CF145" s="492">
        <v>0</v>
      </c>
      <c r="CG145" s="507" t="s">
        <v>922</v>
      </c>
      <c r="CH145" s="580"/>
    </row>
    <row r="146" spans="2:86" s="40" customFormat="1" ht="30" customHeight="1" x14ac:dyDescent="0.2">
      <c r="B146" s="527" t="s">
        <v>186</v>
      </c>
      <c r="C146" s="488" t="s">
        <v>796</v>
      </c>
      <c r="D146" s="117" t="s">
        <v>267</v>
      </c>
      <c r="E146" s="488" t="s">
        <v>893</v>
      </c>
      <c r="F146" s="117">
        <v>97.291820000000001</v>
      </c>
      <c r="G146" s="117">
        <v>24.129059999999999</v>
      </c>
      <c r="H146" s="117" t="s">
        <v>530</v>
      </c>
      <c r="I146" s="117" t="s">
        <v>218</v>
      </c>
      <c r="J146" s="463">
        <v>135</v>
      </c>
      <c r="K146" s="463">
        <v>499</v>
      </c>
      <c r="L146" s="463">
        <v>499</v>
      </c>
      <c r="M146" s="490" t="str">
        <f t="shared" si="109"/>
        <v>2. Medium</v>
      </c>
      <c r="N146" s="544" t="s">
        <v>239</v>
      </c>
      <c r="O146" s="554" t="s">
        <v>309</v>
      </c>
      <c r="P146" s="545" t="str">
        <f t="shared" si="126"/>
        <v>Not covered</v>
      </c>
      <c r="Q146" s="461"/>
      <c r="R146" s="117"/>
      <c r="S146" s="461"/>
      <c r="T146" s="529" t="s">
        <v>262</v>
      </c>
      <c r="U146" s="533" t="str">
        <f t="shared" si="127"/>
        <v>Not documented</v>
      </c>
      <c r="V146" s="539">
        <v>0</v>
      </c>
      <c r="W146" s="463">
        <v>0</v>
      </c>
      <c r="X146" s="561" t="s">
        <v>19</v>
      </c>
      <c r="Y146" s="539">
        <v>0</v>
      </c>
      <c r="Z146" s="463">
        <v>0</v>
      </c>
      <c r="AA146" s="561">
        <v>0</v>
      </c>
      <c r="AB146" s="569">
        <v>0</v>
      </c>
      <c r="AC146" s="542">
        <v>0</v>
      </c>
      <c r="AD146" s="574">
        <f t="shared" si="110"/>
        <v>0</v>
      </c>
      <c r="AE146" s="495">
        <f t="shared" si="128"/>
        <v>0</v>
      </c>
      <c r="AF146" s="496">
        <f t="shared" si="111"/>
        <v>0</v>
      </c>
      <c r="AG146" s="497">
        <f t="shared" si="129"/>
        <v>0</v>
      </c>
      <c r="AH146" s="494">
        <f t="shared" si="112"/>
        <v>0</v>
      </c>
      <c r="AI146" s="497">
        <f t="shared" si="130"/>
        <v>0</v>
      </c>
      <c r="AJ146" s="498" t="str">
        <f t="shared" si="113"/>
        <v>0-10%</v>
      </c>
      <c r="AK146" s="494">
        <f t="shared" si="114"/>
        <v>0</v>
      </c>
      <c r="AL146" s="499">
        <f t="shared" si="115"/>
        <v>0</v>
      </c>
      <c r="AM146" s="497">
        <f t="shared" si="116"/>
        <v>1.2475000000000001</v>
      </c>
      <c r="AN146" s="497">
        <f t="shared" si="117"/>
        <v>0</v>
      </c>
      <c r="AO146" s="497">
        <f t="shared" si="131"/>
        <v>0</v>
      </c>
      <c r="AP146" s="542">
        <v>1</v>
      </c>
      <c r="AQ146" s="577">
        <f t="shared" si="132"/>
        <v>499</v>
      </c>
      <c r="AR146" s="582" t="s">
        <v>541</v>
      </c>
      <c r="AS146" s="539">
        <v>0</v>
      </c>
      <c r="AT146" s="463">
        <v>0</v>
      </c>
      <c r="AU146" s="463">
        <v>0</v>
      </c>
      <c r="AV146" s="463" t="s">
        <v>91</v>
      </c>
      <c r="AW146" s="500">
        <f t="shared" si="118"/>
        <v>0</v>
      </c>
      <c r="AX146" s="497">
        <f t="shared" si="133"/>
        <v>0</v>
      </c>
      <c r="AY146" s="500">
        <f t="shared" si="119"/>
        <v>0</v>
      </c>
      <c r="AZ146" s="497">
        <f t="shared" si="134"/>
        <v>0</v>
      </c>
      <c r="BA146" s="500">
        <f t="shared" si="120"/>
        <v>0</v>
      </c>
      <c r="BB146" s="497">
        <f t="shared" si="135"/>
        <v>0</v>
      </c>
      <c r="BC146" s="465">
        <v>0</v>
      </c>
      <c r="BD146" s="464">
        <v>0</v>
      </c>
      <c r="BE146" s="501">
        <f t="shared" si="121"/>
        <v>0</v>
      </c>
      <c r="BF146" s="502">
        <f t="shared" si="136"/>
        <v>24.95</v>
      </c>
      <c r="BG146" s="466">
        <v>0</v>
      </c>
      <c r="BH146" s="463" t="s">
        <v>91</v>
      </c>
      <c r="BI146" s="500">
        <f t="shared" si="137"/>
        <v>0</v>
      </c>
      <c r="BJ146" s="497">
        <f t="shared" si="138"/>
        <v>0</v>
      </c>
      <c r="BK146" s="502">
        <f t="shared" si="139"/>
        <v>4.99</v>
      </c>
      <c r="BL146" s="467">
        <v>0</v>
      </c>
      <c r="BM146" s="497">
        <f t="shared" si="140"/>
        <v>0</v>
      </c>
      <c r="BN146" s="463">
        <v>0</v>
      </c>
      <c r="BO146" s="500">
        <f t="shared" si="122"/>
        <v>0</v>
      </c>
      <c r="BP146" s="502">
        <f t="shared" si="123"/>
        <v>4.99</v>
      </c>
      <c r="BQ146" s="542">
        <v>0</v>
      </c>
      <c r="BR146" s="582"/>
      <c r="BS146" s="596">
        <v>41744</v>
      </c>
      <c r="BT146" s="503" t="str">
        <f t="shared" si="90"/>
        <v>To be realised</v>
      </c>
      <c r="BU146" s="465">
        <v>20</v>
      </c>
      <c r="BV146" s="465">
        <v>0</v>
      </c>
      <c r="BW146" s="504">
        <f t="shared" si="91"/>
        <v>135</v>
      </c>
      <c r="BX146" s="505">
        <f t="shared" si="124"/>
        <v>0</v>
      </c>
      <c r="BY146" s="497">
        <f t="shared" si="125"/>
        <v>0</v>
      </c>
      <c r="BZ146" s="595">
        <f t="shared" si="92"/>
        <v>12</v>
      </c>
      <c r="CA146" s="602"/>
      <c r="CB146" s="542">
        <v>0</v>
      </c>
      <c r="CC146" s="605">
        <f t="shared" si="141"/>
        <v>0</v>
      </c>
      <c r="CD146" s="602">
        <v>0</v>
      </c>
      <c r="CE146" s="506" t="str">
        <f t="shared" si="142"/>
        <v>No coverage</v>
      </c>
      <c r="CF146" s="492">
        <v>0</v>
      </c>
      <c r="CG146" s="607" t="s">
        <v>66</v>
      </c>
      <c r="CH146" s="610" t="s">
        <v>537</v>
      </c>
    </row>
    <row r="147" spans="2:86" s="40" customFormat="1" ht="30" customHeight="1" x14ac:dyDescent="0.2">
      <c r="B147" s="527" t="s">
        <v>188</v>
      </c>
      <c r="C147" s="488" t="s">
        <v>639</v>
      </c>
      <c r="D147" s="117" t="s">
        <v>267</v>
      </c>
      <c r="E147" s="488" t="s">
        <v>230</v>
      </c>
      <c r="F147" s="117">
        <v>97.193340000000006</v>
      </c>
      <c r="G147" s="117">
        <v>24.230450000000001</v>
      </c>
      <c r="H147" s="117" t="s">
        <v>530</v>
      </c>
      <c r="I147" s="117" t="s">
        <v>218</v>
      </c>
      <c r="J147" s="463">
        <v>4</v>
      </c>
      <c r="K147" s="463">
        <v>26</v>
      </c>
      <c r="L147" s="463">
        <v>26</v>
      </c>
      <c r="M147" s="490" t="str">
        <f t="shared" si="109"/>
        <v>1. Small</v>
      </c>
      <c r="N147" s="544"/>
      <c r="O147" s="554" t="s">
        <v>309</v>
      </c>
      <c r="P147" s="545" t="str">
        <f t="shared" si="126"/>
        <v>Not covered</v>
      </c>
      <c r="Q147" s="461"/>
      <c r="R147" s="117"/>
      <c r="S147" s="461"/>
      <c r="T147" s="529" t="s">
        <v>262</v>
      </c>
      <c r="U147" s="533" t="str">
        <f t="shared" si="127"/>
        <v>Not documented</v>
      </c>
      <c r="V147" s="539">
        <v>0</v>
      </c>
      <c r="W147" s="463">
        <v>0</v>
      </c>
      <c r="X147" s="561" t="s">
        <v>19</v>
      </c>
      <c r="Y147" s="539">
        <v>0</v>
      </c>
      <c r="Z147" s="463">
        <v>0</v>
      </c>
      <c r="AA147" s="561">
        <v>0</v>
      </c>
      <c r="AB147" s="569">
        <v>0</v>
      </c>
      <c r="AC147" s="542">
        <v>0</v>
      </c>
      <c r="AD147" s="574">
        <f t="shared" si="110"/>
        <v>0</v>
      </c>
      <c r="AE147" s="495">
        <f t="shared" si="128"/>
        <v>0</v>
      </c>
      <c r="AF147" s="496">
        <f t="shared" si="111"/>
        <v>0</v>
      </c>
      <c r="AG147" s="497">
        <f t="shared" si="129"/>
        <v>0</v>
      </c>
      <c r="AH147" s="494">
        <f t="shared" si="112"/>
        <v>0</v>
      </c>
      <c r="AI147" s="497">
        <f t="shared" si="130"/>
        <v>0</v>
      </c>
      <c r="AJ147" s="498" t="str">
        <f t="shared" si="113"/>
        <v>0-10%</v>
      </c>
      <c r="AK147" s="494">
        <f t="shared" si="114"/>
        <v>0</v>
      </c>
      <c r="AL147" s="499">
        <f t="shared" si="115"/>
        <v>0</v>
      </c>
      <c r="AM147" s="497">
        <f t="shared" si="116"/>
        <v>6.5000000000000002E-2</v>
      </c>
      <c r="AN147" s="497">
        <f t="shared" si="117"/>
        <v>0</v>
      </c>
      <c r="AO147" s="497">
        <f t="shared" si="131"/>
        <v>0</v>
      </c>
      <c r="AP147" s="542">
        <v>1</v>
      </c>
      <c r="AQ147" s="577">
        <f t="shared" si="132"/>
        <v>26</v>
      </c>
      <c r="AR147" s="582"/>
      <c r="AS147" s="539">
        <v>0</v>
      </c>
      <c r="AT147" s="463">
        <v>0</v>
      </c>
      <c r="AU147" s="463">
        <v>0</v>
      </c>
      <c r="AV147" s="463" t="s">
        <v>91</v>
      </c>
      <c r="AW147" s="500">
        <f t="shared" si="118"/>
        <v>0</v>
      </c>
      <c r="AX147" s="497">
        <f t="shared" si="133"/>
        <v>0</v>
      </c>
      <c r="AY147" s="500">
        <f t="shared" si="119"/>
        <v>0</v>
      </c>
      <c r="AZ147" s="497">
        <f t="shared" si="134"/>
        <v>0</v>
      </c>
      <c r="BA147" s="500">
        <f t="shared" si="120"/>
        <v>0</v>
      </c>
      <c r="BB147" s="497">
        <f t="shared" si="135"/>
        <v>0</v>
      </c>
      <c r="BC147" s="465">
        <v>0</v>
      </c>
      <c r="BD147" s="464">
        <v>0</v>
      </c>
      <c r="BE147" s="501">
        <f t="shared" si="121"/>
        <v>0</v>
      </c>
      <c r="BF147" s="502">
        <f t="shared" si="136"/>
        <v>1.3</v>
      </c>
      <c r="BG147" s="466">
        <v>0</v>
      </c>
      <c r="BH147" s="463" t="s">
        <v>91</v>
      </c>
      <c r="BI147" s="500">
        <f t="shared" si="137"/>
        <v>0</v>
      </c>
      <c r="BJ147" s="497">
        <f t="shared" si="138"/>
        <v>0</v>
      </c>
      <c r="BK147" s="502">
        <f t="shared" si="139"/>
        <v>0.26</v>
      </c>
      <c r="BL147" s="467">
        <v>0</v>
      </c>
      <c r="BM147" s="497">
        <f t="shared" si="140"/>
        <v>0</v>
      </c>
      <c r="BN147" s="463">
        <v>0</v>
      </c>
      <c r="BO147" s="500">
        <f t="shared" si="122"/>
        <v>0</v>
      </c>
      <c r="BP147" s="502">
        <f t="shared" si="123"/>
        <v>0.26</v>
      </c>
      <c r="BQ147" s="542">
        <v>0</v>
      </c>
      <c r="BR147" s="582"/>
      <c r="BS147" s="596"/>
      <c r="BT147" s="503" t="str">
        <f t="shared" si="90"/>
        <v>To be realised</v>
      </c>
      <c r="BU147" s="465">
        <v>0</v>
      </c>
      <c r="BV147" s="465">
        <v>0</v>
      </c>
      <c r="BW147" s="504">
        <f t="shared" si="91"/>
        <v>4</v>
      </c>
      <c r="BX147" s="505">
        <f t="shared" si="124"/>
        <v>0</v>
      </c>
      <c r="BY147" s="497">
        <f t="shared" si="125"/>
        <v>0</v>
      </c>
      <c r="BZ147" s="595" t="str">
        <f t="shared" si="92"/>
        <v>Column BN to be completed</v>
      </c>
      <c r="CA147" s="602"/>
      <c r="CB147" s="542">
        <v>0</v>
      </c>
      <c r="CC147" s="605">
        <f t="shared" si="141"/>
        <v>0</v>
      </c>
      <c r="CD147" s="602">
        <v>0</v>
      </c>
      <c r="CE147" s="506" t="str">
        <f t="shared" si="142"/>
        <v>No coverage</v>
      </c>
      <c r="CF147" s="492">
        <v>0</v>
      </c>
      <c r="CG147" s="607" t="s">
        <v>66</v>
      </c>
      <c r="CH147" s="610"/>
    </row>
    <row r="148" spans="2:86" s="40" customFormat="1" ht="30" customHeight="1" x14ac:dyDescent="0.2">
      <c r="B148" s="527" t="s">
        <v>188</v>
      </c>
      <c r="C148" s="488" t="s">
        <v>643</v>
      </c>
      <c r="D148" s="117" t="s">
        <v>267</v>
      </c>
      <c r="E148" s="488" t="s">
        <v>194</v>
      </c>
      <c r="F148" s="117">
        <v>97.242360000000005</v>
      </c>
      <c r="G148" s="117">
        <v>24.264130000000002</v>
      </c>
      <c r="H148" s="117" t="s">
        <v>530</v>
      </c>
      <c r="I148" s="117" t="s">
        <v>218</v>
      </c>
      <c r="J148" s="463">
        <v>2</v>
      </c>
      <c r="K148" s="463">
        <v>9</v>
      </c>
      <c r="L148" s="463">
        <v>9</v>
      </c>
      <c r="M148" s="490" t="str">
        <f t="shared" si="109"/>
        <v>1. Small</v>
      </c>
      <c r="N148" s="544"/>
      <c r="O148" s="554" t="s">
        <v>309</v>
      </c>
      <c r="P148" s="545" t="str">
        <f t="shared" si="126"/>
        <v>Not covered</v>
      </c>
      <c r="Q148" s="461"/>
      <c r="R148" s="117"/>
      <c r="S148" s="461"/>
      <c r="T148" s="529" t="s">
        <v>262</v>
      </c>
      <c r="U148" s="533" t="str">
        <f t="shared" si="127"/>
        <v>Not documented</v>
      </c>
      <c r="V148" s="539">
        <v>0</v>
      </c>
      <c r="W148" s="463">
        <v>0</v>
      </c>
      <c r="X148" s="561" t="s">
        <v>19</v>
      </c>
      <c r="Y148" s="539">
        <v>0</v>
      </c>
      <c r="Z148" s="463">
        <v>0</v>
      </c>
      <c r="AA148" s="561">
        <v>0</v>
      </c>
      <c r="AB148" s="569">
        <v>0</v>
      </c>
      <c r="AC148" s="542">
        <v>0</v>
      </c>
      <c r="AD148" s="574">
        <f t="shared" si="110"/>
        <v>0</v>
      </c>
      <c r="AE148" s="495">
        <f t="shared" si="128"/>
        <v>0</v>
      </c>
      <c r="AF148" s="496">
        <f t="shared" si="111"/>
        <v>0</v>
      </c>
      <c r="AG148" s="497">
        <f t="shared" si="129"/>
        <v>0</v>
      </c>
      <c r="AH148" s="494">
        <f t="shared" si="112"/>
        <v>0</v>
      </c>
      <c r="AI148" s="497">
        <f t="shared" si="130"/>
        <v>0</v>
      </c>
      <c r="AJ148" s="498" t="str">
        <f t="shared" si="113"/>
        <v>0-10%</v>
      </c>
      <c r="AK148" s="494">
        <f t="shared" si="114"/>
        <v>0</v>
      </c>
      <c r="AL148" s="499">
        <f t="shared" si="115"/>
        <v>0</v>
      </c>
      <c r="AM148" s="497">
        <f t="shared" si="116"/>
        <v>2.2499999999999999E-2</v>
      </c>
      <c r="AN148" s="497">
        <f t="shared" si="117"/>
        <v>0</v>
      </c>
      <c r="AO148" s="497">
        <f t="shared" si="131"/>
        <v>0</v>
      </c>
      <c r="AP148" s="542">
        <v>1</v>
      </c>
      <c r="AQ148" s="577">
        <f t="shared" si="132"/>
        <v>9</v>
      </c>
      <c r="AR148" s="582"/>
      <c r="AS148" s="539">
        <v>0</v>
      </c>
      <c r="AT148" s="463">
        <v>0</v>
      </c>
      <c r="AU148" s="463">
        <v>0</v>
      </c>
      <c r="AV148" s="463" t="s">
        <v>91</v>
      </c>
      <c r="AW148" s="500">
        <f t="shared" si="118"/>
        <v>0</v>
      </c>
      <c r="AX148" s="497">
        <f t="shared" si="133"/>
        <v>0</v>
      </c>
      <c r="AY148" s="500">
        <f t="shared" si="119"/>
        <v>0</v>
      </c>
      <c r="AZ148" s="497">
        <f t="shared" si="134"/>
        <v>0</v>
      </c>
      <c r="BA148" s="500">
        <f t="shared" si="120"/>
        <v>0</v>
      </c>
      <c r="BB148" s="497">
        <f t="shared" si="135"/>
        <v>0</v>
      </c>
      <c r="BC148" s="465">
        <v>0</v>
      </c>
      <c r="BD148" s="464">
        <v>0</v>
      </c>
      <c r="BE148" s="501">
        <f t="shared" si="121"/>
        <v>0</v>
      </c>
      <c r="BF148" s="502">
        <f t="shared" si="136"/>
        <v>0.45</v>
      </c>
      <c r="BG148" s="466">
        <v>0</v>
      </c>
      <c r="BH148" s="463" t="s">
        <v>91</v>
      </c>
      <c r="BI148" s="500">
        <f t="shared" si="137"/>
        <v>0</v>
      </c>
      <c r="BJ148" s="497">
        <f t="shared" si="138"/>
        <v>0</v>
      </c>
      <c r="BK148" s="502">
        <f t="shared" si="139"/>
        <v>0.09</v>
      </c>
      <c r="BL148" s="467">
        <v>0</v>
      </c>
      <c r="BM148" s="497">
        <f t="shared" si="140"/>
        <v>0</v>
      </c>
      <c r="BN148" s="463">
        <v>0</v>
      </c>
      <c r="BO148" s="500">
        <f t="shared" si="122"/>
        <v>0</v>
      </c>
      <c r="BP148" s="502">
        <f t="shared" si="123"/>
        <v>0.09</v>
      </c>
      <c r="BQ148" s="542">
        <v>0</v>
      </c>
      <c r="BR148" s="582"/>
      <c r="BS148" s="596"/>
      <c r="BT148" s="503" t="str">
        <f t="shared" si="90"/>
        <v>To be realised</v>
      </c>
      <c r="BU148" s="465">
        <v>0</v>
      </c>
      <c r="BV148" s="465">
        <v>0</v>
      </c>
      <c r="BW148" s="504">
        <f t="shared" si="91"/>
        <v>2</v>
      </c>
      <c r="BX148" s="505">
        <f t="shared" si="124"/>
        <v>0</v>
      </c>
      <c r="BY148" s="497">
        <f t="shared" si="125"/>
        <v>0</v>
      </c>
      <c r="BZ148" s="595" t="str">
        <f t="shared" si="92"/>
        <v>Column BN to be completed</v>
      </c>
      <c r="CA148" s="602"/>
      <c r="CB148" s="542">
        <v>0</v>
      </c>
      <c r="CC148" s="605">
        <f t="shared" si="141"/>
        <v>0</v>
      </c>
      <c r="CD148" s="602">
        <v>0</v>
      </c>
      <c r="CE148" s="506" t="str">
        <f t="shared" si="142"/>
        <v>No coverage</v>
      </c>
      <c r="CF148" s="492">
        <v>0</v>
      </c>
      <c r="CG148" s="607" t="s">
        <v>66</v>
      </c>
      <c r="CH148" s="610"/>
    </row>
    <row r="149" spans="2:86" s="40" customFormat="1" ht="30" customHeight="1" x14ac:dyDescent="0.2">
      <c r="B149" s="527" t="s">
        <v>188</v>
      </c>
      <c r="C149" s="488" t="s">
        <v>645</v>
      </c>
      <c r="D149" s="117" t="s">
        <v>267</v>
      </c>
      <c r="E149" s="488" t="s">
        <v>195</v>
      </c>
      <c r="F149" s="117">
        <v>97.321659999999994</v>
      </c>
      <c r="G149" s="117">
        <v>24.41</v>
      </c>
      <c r="H149" s="117" t="s">
        <v>530</v>
      </c>
      <c r="I149" s="117" t="s">
        <v>218</v>
      </c>
      <c r="J149" s="463">
        <v>28</v>
      </c>
      <c r="K149" s="463">
        <v>136</v>
      </c>
      <c r="L149" s="463">
        <v>136</v>
      </c>
      <c r="M149" s="490" t="str">
        <f t="shared" si="109"/>
        <v>1. Small</v>
      </c>
      <c r="N149" s="544"/>
      <c r="O149" s="554" t="s">
        <v>309</v>
      </c>
      <c r="P149" s="545" t="str">
        <f t="shared" si="126"/>
        <v>Not covered</v>
      </c>
      <c r="Q149" s="461"/>
      <c r="R149" s="117"/>
      <c r="S149" s="461"/>
      <c r="T149" s="529" t="s">
        <v>262</v>
      </c>
      <c r="U149" s="533" t="str">
        <f t="shared" si="127"/>
        <v>Not documented</v>
      </c>
      <c r="V149" s="539">
        <v>0</v>
      </c>
      <c r="W149" s="463">
        <v>0</v>
      </c>
      <c r="X149" s="561" t="s">
        <v>19</v>
      </c>
      <c r="Y149" s="539">
        <v>0</v>
      </c>
      <c r="Z149" s="463">
        <v>0</v>
      </c>
      <c r="AA149" s="561">
        <v>0</v>
      </c>
      <c r="AB149" s="569">
        <v>0</v>
      </c>
      <c r="AC149" s="542">
        <v>0</v>
      </c>
      <c r="AD149" s="574">
        <f t="shared" si="110"/>
        <v>0</v>
      </c>
      <c r="AE149" s="495">
        <f t="shared" si="128"/>
        <v>0</v>
      </c>
      <c r="AF149" s="496">
        <f t="shared" si="111"/>
        <v>0</v>
      </c>
      <c r="AG149" s="497">
        <f t="shared" si="129"/>
        <v>0</v>
      </c>
      <c r="AH149" s="494">
        <f t="shared" si="112"/>
        <v>0</v>
      </c>
      <c r="AI149" s="497">
        <f t="shared" si="130"/>
        <v>0</v>
      </c>
      <c r="AJ149" s="498" t="str">
        <f t="shared" si="113"/>
        <v>0-10%</v>
      </c>
      <c r="AK149" s="494">
        <f t="shared" si="114"/>
        <v>0</v>
      </c>
      <c r="AL149" s="499">
        <f t="shared" si="115"/>
        <v>0</v>
      </c>
      <c r="AM149" s="497">
        <f t="shared" si="116"/>
        <v>0.34</v>
      </c>
      <c r="AN149" s="497">
        <f t="shared" si="117"/>
        <v>0</v>
      </c>
      <c r="AO149" s="497">
        <f t="shared" si="131"/>
        <v>0</v>
      </c>
      <c r="AP149" s="542">
        <v>1</v>
      </c>
      <c r="AQ149" s="577">
        <f t="shared" si="132"/>
        <v>136</v>
      </c>
      <c r="AR149" s="582"/>
      <c r="AS149" s="539">
        <v>0</v>
      </c>
      <c r="AT149" s="463">
        <v>0</v>
      </c>
      <c r="AU149" s="463">
        <v>0</v>
      </c>
      <c r="AV149" s="463" t="s">
        <v>91</v>
      </c>
      <c r="AW149" s="500">
        <f t="shared" si="118"/>
        <v>0</v>
      </c>
      <c r="AX149" s="497">
        <f t="shared" si="133"/>
        <v>0</v>
      </c>
      <c r="AY149" s="500">
        <f t="shared" si="119"/>
        <v>0</v>
      </c>
      <c r="AZ149" s="497">
        <f t="shared" si="134"/>
        <v>0</v>
      </c>
      <c r="BA149" s="500">
        <f t="shared" si="120"/>
        <v>0</v>
      </c>
      <c r="BB149" s="497">
        <f t="shared" si="135"/>
        <v>0</v>
      </c>
      <c r="BC149" s="465">
        <v>0</v>
      </c>
      <c r="BD149" s="464">
        <v>0</v>
      </c>
      <c r="BE149" s="501">
        <f t="shared" si="121"/>
        <v>0</v>
      </c>
      <c r="BF149" s="502">
        <f t="shared" si="136"/>
        <v>6.8</v>
      </c>
      <c r="BG149" s="466">
        <v>0</v>
      </c>
      <c r="BH149" s="463" t="s">
        <v>91</v>
      </c>
      <c r="BI149" s="500">
        <f t="shared" si="137"/>
        <v>0</v>
      </c>
      <c r="BJ149" s="497">
        <f t="shared" si="138"/>
        <v>0</v>
      </c>
      <c r="BK149" s="502">
        <f t="shared" si="139"/>
        <v>1.36</v>
      </c>
      <c r="BL149" s="467">
        <v>0</v>
      </c>
      <c r="BM149" s="497">
        <f t="shared" si="140"/>
        <v>0</v>
      </c>
      <c r="BN149" s="463">
        <v>0</v>
      </c>
      <c r="BO149" s="500">
        <f t="shared" si="122"/>
        <v>0</v>
      </c>
      <c r="BP149" s="502">
        <f t="shared" si="123"/>
        <v>1.36</v>
      </c>
      <c r="BQ149" s="542">
        <v>0</v>
      </c>
      <c r="BR149" s="582"/>
      <c r="BS149" s="596"/>
      <c r="BT149" s="503" t="str">
        <f t="shared" si="90"/>
        <v>To be realised</v>
      </c>
      <c r="BU149" s="465">
        <v>0</v>
      </c>
      <c r="BV149" s="465">
        <v>0</v>
      </c>
      <c r="BW149" s="504">
        <f t="shared" si="91"/>
        <v>28</v>
      </c>
      <c r="BX149" s="505">
        <f t="shared" si="124"/>
        <v>0</v>
      </c>
      <c r="BY149" s="497">
        <f t="shared" si="125"/>
        <v>0</v>
      </c>
      <c r="BZ149" s="595" t="str">
        <f t="shared" si="92"/>
        <v>Column BN to be completed</v>
      </c>
      <c r="CA149" s="602"/>
      <c r="CB149" s="542">
        <v>0</v>
      </c>
      <c r="CC149" s="605">
        <f t="shared" si="141"/>
        <v>0</v>
      </c>
      <c r="CD149" s="602">
        <v>0</v>
      </c>
      <c r="CE149" s="506" t="str">
        <f t="shared" si="142"/>
        <v>No coverage</v>
      </c>
      <c r="CF149" s="492">
        <v>0</v>
      </c>
      <c r="CG149" s="607" t="s">
        <v>66</v>
      </c>
      <c r="CH149" s="610"/>
    </row>
    <row r="150" spans="2:86" s="40" customFormat="1" ht="30" customHeight="1" x14ac:dyDescent="0.2">
      <c r="B150" s="527" t="s">
        <v>188</v>
      </c>
      <c r="C150" s="488" t="s">
        <v>648</v>
      </c>
      <c r="D150" s="117" t="s">
        <v>267</v>
      </c>
      <c r="E150" s="488" t="s">
        <v>198</v>
      </c>
      <c r="F150" s="117">
        <v>97.406239999999997</v>
      </c>
      <c r="G150" s="117">
        <v>24.40457</v>
      </c>
      <c r="H150" s="117" t="s">
        <v>530</v>
      </c>
      <c r="I150" s="117" t="s">
        <v>218</v>
      </c>
      <c r="J150" s="463">
        <v>13</v>
      </c>
      <c r="K150" s="463">
        <v>53</v>
      </c>
      <c r="L150" s="463">
        <v>53</v>
      </c>
      <c r="M150" s="490" t="str">
        <f t="shared" si="109"/>
        <v>1. Small</v>
      </c>
      <c r="N150" s="544"/>
      <c r="O150" s="554" t="s">
        <v>309</v>
      </c>
      <c r="P150" s="545" t="str">
        <f t="shared" si="126"/>
        <v>Not covered</v>
      </c>
      <c r="Q150" s="461"/>
      <c r="R150" s="117"/>
      <c r="S150" s="461"/>
      <c r="T150" s="529" t="s">
        <v>262</v>
      </c>
      <c r="U150" s="533" t="str">
        <f t="shared" si="127"/>
        <v>Not documented</v>
      </c>
      <c r="V150" s="539">
        <v>0</v>
      </c>
      <c r="W150" s="463">
        <v>0</v>
      </c>
      <c r="X150" s="561" t="s">
        <v>19</v>
      </c>
      <c r="Y150" s="539">
        <v>0</v>
      </c>
      <c r="Z150" s="463">
        <v>0</v>
      </c>
      <c r="AA150" s="561">
        <v>0</v>
      </c>
      <c r="AB150" s="569">
        <v>0</v>
      </c>
      <c r="AC150" s="542">
        <v>0</v>
      </c>
      <c r="AD150" s="574">
        <f t="shared" si="110"/>
        <v>0</v>
      </c>
      <c r="AE150" s="495">
        <f t="shared" si="128"/>
        <v>0</v>
      </c>
      <c r="AF150" s="496">
        <f t="shared" si="111"/>
        <v>0</v>
      </c>
      <c r="AG150" s="497">
        <f t="shared" si="129"/>
        <v>0</v>
      </c>
      <c r="AH150" s="494">
        <f t="shared" si="112"/>
        <v>0</v>
      </c>
      <c r="AI150" s="497">
        <f t="shared" si="130"/>
        <v>0</v>
      </c>
      <c r="AJ150" s="498" t="str">
        <f t="shared" si="113"/>
        <v>0-10%</v>
      </c>
      <c r="AK150" s="494">
        <f t="shared" si="114"/>
        <v>0</v>
      </c>
      <c r="AL150" s="499">
        <f t="shared" si="115"/>
        <v>0</v>
      </c>
      <c r="AM150" s="497">
        <f t="shared" si="116"/>
        <v>0.13250000000000001</v>
      </c>
      <c r="AN150" s="497">
        <f t="shared" si="117"/>
        <v>0</v>
      </c>
      <c r="AO150" s="497">
        <f t="shared" si="131"/>
        <v>0</v>
      </c>
      <c r="AP150" s="542">
        <v>1</v>
      </c>
      <c r="AQ150" s="577">
        <f t="shared" si="132"/>
        <v>53</v>
      </c>
      <c r="AR150" s="582"/>
      <c r="AS150" s="539">
        <v>0</v>
      </c>
      <c r="AT150" s="463">
        <v>0</v>
      </c>
      <c r="AU150" s="463">
        <v>0</v>
      </c>
      <c r="AV150" s="463" t="s">
        <v>91</v>
      </c>
      <c r="AW150" s="500">
        <f t="shared" si="118"/>
        <v>0</v>
      </c>
      <c r="AX150" s="497">
        <f t="shared" si="133"/>
        <v>0</v>
      </c>
      <c r="AY150" s="500">
        <f t="shared" si="119"/>
        <v>0</v>
      </c>
      <c r="AZ150" s="497">
        <f t="shared" si="134"/>
        <v>0</v>
      </c>
      <c r="BA150" s="500">
        <f t="shared" si="120"/>
        <v>0</v>
      </c>
      <c r="BB150" s="497">
        <f t="shared" si="135"/>
        <v>0</v>
      </c>
      <c r="BC150" s="465">
        <v>0</v>
      </c>
      <c r="BD150" s="464">
        <v>0</v>
      </c>
      <c r="BE150" s="501">
        <f t="shared" si="121"/>
        <v>0</v>
      </c>
      <c r="BF150" s="502">
        <f t="shared" si="136"/>
        <v>2.65</v>
      </c>
      <c r="BG150" s="466">
        <v>0</v>
      </c>
      <c r="BH150" s="463" t="s">
        <v>91</v>
      </c>
      <c r="BI150" s="500">
        <f t="shared" si="137"/>
        <v>0</v>
      </c>
      <c r="BJ150" s="497">
        <f t="shared" si="138"/>
        <v>0</v>
      </c>
      <c r="BK150" s="502">
        <f t="shared" si="139"/>
        <v>0.53</v>
      </c>
      <c r="BL150" s="467">
        <v>0</v>
      </c>
      <c r="BM150" s="497">
        <f t="shared" si="140"/>
        <v>0</v>
      </c>
      <c r="BN150" s="463">
        <v>0</v>
      </c>
      <c r="BO150" s="500">
        <f t="shared" si="122"/>
        <v>0</v>
      </c>
      <c r="BP150" s="502">
        <f t="shared" si="123"/>
        <v>0.53</v>
      </c>
      <c r="BQ150" s="542">
        <v>0</v>
      </c>
      <c r="BR150" s="582"/>
      <c r="BS150" s="596"/>
      <c r="BT150" s="503" t="str">
        <f t="shared" si="90"/>
        <v>To be realised</v>
      </c>
      <c r="BU150" s="465">
        <v>0</v>
      </c>
      <c r="BV150" s="465">
        <v>0</v>
      </c>
      <c r="BW150" s="504">
        <f t="shared" si="91"/>
        <v>13</v>
      </c>
      <c r="BX150" s="505">
        <f t="shared" si="124"/>
        <v>0</v>
      </c>
      <c r="BY150" s="497">
        <f t="shared" si="125"/>
        <v>0</v>
      </c>
      <c r="BZ150" s="595" t="str">
        <f t="shared" si="92"/>
        <v>Column BN to be completed</v>
      </c>
      <c r="CA150" s="602"/>
      <c r="CB150" s="542">
        <v>0</v>
      </c>
      <c r="CC150" s="605">
        <f t="shared" si="141"/>
        <v>0</v>
      </c>
      <c r="CD150" s="602">
        <v>0</v>
      </c>
      <c r="CE150" s="506" t="str">
        <f t="shared" si="142"/>
        <v>No coverage</v>
      </c>
      <c r="CF150" s="492">
        <v>0</v>
      </c>
      <c r="CG150" s="607" t="s">
        <v>66</v>
      </c>
      <c r="CH150" s="610"/>
    </row>
    <row r="151" spans="2:86" s="40" customFormat="1" ht="30" customHeight="1" x14ac:dyDescent="0.2">
      <c r="B151" s="527" t="s">
        <v>188</v>
      </c>
      <c r="C151" s="488" t="s">
        <v>650</v>
      </c>
      <c r="D151" s="117" t="s">
        <v>267</v>
      </c>
      <c r="E151" s="488" t="s">
        <v>536</v>
      </c>
      <c r="F151" s="117">
        <v>97.417240000000007</v>
      </c>
      <c r="G151" s="117">
        <v>24.49184</v>
      </c>
      <c r="H151" s="117" t="s">
        <v>530</v>
      </c>
      <c r="I151" s="117" t="s">
        <v>218</v>
      </c>
      <c r="J151" s="463">
        <v>10</v>
      </c>
      <c r="K151" s="463">
        <v>38</v>
      </c>
      <c r="L151" s="463">
        <v>38</v>
      </c>
      <c r="M151" s="490" t="str">
        <f t="shared" si="109"/>
        <v>1. Small</v>
      </c>
      <c r="N151" s="544"/>
      <c r="O151" s="554" t="s">
        <v>309</v>
      </c>
      <c r="P151" s="545" t="str">
        <f t="shared" si="126"/>
        <v>Not covered</v>
      </c>
      <c r="Q151" s="461"/>
      <c r="R151" s="117"/>
      <c r="S151" s="461"/>
      <c r="T151" s="529" t="s">
        <v>262</v>
      </c>
      <c r="U151" s="533" t="str">
        <f t="shared" si="127"/>
        <v>Not documented</v>
      </c>
      <c r="V151" s="539">
        <v>0</v>
      </c>
      <c r="W151" s="463">
        <v>0</v>
      </c>
      <c r="X151" s="561" t="s">
        <v>19</v>
      </c>
      <c r="Y151" s="539">
        <v>0</v>
      </c>
      <c r="Z151" s="463">
        <v>0</v>
      </c>
      <c r="AA151" s="561">
        <v>0</v>
      </c>
      <c r="AB151" s="569">
        <v>0</v>
      </c>
      <c r="AC151" s="542">
        <v>0</v>
      </c>
      <c r="AD151" s="574">
        <f t="shared" si="110"/>
        <v>0</v>
      </c>
      <c r="AE151" s="495">
        <f t="shared" si="128"/>
        <v>0</v>
      </c>
      <c r="AF151" s="496">
        <f t="shared" si="111"/>
        <v>0</v>
      </c>
      <c r="AG151" s="497">
        <f t="shared" si="129"/>
        <v>0</v>
      </c>
      <c r="AH151" s="494">
        <f t="shared" si="112"/>
        <v>0</v>
      </c>
      <c r="AI151" s="497">
        <f t="shared" si="130"/>
        <v>0</v>
      </c>
      <c r="AJ151" s="498" t="str">
        <f t="shared" si="113"/>
        <v>0-10%</v>
      </c>
      <c r="AK151" s="494">
        <f t="shared" si="114"/>
        <v>0</v>
      </c>
      <c r="AL151" s="499">
        <f t="shared" si="115"/>
        <v>0</v>
      </c>
      <c r="AM151" s="497">
        <f t="shared" si="116"/>
        <v>9.5000000000000001E-2</v>
      </c>
      <c r="AN151" s="497">
        <f t="shared" si="117"/>
        <v>0</v>
      </c>
      <c r="AO151" s="497">
        <f t="shared" si="131"/>
        <v>0</v>
      </c>
      <c r="AP151" s="542">
        <v>1</v>
      </c>
      <c r="AQ151" s="577">
        <f t="shared" si="132"/>
        <v>38</v>
      </c>
      <c r="AR151" s="582"/>
      <c r="AS151" s="539">
        <v>0</v>
      </c>
      <c r="AT151" s="463">
        <v>0</v>
      </c>
      <c r="AU151" s="463">
        <v>0</v>
      </c>
      <c r="AV151" s="463" t="s">
        <v>91</v>
      </c>
      <c r="AW151" s="500">
        <f t="shared" si="118"/>
        <v>0</v>
      </c>
      <c r="AX151" s="497">
        <f t="shared" si="133"/>
        <v>0</v>
      </c>
      <c r="AY151" s="500">
        <f t="shared" si="119"/>
        <v>0</v>
      </c>
      <c r="AZ151" s="497">
        <f t="shared" si="134"/>
        <v>0</v>
      </c>
      <c r="BA151" s="500">
        <f t="shared" si="120"/>
        <v>0</v>
      </c>
      <c r="BB151" s="497">
        <f t="shared" si="135"/>
        <v>0</v>
      </c>
      <c r="BC151" s="465">
        <v>0</v>
      </c>
      <c r="BD151" s="464">
        <v>0</v>
      </c>
      <c r="BE151" s="501">
        <f t="shared" si="121"/>
        <v>0</v>
      </c>
      <c r="BF151" s="502">
        <f t="shared" si="136"/>
        <v>1.9</v>
      </c>
      <c r="BG151" s="466">
        <v>0</v>
      </c>
      <c r="BH151" s="463" t="s">
        <v>91</v>
      </c>
      <c r="BI151" s="500">
        <f t="shared" si="137"/>
        <v>0</v>
      </c>
      <c r="BJ151" s="497">
        <f t="shared" si="138"/>
        <v>0</v>
      </c>
      <c r="BK151" s="502">
        <f t="shared" si="139"/>
        <v>0.38</v>
      </c>
      <c r="BL151" s="467">
        <v>0</v>
      </c>
      <c r="BM151" s="497">
        <f t="shared" si="140"/>
        <v>0</v>
      </c>
      <c r="BN151" s="463">
        <v>0</v>
      </c>
      <c r="BO151" s="500">
        <f t="shared" si="122"/>
        <v>0</v>
      </c>
      <c r="BP151" s="502">
        <f t="shared" si="123"/>
        <v>0.38</v>
      </c>
      <c r="BQ151" s="542">
        <v>0</v>
      </c>
      <c r="BR151" s="582"/>
      <c r="BS151" s="596"/>
      <c r="BT151" s="503" t="str">
        <f t="shared" si="90"/>
        <v>To be realised</v>
      </c>
      <c r="BU151" s="465">
        <v>0</v>
      </c>
      <c r="BV151" s="465">
        <v>0</v>
      </c>
      <c r="BW151" s="504">
        <f t="shared" si="91"/>
        <v>10</v>
      </c>
      <c r="BX151" s="505">
        <f t="shared" si="124"/>
        <v>0</v>
      </c>
      <c r="BY151" s="497">
        <f t="shared" si="125"/>
        <v>0</v>
      </c>
      <c r="BZ151" s="595" t="str">
        <f t="shared" si="92"/>
        <v>Column BN to be completed</v>
      </c>
      <c r="CA151" s="602"/>
      <c r="CB151" s="542">
        <v>0</v>
      </c>
      <c r="CC151" s="605">
        <f t="shared" si="141"/>
        <v>0</v>
      </c>
      <c r="CD151" s="602">
        <v>0</v>
      </c>
      <c r="CE151" s="506" t="str">
        <f t="shared" si="142"/>
        <v>No coverage</v>
      </c>
      <c r="CF151" s="492">
        <v>0</v>
      </c>
      <c r="CG151" s="607" t="s">
        <v>66</v>
      </c>
      <c r="CH151" s="610"/>
    </row>
    <row r="152" spans="2:86" s="40" customFormat="1" ht="30" customHeight="1" x14ac:dyDescent="0.2">
      <c r="B152" s="527" t="s">
        <v>223</v>
      </c>
      <c r="C152" s="488" t="s">
        <v>658</v>
      </c>
      <c r="D152" s="117" t="s">
        <v>267</v>
      </c>
      <c r="E152" s="488" t="s">
        <v>894</v>
      </c>
      <c r="F152" s="117">
        <v>96.807350999999997</v>
      </c>
      <c r="G152" s="117">
        <v>24.200362999999999</v>
      </c>
      <c r="H152" s="117" t="s">
        <v>530</v>
      </c>
      <c r="I152" s="117" t="s">
        <v>218</v>
      </c>
      <c r="J152" s="463">
        <v>15</v>
      </c>
      <c r="K152" s="463">
        <v>40</v>
      </c>
      <c r="L152" s="463">
        <v>40</v>
      </c>
      <c r="M152" s="490" t="str">
        <f t="shared" si="109"/>
        <v>1. Small</v>
      </c>
      <c r="N152" s="544"/>
      <c r="O152" s="554" t="s">
        <v>309</v>
      </c>
      <c r="P152" s="545" t="str">
        <f t="shared" si="126"/>
        <v>Not covered</v>
      </c>
      <c r="Q152" s="461"/>
      <c r="R152" s="117"/>
      <c r="S152" s="461"/>
      <c r="T152" s="529" t="s">
        <v>262</v>
      </c>
      <c r="U152" s="533" t="str">
        <f t="shared" si="127"/>
        <v>Not documented</v>
      </c>
      <c r="V152" s="539">
        <v>0</v>
      </c>
      <c r="W152" s="463">
        <v>0</v>
      </c>
      <c r="X152" s="561" t="s">
        <v>19</v>
      </c>
      <c r="Y152" s="539">
        <v>0</v>
      </c>
      <c r="Z152" s="463">
        <v>0</v>
      </c>
      <c r="AA152" s="561">
        <v>0</v>
      </c>
      <c r="AB152" s="569">
        <v>0</v>
      </c>
      <c r="AC152" s="542">
        <v>0</v>
      </c>
      <c r="AD152" s="574">
        <f t="shared" si="110"/>
        <v>0</v>
      </c>
      <c r="AE152" s="495">
        <f t="shared" si="128"/>
        <v>0</v>
      </c>
      <c r="AF152" s="496">
        <f t="shared" si="111"/>
        <v>0</v>
      </c>
      <c r="AG152" s="497">
        <f t="shared" si="129"/>
        <v>0</v>
      </c>
      <c r="AH152" s="494">
        <f t="shared" si="112"/>
        <v>0</v>
      </c>
      <c r="AI152" s="497">
        <f t="shared" si="130"/>
        <v>0</v>
      </c>
      <c r="AJ152" s="498" t="str">
        <f t="shared" si="113"/>
        <v>0-10%</v>
      </c>
      <c r="AK152" s="494">
        <f t="shared" si="114"/>
        <v>0</v>
      </c>
      <c r="AL152" s="499">
        <f t="shared" si="115"/>
        <v>0</v>
      </c>
      <c r="AM152" s="497">
        <f t="shared" si="116"/>
        <v>0.1</v>
      </c>
      <c r="AN152" s="497">
        <f t="shared" si="117"/>
        <v>0</v>
      </c>
      <c r="AO152" s="497">
        <f t="shared" si="131"/>
        <v>0</v>
      </c>
      <c r="AP152" s="542">
        <v>1</v>
      </c>
      <c r="AQ152" s="577">
        <f t="shared" si="132"/>
        <v>40</v>
      </c>
      <c r="AR152" s="582"/>
      <c r="AS152" s="539">
        <v>0</v>
      </c>
      <c r="AT152" s="463">
        <v>0</v>
      </c>
      <c r="AU152" s="463">
        <v>0</v>
      </c>
      <c r="AV152" s="463" t="s">
        <v>91</v>
      </c>
      <c r="AW152" s="500">
        <f t="shared" si="118"/>
        <v>0</v>
      </c>
      <c r="AX152" s="497">
        <f t="shared" si="133"/>
        <v>0</v>
      </c>
      <c r="AY152" s="500">
        <f t="shared" si="119"/>
        <v>0</v>
      </c>
      <c r="AZ152" s="497">
        <f t="shared" si="134"/>
        <v>0</v>
      </c>
      <c r="BA152" s="500">
        <f t="shared" si="120"/>
        <v>0</v>
      </c>
      <c r="BB152" s="497">
        <f t="shared" si="135"/>
        <v>0</v>
      </c>
      <c r="BC152" s="465">
        <v>0</v>
      </c>
      <c r="BD152" s="464">
        <v>0</v>
      </c>
      <c r="BE152" s="501">
        <f t="shared" si="121"/>
        <v>0</v>
      </c>
      <c r="BF152" s="502">
        <f t="shared" si="136"/>
        <v>2</v>
      </c>
      <c r="BG152" s="466">
        <v>0</v>
      </c>
      <c r="BH152" s="463" t="s">
        <v>91</v>
      </c>
      <c r="BI152" s="500">
        <f t="shared" si="137"/>
        <v>0</v>
      </c>
      <c r="BJ152" s="497">
        <f t="shared" si="138"/>
        <v>0</v>
      </c>
      <c r="BK152" s="502">
        <f t="shared" si="139"/>
        <v>0.4</v>
      </c>
      <c r="BL152" s="467">
        <v>0</v>
      </c>
      <c r="BM152" s="497">
        <f t="shared" si="140"/>
        <v>0</v>
      </c>
      <c r="BN152" s="463">
        <v>0</v>
      </c>
      <c r="BO152" s="500">
        <f t="shared" si="122"/>
        <v>0</v>
      </c>
      <c r="BP152" s="502">
        <f t="shared" si="123"/>
        <v>0.4</v>
      </c>
      <c r="BQ152" s="542">
        <v>0</v>
      </c>
      <c r="BR152" s="582"/>
      <c r="BS152" s="596"/>
      <c r="BT152" s="503" t="str">
        <f t="shared" si="90"/>
        <v>To be realised</v>
      </c>
      <c r="BU152" s="465">
        <v>0</v>
      </c>
      <c r="BV152" s="465">
        <v>0</v>
      </c>
      <c r="BW152" s="504">
        <f t="shared" si="91"/>
        <v>15</v>
      </c>
      <c r="BX152" s="505">
        <f t="shared" si="124"/>
        <v>0</v>
      </c>
      <c r="BY152" s="497">
        <f t="shared" si="125"/>
        <v>0</v>
      </c>
      <c r="BZ152" s="595" t="str">
        <f t="shared" si="92"/>
        <v>Column BN to be completed</v>
      </c>
      <c r="CA152" s="602"/>
      <c r="CB152" s="542">
        <v>0</v>
      </c>
      <c r="CC152" s="605">
        <f t="shared" si="141"/>
        <v>0</v>
      </c>
      <c r="CD152" s="602">
        <v>0</v>
      </c>
      <c r="CE152" s="506" t="str">
        <f t="shared" si="142"/>
        <v>No coverage</v>
      </c>
      <c r="CF152" s="546">
        <v>0</v>
      </c>
      <c r="CG152" s="607" t="s">
        <v>66</v>
      </c>
      <c r="CH152" s="610"/>
    </row>
    <row r="153" spans="2:86" s="40" customFormat="1" ht="30" customHeight="1" x14ac:dyDescent="0.2">
      <c r="B153" s="527" t="s">
        <v>186</v>
      </c>
      <c r="C153" s="488" t="s">
        <v>798</v>
      </c>
      <c r="D153" s="117" t="s">
        <v>274</v>
      </c>
      <c r="E153" s="488" t="s">
        <v>766</v>
      </c>
      <c r="F153" s="117">
        <v>97.590767</v>
      </c>
      <c r="G153" s="117">
        <v>23.829599000000002</v>
      </c>
      <c r="H153" s="117" t="s">
        <v>509</v>
      </c>
      <c r="I153" s="117" t="s">
        <v>218</v>
      </c>
      <c r="J153" s="546">
        <v>113</v>
      </c>
      <c r="K153" s="546">
        <v>516</v>
      </c>
      <c r="L153" s="546">
        <v>516</v>
      </c>
      <c r="M153" s="490" t="str">
        <f t="shared" si="109"/>
        <v>2. Medium</v>
      </c>
      <c r="N153" s="528" t="s">
        <v>239</v>
      </c>
      <c r="O153" s="553" t="s">
        <v>237</v>
      </c>
      <c r="P153" s="545" t="str">
        <f t="shared" si="126"/>
        <v>Covered</v>
      </c>
      <c r="Q153" s="491" t="s">
        <v>895</v>
      </c>
      <c r="R153" s="489"/>
      <c r="S153" s="491"/>
      <c r="T153" s="528" t="s">
        <v>260</v>
      </c>
      <c r="U153" s="533" t="str">
        <f t="shared" si="127"/>
        <v>Documented</v>
      </c>
      <c r="V153" s="537">
        <v>0</v>
      </c>
      <c r="W153" s="492">
        <v>0</v>
      </c>
      <c r="X153" s="538" t="s">
        <v>19</v>
      </c>
      <c r="Y153" s="537">
        <v>0</v>
      </c>
      <c r="Z153" s="492">
        <v>0</v>
      </c>
      <c r="AA153" s="538">
        <v>28000</v>
      </c>
      <c r="AB153" s="567">
        <v>0</v>
      </c>
      <c r="AC153" s="568">
        <v>0</v>
      </c>
      <c r="AD153" s="574">
        <f t="shared" si="110"/>
        <v>1</v>
      </c>
      <c r="AE153" s="495">
        <f t="shared" si="128"/>
        <v>516</v>
      </c>
      <c r="AF153" s="496">
        <f t="shared" si="111"/>
        <v>1</v>
      </c>
      <c r="AG153" s="497">
        <f t="shared" si="129"/>
        <v>516</v>
      </c>
      <c r="AH153" s="494">
        <f t="shared" si="112"/>
        <v>1</v>
      </c>
      <c r="AI153" s="497">
        <f t="shared" si="130"/>
        <v>516</v>
      </c>
      <c r="AJ153" s="498" t="str">
        <f t="shared" si="113"/>
        <v>80-100%</v>
      </c>
      <c r="AK153" s="494">
        <f t="shared" si="114"/>
        <v>0</v>
      </c>
      <c r="AL153" s="499">
        <f t="shared" si="115"/>
        <v>0</v>
      </c>
      <c r="AM153" s="497">
        <f t="shared" si="116"/>
        <v>1.29</v>
      </c>
      <c r="AN153" s="497">
        <f t="shared" si="117"/>
        <v>0</v>
      </c>
      <c r="AO153" s="497">
        <f t="shared" si="131"/>
        <v>0</v>
      </c>
      <c r="AP153" s="568">
        <v>1</v>
      </c>
      <c r="AQ153" s="577">
        <f t="shared" si="132"/>
        <v>516</v>
      </c>
      <c r="AR153" s="581"/>
      <c r="AS153" s="537">
        <v>0</v>
      </c>
      <c r="AT153" s="492">
        <v>18</v>
      </c>
      <c r="AU153" s="492">
        <v>13</v>
      </c>
      <c r="AV153" s="492" t="s">
        <v>301</v>
      </c>
      <c r="AW153" s="500">
        <f t="shared" si="118"/>
        <v>1</v>
      </c>
      <c r="AX153" s="497">
        <f t="shared" si="133"/>
        <v>516</v>
      </c>
      <c r="AY153" s="500">
        <f t="shared" si="119"/>
        <v>0.49612403100775193</v>
      </c>
      <c r="AZ153" s="497">
        <f t="shared" si="134"/>
        <v>256</v>
      </c>
      <c r="BA153" s="500">
        <f t="shared" si="120"/>
        <v>0.50387596899224807</v>
      </c>
      <c r="BB153" s="497">
        <f t="shared" si="135"/>
        <v>260</v>
      </c>
      <c r="BC153" s="492">
        <v>7</v>
      </c>
      <c r="BD153" s="493">
        <v>1</v>
      </c>
      <c r="BE153" s="501">
        <f t="shared" si="121"/>
        <v>516</v>
      </c>
      <c r="BF153" s="502">
        <f t="shared" si="136"/>
        <v>19.8</v>
      </c>
      <c r="BG153" s="492">
        <v>5</v>
      </c>
      <c r="BH153" s="492" t="s">
        <v>300</v>
      </c>
      <c r="BI153" s="500">
        <f t="shared" si="137"/>
        <v>0.96899224806201545</v>
      </c>
      <c r="BJ153" s="497">
        <f t="shared" si="138"/>
        <v>500</v>
      </c>
      <c r="BK153" s="502">
        <f t="shared" si="139"/>
        <v>0.16000000000000014</v>
      </c>
      <c r="BL153" s="493">
        <v>1</v>
      </c>
      <c r="BM153" s="497">
        <f t="shared" si="140"/>
        <v>516</v>
      </c>
      <c r="BN153" s="492">
        <v>3</v>
      </c>
      <c r="BO153" s="500">
        <f t="shared" si="122"/>
        <v>0.58139534883720934</v>
      </c>
      <c r="BP153" s="502">
        <f t="shared" si="123"/>
        <v>2.16</v>
      </c>
      <c r="BQ153" s="568">
        <v>0.7</v>
      </c>
      <c r="BR153" s="580"/>
      <c r="BS153" s="597">
        <v>41741</v>
      </c>
      <c r="BT153" s="503" t="str">
        <f t="shared" ref="BT153:BT179" si="143">IF(BS153="","To be realised",IF(BS153="n/a","n/a",IF(BS153+365&lt;$E$2,"To be realised",BS153+365)))</f>
        <v>To be realised</v>
      </c>
      <c r="BU153" s="546">
        <v>117</v>
      </c>
      <c r="BV153" s="546">
        <v>3</v>
      </c>
      <c r="BW153" s="504">
        <f t="shared" ref="BW153:BW159" si="144">IF(BT153="n/a",0,IF(BT153="To be realised",J153,IF((J153-BU153)&lt;0,0,(J153-BU153))))</f>
        <v>113</v>
      </c>
      <c r="BX153" s="505">
        <f t="shared" si="124"/>
        <v>0</v>
      </c>
      <c r="BY153" s="497">
        <f t="shared" si="125"/>
        <v>0</v>
      </c>
      <c r="BZ153" s="595">
        <f t="shared" ref="BZ153:BZ179" si="145">IF(BS153="","Column BN to be completed", IF(BS153="n/a",0,IF(($E$2-BS153-30)/30-BV153&lt;0,0,ROUND((($E$2-BS153-30)/30-BV153),0))))</f>
        <v>9</v>
      </c>
      <c r="CA153" s="537"/>
      <c r="CB153" s="571">
        <v>1</v>
      </c>
      <c r="CC153" s="605">
        <f t="shared" si="141"/>
        <v>516</v>
      </c>
      <c r="CD153" s="564">
        <v>9</v>
      </c>
      <c r="CE153" s="506" t="str">
        <f t="shared" si="142"/>
        <v>Excellent coverage</v>
      </c>
      <c r="CF153" s="546">
        <v>0</v>
      </c>
      <c r="CG153" s="563" t="s">
        <v>65</v>
      </c>
      <c r="CH153" s="580"/>
    </row>
    <row r="154" spans="2:86" s="40" customFormat="1" ht="30" customHeight="1" x14ac:dyDescent="0.2">
      <c r="B154" s="527" t="s">
        <v>186</v>
      </c>
      <c r="C154" s="488" t="s">
        <v>799</v>
      </c>
      <c r="D154" s="117" t="s">
        <v>274</v>
      </c>
      <c r="E154" s="488" t="s">
        <v>703</v>
      </c>
      <c r="F154" s="117">
        <v>97.577347000000003</v>
      </c>
      <c r="G154" s="117">
        <v>23.836462999999998</v>
      </c>
      <c r="H154" s="117" t="s">
        <v>509</v>
      </c>
      <c r="I154" s="117" t="s">
        <v>218</v>
      </c>
      <c r="J154" s="546">
        <v>120</v>
      </c>
      <c r="K154" s="546">
        <v>490</v>
      </c>
      <c r="L154" s="546">
        <v>490</v>
      </c>
      <c r="M154" s="490" t="str">
        <f t="shared" si="109"/>
        <v>2. Medium</v>
      </c>
      <c r="N154" s="528" t="s">
        <v>235</v>
      </c>
      <c r="O154" s="553" t="s">
        <v>426</v>
      </c>
      <c r="P154" s="545" t="str">
        <f t="shared" si="126"/>
        <v>Covered</v>
      </c>
      <c r="Q154" s="491">
        <v>42185</v>
      </c>
      <c r="R154" s="489" t="s">
        <v>426</v>
      </c>
      <c r="S154" s="491">
        <v>42185</v>
      </c>
      <c r="T154" s="528" t="s">
        <v>260</v>
      </c>
      <c r="U154" s="533" t="str">
        <f t="shared" si="127"/>
        <v>Documented</v>
      </c>
      <c r="V154" s="537">
        <v>0</v>
      </c>
      <c r="W154" s="492">
        <v>0</v>
      </c>
      <c r="X154" s="538" t="s">
        <v>19</v>
      </c>
      <c r="Y154" s="537">
        <v>0</v>
      </c>
      <c r="Z154" s="492">
        <v>0</v>
      </c>
      <c r="AA154" s="538">
        <v>7000</v>
      </c>
      <c r="AB154" s="570">
        <v>0</v>
      </c>
      <c r="AC154" s="571">
        <v>0</v>
      </c>
      <c r="AD154" s="574">
        <f t="shared" si="110"/>
        <v>0.95238095238095244</v>
      </c>
      <c r="AE154" s="495">
        <f t="shared" si="128"/>
        <v>466.66666666666669</v>
      </c>
      <c r="AF154" s="496">
        <f t="shared" si="111"/>
        <v>0.95238095238095244</v>
      </c>
      <c r="AG154" s="497">
        <f t="shared" si="129"/>
        <v>466.66666666666669</v>
      </c>
      <c r="AH154" s="494">
        <f t="shared" si="112"/>
        <v>0.95238095238095244</v>
      </c>
      <c r="AI154" s="497">
        <f t="shared" si="130"/>
        <v>466.66666666666669</v>
      </c>
      <c r="AJ154" s="498" t="str">
        <f t="shared" si="113"/>
        <v>80-100%</v>
      </c>
      <c r="AK154" s="494">
        <f t="shared" si="114"/>
        <v>0</v>
      </c>
      <c r="AL154" s="499">
        <f t="shared" si="115"/>
        <v>0</v>
      </c>
      <c r="AM154" s="497">
        <f t="shared" si="116"/>
        <v>1.2250000000000001</v>
      </c>
      <c r="AN154" s="497">
        <f t="shared" si="117"/>
        <v>0</v>
      </c>
      <c r="AO154" s="497">
        <f t="shared" si="131"/>
        <v>0</v>
      </c>
      <c r="AP154" s="568">
        <v>1</v>
      </c>
      <c r="AQ154" s="577">
        <f t="shared" si="132"/>
        <v>490</v>
      </c>
      <c r="AR154" s="581"/>
      <c r="AS154" s="537">
        <v>17</v>
      </c>
      <c r="AT154" s="492">
        <v>17</v>
      </c>
      <c r="AU154" s="492">
        <v>0</v>
      </c>
      <c r="AV154" s="492" t="s">
        <v>300</v>
      </c>
      <c r="AW154" s="500">
        <f t="shared" si="118"/>
        <v>0.69387755102040816</v>
      </c>
      <c r="AX154" s="497">
        <f t="shared" si="133"/>
        <v>340</v>
      </c>
      <c r="AY154" s="500">
        <f t="shared" si="119"/>
        <v>0.69387755102040816</v>
      </c>
      <c r="AZ154" s="497">
        <f t="shared" si="134"/>
        <v>340</v>
      </c>
      <c r="BA154" s="500">
        <f t="shared" si="120"/>
        <v>0</v>
      </c>
      <c r="BB154" s="497">
        <f t="shared" si="135"/>
        <v>0</v>
      </c>
      <c r="BC154" s="492">
        <v>2</v>
      </c>
      <c r="BD154" s="493">
        <v>0.69</v>
      </c>
      <c r="BE154" s="501">
        <f t="shared" si="121"/>
        <v>338.09999999999997</v>
      </c>
      <c r="BF154" s="502">
        <f t="shared" si="136"/>
        <v>26.5</v>
      </c>
      <c r="BG154" s="492">
        <v>4</v>
      </c>
      <c r="BH154" s="492" t="s">
        <v>300</v>
      </c>
      <c r="BI154" s="500">
        <f t="shared" si="137"/>
        <v>0.81632653061224492</v>
      </c>
      <c r="BJ154" s="497">
        <f t="shared" si="138"/>
        <v>400</v>
      </c>
      <c r="BK154" s="502">
        <f t="shared" si="139"/>
        <v>0.90000000000000036</v>
      </c>
      <c r="BL154" s="493">
        <v>0.82</v>
      </c>
      <c r="BM154" s="497">
        <f t="shared" si="140"/>
        <v>401.79999999999995</v>
      </c>
      <c r="BN154" s="492">
        <v>10</v>
      </c>
      <c r="BO154" s="500">
        <f t="shared" si="122"/>
        <v>1</v>
      </c>
      <c r="BP154" s="502">
        <f t="shared" si="123"/>
        <v>0</v>
      </c>
      <c r="BQ154" s="568">
        <v>1</v>
      </c>
      <c r="BR154" s="580" t="s">
        <v>880</v>
      </c>
      <c r="BS154" s="597">
        <v>41754</v>
      </c>
      <c r="BT154" s="503" t="str">
        <f t="shared" si="143"/>
        <v>To be realised</v>
      </c>
      <c r="BU154" s="546">
        <v>108</v>
      </c>
      <c r="BV154" s="546">
        <v>9</v>
      </c>
      <c r="BW154" s="504">
        <f t="shared" si="144"/>
        <v>120</v>
      </c>
      <c r="BX154" s="505">
        <f t="shared" si="124"/>
        <v>0</v>
      </c>
      <c r="BY154" s="497">
        <f t="shared" si="125"/>
        <v>0</v>
      </c>
      <c r="BZ154" s="595">
        <f t="shared" si="145"/>
        <v>2</v>
      </c>
      <c r="CA154" s="537"/>
      <c r="CB154" s="571">
        <v>0.5</v>
      </c>
      <c r="CC154" s="605">
        <f t="shared" si="141"/>
        <v>245</v>
      </c>
      <c r="CD154" s="564">
        <v>7</v>
      </c>
      <c r="CE154" s="506" t="str">
        <f t="shared" si="142"/>
        <v>Excellent coverage</v>
      </c>
      <c r="CF154" s="546">
        <v>0</v>
      </c>
      <c r="CG154" s="563" t="s">
        <v>65</v>
      </c>
      <c r="CH154" s="580"/>
    </row>
    <row r="155" spans="2:86" s="40" customFormat="1" ht="30" customHeight="1" x14ac:dyDescent="0.2">
      <c r="B155" s="527" t="s">
        <v>214</v>
      </c>
      <c r="C155" s="488" t="s">
        <v>800</v>
      </c>
      <c r="D155" s="117" t="s">
        <v>274</v>
      </c>
      <c r="E155" s="488" t="s">
        <v>551</v>
      </c>
      <c r="F155" s="117">
        <v>97.909217999999996</v>
      </c>
      <c r="G155" s="117">
        <v>24.005448999999999</v>
      </c>
      <c r="H155" s="117" t="s">
        <v>509</v>
      </c>
      <c r="I155" s="117" t="s">
        <v>218</v>
      </c>
      <c r="J155" s="546">
        <v>82</v>
      </c>
      <c r="K155" s="546">
        <v>331</v>
      </c>
      <c r="L155" s="546">
        <v>331</v>
      </c>
      <c r="M155" s="490" t="str">
        <f t="shared" si="109"/>
        <v>2. Medium</v>
      </c>
      <c r="N155" s="528" t="s">
        <v>239</v>
      </c>
      <c r="O155" s="553" t="s">
        <v>237</v>
      </c>
      <c r="P155" s="545" t="str">
        <f t="shared" si="126"/>
        <v>Covered</v>
      </c>
      <c r="Q155" s="491" t="s">
        <v>895</v>
      </c>
      <c r="R155" s="489"/>
      <c r="S155" s="491"/>
      <c r="T155" s="528" t="s">
        <v>260</v>
      </c>
      <c r="U155" s="533" t="str">
        <f t="shared" si="127"/>
        <v>Documented</v>
      </c>
      <c r="V155" s="537">
        <v>0</v>
      </c>
      <c r="W155" s="492">
        <v>0</v>
      </c>
      <c r="X155" s="538" t="s">
        <v>19</v>
      </c>
      <c r="Y155" s="537">
        <v>0</v>
      </c>
      <c r="Z155" s="492">
        <v>0</v>
      </c>
      <c r="AA155" s="538">
        <v>20000</v>
      </c>
      <c r="AB155" s="570">
        <v>1</v>
      </c>
      <c r="AC155" s="571">
        <v>0</v>
      </c>
      <c r="AD155" s="574">
        <f t="shared" si="110"/>
        <v>1</v>
      </c>
      <c r="AE155" s="495">
        <f t="shared" si="128"/>
        <v>331</v>
      </c>
      <c r="AF155" s="496">
        <f t="shared" si="111"/>
        <v>1</v>
      </c>
      <c r="AG155" s="497">
        <f t="shared" si="129"/>
        <v>331</v>
      </c>
      <c r="AH155" s="494">
        <f t="shared" si="112"/>
        <v>1</v>
      </c>
      <c r="AI155" s="497">
        <f t="shared" si="130"/>
        <v>331</v>
      </c>
      <c r="AJ155" s="498" t="str">
        <f t="shared" si="113"/>
        <v>80-100%</v>
      </c>
      <c r="AK155" s="494">
        <f t="shared" si="114"/>
        <v>0</v>
      </c>
      <c r="AL155" s="499">
        <f t="shared" si="115"/>
        <v>0</v>
      </c>
      <c r="AM155" s="497">
        <f t="shared" si="116"/>
        <v>0.82750000000000001</v>
      </c>
      <c r="AN155" s="497">
        <f t="shared" si="117"/>
        <v>0</v>
      </c>
      <c r="AO155" s="497">
        <f t="shared" si="131"/>
        <v>331</v>
      </c>
      <c r="AP155" s="568">
        <v>1</v>
      </c>
      <c r="AQ155" s="577">
        <f t="shared" si="132"/>
        <v>331</v>
      </c>
      <c r="AR155" s="581"/>
      <c r="AS155" s="537">
        <v>20</v>
      </c>
      <c r="AT155" s="492">
        <v>20</v>
      </c>
      <c r="AU155" s="492">
        <v>0</v>
      </c>
      <c r="AV155" s="492" t="s">
        <v>301</v>
      </c>
      <c r="AW155" s="500">
        <f t="shared" si="118"/>
        <v>1</v>
      </c>
      <c r="AX155" s="497">
        <f t="shared" si="133"/>
        <v>331</v>
      </c>
      <c r="AY155" s="500">
        <f t="shared" si="119"/>
        <v>1</v>
      </c>
      <c r="AZ155" s="497">
        <f t="shared" si="134"/>
        <v>331</v>
      </c>
      <c r="BA155" s="500">
        <f t="shared" si="120"/>
        <v>0</v>
      </c>
      <c r="BB155" s="497">
        <f t="shared" si="135"/>
        <v>0</v>
      </c>
      <c r="BC155" s="492">
        <v>3</v>
      </c>
      <c r="BD155" s="493">
        <v>1</v>
      </c>
      <c r="BE155" s="501">
        <f t="shared" si="121"/>
        <v>331</v>
      </c>
      <c r="BF155" s="502">
        <f t="shared" si="136"/>
        <v>19.55</v>
      </c>
      <c r="BG155" s="492">
        <v>4</v>
      </c>
      <c r="BH155" s="492" t="s">
        <v>300</v>
      </c>
      <c r="BI155" s="500">
        <f t="shared" si="137"/>
        <v>1</v>
      </c>
      <c r="BJ155" s="497">
        <f t="shared" si="138"/>
        <v>331</v>
      </c>
      <c r="BK155" s="502">
        <f t="shared" si="139"/>
        <v>0</v>
      </c>
      <c r="BL155" s="493">
        <v>1</v>
      </c>
      <c r="BM155" s="497">
        <f t="shared" si="140"/>
        <v>331</v>
      </c>
      <c r="BN155" s="492">
        <v>2</v>
      </c>
      <c r="BO155" s="500">
        <f t="shared" si="122"/>
        <v>0.60422960725075525</v>
      </c>
      <c r="BP155" s="502">
        <f t="shared" si="123"/>
        <v>1.31</v>
      </c>
      <c r="BQ155" s="568">
        <v>0.7</v>
      </c>
      <c r="BR155" s="580"/>
      <c r="BS155" s="597">
        <v>41776</v>
      </c>
      <c r="BT155" s="503">
        <f t="shared" si="143"/>
        <v>42141</v>
      </c>
      <c r="BU155" s="546">
        <v>81</v>
      </c>
      <c r="BV155" s="546">
        <v>1</v>
      </c>
      <c r="BW155" s="504">
        <f t="shared" si="144"/>
        <v>1</v>
      </c>
      <c r="BX155" s="505">
        <f t="shared" si="124"/>
        <v>0.98780487804878048</v>
      </c>
      <c r="BY155" s="497">
        <f t="shared" si="125"/>
        <v>326.96341463414632</v>
      </c>
      <c r="BZ155" s="595">
        <f t="shared" si="145"/>
        <v>10</v>
      </c>
      <c r="CA155" s="537"/>
      <c r="CB155" s="571">
        <v>0</v>
      </c>
      <c r="CC155" s="605">
        <f t="shared" si="141"/>
        <v>0</v>
      </c>
      <c r="CD155" s="564">
        <v>2</v>
      </c>
      <c r="CE155" s="506" t="str">
        <f t="shared" si="142"/>
        <v>Excellent coverage</v>
      </c>
      <c r="CF155" s="546">
        <v>0</v>
      </c>
      <c r="CG155" s="563" t="s">
        <v>65</v>
      </c>
      <c r="CH155" s="580"/>
    </row>
    <row r="156" spans="2:86" s="40" customFormat="1" ht="30" customHeight="1" x14ac:dyDescent="0.2">
      <c r="B156" s="527" t="s">
        <v>214</v>
      </c>
      <c r="C156" s="488" t="s">
        <v>801</v>
      </c>
      <c r="D156" s="117" t="s">
        <v>274</v>
      </c>
      <c r="E156" s="488" t="s">
        <v>552</v>
      </c>
      <c r="F156" s="117">
        <v>97.911671100000007</v>
      </c>
      <c r="G156" s="117">
        <v>24.006896999999999</v>
      </c>
      <c r="H156" s="117" t="s">
        <v>509</v>
      </c>
      <c r="I156" s="117" t="s">
        <v>218</v>
      </c>
      <c r="J156" s="546">
        <v>31</v>
      </c>
      <c r="K156" s="546">
        <v>127</v>
      </c>
      <c r="L156" s="546">
        <v>127</v>
      </c>
      <c r="M156" s="490" t="str">
        <f t="shared" si="109"/>
        <v>1. Small</v>
      </c>
      <c r="N156" s="528" t="s">
        <v>235</v>
      </c>
      <c r="O156" s="553" t="s">
        <v>426</v>
      </c>
      <c r="P156" s="545" t="str">
        <f t="shared" si="126"/>
        <v>Covered</v>
      </c>
      <c r="Q156" s="491">
        <v>42185</v>
      </c>
      <c r="R156" s="489" t="s">
        <v>426</v>
      </c>
      <c r="S156" s="491">
        <v>42185</v>
      </c>
      <c r="T156" s="528" t="s">
        <v>260</v>
      </c>
      <c r="U156" s="533" t="str">
        <f t="shared" si="127"/>
        <v>Documented</v>
      </c>
      <c r="V156" s="537">
        <v>0</v>
      </c>
      <c r="W156" s="492">
        <v>0</v>
      </c>
      <c r="X156" s="538" t="s">
        <v>19</v>
      </c>
      <c r="Y156" s="537">
        <v>0</v>
      </c>
      <c r="Z156" s="492">
        <v>0</v>
      </c>
      <c r="AA156" s="538">
        <v>5000</v>
      </c>
      <c r="AB156" s="570">
        <v>0.6</v>
      </c>
      <c r="AC156" s="571">
        <v>0</v>
      </c>
      <c r="AD156" s="574">
        <f t="shared" si="110"/>
        <v>1</v>
      </c>
      <c r="AE156" s="495">
        <f t="shared" si="128"/>
        <v>127</v>
      </c>
      <c r="AF156" s="496">
        <f t="shared" si="111"/>
        <v>1</v>
      </c>
      <c r="AG156" s="497">
        <f t="shared" si="129"/>
        <v>127</v>
      </c>
      <c r="AH156" s="494">
        <f t="shared" si="112"/>
        <v>1</v>
      </c>
      <c r="AI156" s="497">
        <f t="shared" si="130"/>
        <v>127</v>
      </c>
      <c r="AJ156" s="498" t="str">
        <f t="shared" si="113"/>
        <v>80-100%</v>
      </c>
      <c r="AK156" s="494">
        <f t="shared" si="114"/>
        <v>0</v>
      </c>
      <c r="AL156" s="499">
        <f t="shared" si="115"/>
        <v>0</v>
      </c>
      <c r="AM156" s="497">
        <f t="shared" si="116"/>
        <v>0.3175</v>
      </c>
      <c r="AN156" s="497">
        <f t="shared" si="117"/>
        <v>0</v>
      </c>
      <c r="AO156" s="497">
        <f t="shared" si="131"/>
        <v>76.2</v>
      </c>
      <c r="AP156" s="568">
        <v>1</v>
      </c>
      <c r="AQ156" s="577">
        <f t="shared" si="132"/>
        <v>127</v>
      </c>
      <c r="AR156" s="581"/>
      <c r="AS156" s="537">
        <v>10</v>
      </c>
      <c r="AT156" s="492">
        <v>10</v>
      </c>
      <c r="AU156" s="492">
        <v>3</v>
      </c>
      <c r="AV156" s="492" t="s">
        <v>300</v>
      </c>
      <c r="AW156" s="500">
        <f t="shared" si="118"/>
        <v>1</v>
      </c>
      <c r="AX156" s="497">
        <f t="shared" si="133"/>
        <v>127</v>
      </c>
      <c r="AY156" s="500">
        <f t="shared" si="119"/>
        <v>0.52755905511811019</v>
      </c>
      <c r="AZ156" s="497">
        <f t="shared" si="134"/>
        <v>67</v>
      </c>
      <c r="BA156" s="500">
        <f t="shared" si="120"/>
        <v>0.47244094488188976</v>
      </c>
      <c r="BB156" s="497">
        <f t="shared" si="135"/>
        <v>60</v>
      </c>
      <c r="BC156" s="492">
        <v>2</v>
      </c>
      <c r="BD156" s="493">
        <v>1</v>
      </c>
      <c r="BE156" s="501">
        <f t="shared" si="121"/>
        <v>127</v>
      </c>
      <c r="BF156" s="502">
        <f t="shared" si="136"/>
        <v>5.35</v>
      </c>
      <c r="BG156" s="492">
        <v>2</v>
      </c>
      <c r="BH156" s="492" t="s">
        <v>300</v>
      </c>
      <c r="BI156" s="500">
        <f t="shared" si="137"/>
        <v>1</v>
      </c>
      <c r="BJ156" s="497">
        <f t="shared" si="138"/>
        <v>127</v>
      </c>
      <c r="BK156" s="502">
        <f t="shared" si="139"/>
        <v>0</v>
      </c>
      <c r="BL156" s="493">
        <v>1</v>
      </c>
      <c r="BM156" s="497">
        <f t="shared" si="140"/>
        <v>127</v>
      </c>
      <c r="BN156" s="492">
        <v>0</v>
      </c>
      <c r="BO156" s="500">
        <f t="shared" si="122"/>
        <v>0</v>
      </c>
      <c r="BP156" s="502">
        <f t="shared" si="123"/>
        <v>1.27</v>
      </c>
      <c r="BQ156" s="568">
        <v>0</v>
      </c>
      <c r="BR156" s="580" t="s">
        <v>881</v>
      </c>
      <c r="BS156" s="597">
        <v>41776</v>
      </c>
      <c r="BT156" s="503">
        <f t="shared" si="143"/>
        <v>42141</v>
      </c>
      <c r="BU156" s="546">
        <v>80</v>
      </c>
      <c r="BV156" s="546">
        <v>6</v>
      </c>
      <c r="BW156" s="504">
        <f t="shared" si="144"/>
        <v>0</v>
      </c>
      <c r="BX156" s="505">
        <f t="shared" si="124"/>
        <v>1</v>
      </c>
      <c r="BY156" s="497">
        <f t="shared" si="125"/>
        <v>127</v>
      </c>
      <c r="BZ156" s="595">
        <f t="shared" si="145"/>
        <v>5</v>
      </c>
      <c r="CA156" s="537"/>
      <c r="CB156" s="571">
        <v>0.5</v>
      </c>
      <c r="CC156" s="605">
        <f t="shared" si="141"/>
        <v>63.5</v>
      </c>
      <c r="CD156" s="564">
        <v>1</v>
      </c>
      <c r="CE156" s="506" t="str">
        <f t="shared" si="142"/>
        <v>Excellent coverage</v>
      </c>
      <c r="CF156" s="546">
        <v>0</v>
      </c>
      <c r="CG156" s="563" t="s">
        <v>65</v>
      </c>
      <c r="CH156" s="580"/>
    </row>
    <row r="157" spans="2:86" s="40" customFormat="1" ht="30" customHeight="1" x14ac:dyDescent="0.2">
      <c r="B157" s="527" t="s">
        <v>186</v>
      </c>
      <c r="C157" s="488" t="s">
        <v>627</v>
      </c>
      <c r="D157" s="117" t="s">
        <v>274</v>
      </c>
      <c r="E157" s="488" t="s">
        <v>288</v>
      </c>
      <c r="F157" s="117">
        <v>97.587900000000005</v>
      </c>
      <c r="G157" s="117">
        <v>23.83</v>
      </c>
      <c r="H157" s="117" t="s">
        <v>509</v>
      </c>
      <c r="I157" s="117" t="s">
        <v>218</v>
      </c>
      <c r="J157" s="546">
        <v>115</v>
      </c>
      <c r="K157" s="546">
        <v>680</v>
      </c>
      <c r="L157" s="546">
        <v>680</v>
      </c>
      <c r="M157" s="490" t="str">
        <f t="shared" si="109"/>
        <v>2. Medium</v>
      </c>
      <c r="N157" s="528" t="s">
        <v>239</v>
      </c>
      <c r="O157" s="553" t="s">
        <v>426</v>
      </c>
      <c r="P157" s="545" t="str">
        <f t="shared" si="126"/>
        <v>Covered</v>
      </c>
      <c r="Q157" s="491">
        <v>42185</v>
      </c>
      <c r="R157" s="489" t="s">
        <v>426</v>
      </c>
      <c r="S157" s="491">
        <v>42185</v>
      </c>
      <c r="T157" s="528" t="s">
        <v>260</v>
      </c>
      <c r="U157" s="533" t="str">
        <f t="shared" si="127"/>
        <v>Documented</v>
      </c>
      <c r="V157" s="537">
        <v>0</v>
      </c>
      <c r="W157" s="492">
        <v>0</v>
      </c>
      <c r="X157" s="538" t="s">
        <v>19</v>
      </c>
      <c r="Y157" s="537">
        <v>0</v>
      </c>
      <c r="Z157" s="492">
        <v>1</v>
      </c>
      <c r="AA157" s="538">
        <v>14063</v>
      </c>
      <c r="AB157" s="567">
        <v>0.71</v>
      </c>
      <c r="AC157" s="568">
        <v>0</v>
      </c>
      <c r="AD157" s="574">
        <f t="shared" si="110"/>
        <v>1</v>
      </c>
      <c r="AE157" s="495">
        <f t="shared" si="128"/>
        <v>680</v>
      </c>
      <c r="AF157" s="496">
        <f t="shared" si="111"/>
        <v>1</v>
      </c>
      <c r="AG157" s="497">
        <f t="shared" si="129"/>
        <v>680</v>
      </c>
      <c r="AH157" s="494">
        <f t="shared" si="112"/>
        <v>1</v>
      </c>
      <c r="AI157" s="497">
        <f t="shared" si="130"/>
        <v>680</v>
      </c>
      <c r="AJ157" s="498" t="str">
        <f t="shared" si="113"/>
        <v>80-100%</v>
      </c>
      <c r="AK157" s="494">
        <f t="shared" si="114"/>
        <v>0</v>
      </c>
      <c r="AL157" s="499">
        <f t="shared" si="115"/>
        <v>0</v>
      </c>
      <c r="AM157" s="497">
        <f t="shared" si="116"/>
        <v>0.7</v>
      </c>
      <c r="AN157" s="497">
        <f t="shared" si="117"/>
        <v>0</v>
      </c>
      <c r="AO157" s="497">
        <f t="shared" si="131"/>
        <v>482.79999999999995</v>
      </c>
      <c r="AP157" s="568">
        <v>1</v>
      </c>
      <c r="AQ157" s="577">
        <f t="shared" si="132"/>
        <v>680</v>
      </c>
      <c r="AR157" s="581"/>
      <c r="AS157" s="537">
        <v>8</v>
      </c>
      <c r="AT157" s="492">
        <v>8</v>
      </c>
      <c r="AU157" s="492">
        <v>8</v>
      </c>
      <c r="AV157" s="492" t="s">
        <v>299</v>
      </c>
      <c r="AW157" s="500">
        <f t="shared" si="118"/>
        <v>0.47058823529411764</v>
      </c>
      <c r="AX157" s="497">
        <f t="shared" si="133"/>
        <v>320</v>
      </c>
      <c r="AY157" s="500">
        <f t="shared" si="119"/>
        <v>0.23529411764705882</v>
      </c>
      <c r="AZ157" s="497">
        <f t="shared" si="134"/>
        <v>160</v>
      </c>
      <c r="BA157" s="500">
        <f t="shared" si="120"/>
        <v>0.23529411764705882</v>
      </c>
      <c r="BB157" s="497">
        <f t="shared" si="135"/>
        <v>160</v>
      </c>
      <c r="BC157" s="492">
        <v>0</v>
      </c>
      <c r="BD157" s="493">
        <v>0.47</v>
      </c>
      <c r="BE157" s="501">
        <f t="shared" si="121"/>
        <v>319.59999999999997</v>
      </c>
      <c r="BF157" s="502">
        <f t="shared" si="136"/>
        <v>26</v>
      </c>
      <c r="BG157" s="492">
        <v>1</v>
      </c>
      <c r="BH157" s="492" t="s">
        <v>301</v>
      </c>
      <c r="BI157" s="500">
        <f t="shared" si="137"/>
        <v>0.14705882352941177</v>
      </c>
      <c r="BJ157" s="497">
        <f t="shared" si="138"/>
        <v>100</v>
      </c>
      <c r="BK157" s="502">
        <f t="shared" si="139"/>
        <v>5.8</v>
      </c>
      <c r="BL157" s="493">
        <v>0.18</v>
      </c>
      <c r="BM157" s="497">
        <f>BL157*L157</f>
        <v>122.39999999999999</v>
      </c>
      <c r="BN157" s="492">
        <v>4</v>
      </c>
      <c r="BO157" s="500">
        <f t="shared" si="122"/>
        <v>0.58823529411764708</v>
      </c>
      <c r="BP157" s="502">
        <f t="shared" si="123"/>
        <v>2.8</v>
      </c>
      <c r="BQ157" s="568">
        <v>0.72</v>
      </c>
      <c r="BR157" s="580" t="s">
        <v>882</v>
      </c>
      <c r="BS157" s="597">
        <v>41983</v>
      </c>
      <c r="BT157" s="503">
        <f t="shared" si="143"/>
        <v>42348</v>
      </c>
      <c r="BU157" s="546">
        <v>115</v>
      </c>
      <c r="BV157" s="546">
        <v>9</v>
      </c>
      <c r="BW157" s="504">
        <f t="shared" si="144"/>
        <v>0</v>
      </c>
      <c r="BX157" s="505">
        <f t="shared" si="124"/>
        <v>1</v>
      </c>
      <c r="BY157" s="497">
        <f t="shared" si="125"/>
        <v>680</v>
      </c>
      <c r="BZ157" s="595">
        <f t="shared" si="145"/>
        <v>0</v>
      </c>
      <c r="CA157" s="537"/>
      <c r="CB157" s="571">
        <v>1</v>
      </c>
      <c r="CC157" s="605">
        <f t="shared" si="141"/>
        <v>680</v>
      </c>
      <c r="CD157" s="564">
        <v>6</v>
      </c>
      <c r="CE157" s="506" t="str">
        <f t="shared" si="142"/>
        <v>Excellent coverage</v>
      </c>
      <c r="CF157" s="546">
        <v>0</v>
      </c>
      <c r="CG157" s="563" t="s">
        <v>65</v>
      </c>
      <c r="CH157" s="580"/>
    </row>
    <row r="158" spans="2:86" s="40" customFormat="1" ht="30" customHeight="1" x14ac:dyDescent="0.2">
      <c r="B158" s="527" t="s">
        <v>186</v>
      </c>
      <c r="C158" s="488" t="s">
        <v>628</v>
      </c>
      <c r="D158" s="117" t="s">
        <v>274</v>
      </c>
      <c r="E158" s="488" t="s">
        <v>289</v>
      </c>
      <c r="F158" s="117">
        <v>97.596000000000004</v>
      </c>
      <c r="G158" s="117">
        <v>23.831</v>
      </c>
      <c r="H158" s="117" t="s">
        <v>509</v>
      </c>
      <c r="I158" s="117" t="s">
        <v>218</v>
      </c>
      <c r="J158" s="546">
        <v>477</v>
      </c>
      <c r="K158" s="546">
        <v>2101</v>
      </c>
      <c r="L158" s="546">
        <v>2101</v>
      </c>
      <c r="M158" s="490" t="str">
        <f t="shared" si="109"/>
        <v>3. Large</v>
      </c>
      <c r="N158" s="528" t="s">
        <v>235</v>
      </c>
      <c r="O158" s="553" t="s">
        <v>426</v>
      </c>
      <c r="P158" s="545" t="str">
        <f t="shared" si="126"/>
        <v>Covered</v>
      </c>
      <c r="Q158" s="491">
        <v>42185</v>
      </c>
      <c r="R158" s="489" t="s">
        <v>426</v>
      </c>
      <c r="S158" s="491">
        <v>42185</v>
      </c>
      <c r="T158" s="528" t="s">
        <v>260</v>
      </c>
      <c r="U158" s="533" t="str">
        <f t="shared" si="127"/>
        <v>Documented</v>
      </c>
      <c r="V158" s="537">
        <v>0</v>
      </c>
      <c r="W158" s="492">
        <v>0</v>
      </c>
      <c r="X158" s="538" t="s">
        <v>19</v>
      </c>
      <c r="Y158" s="537">
        <v>2</v>
      </c>
      <c r="Z158" s="492">
        <v>1</v>
      </c>
      <c r="AA158" s="538">
        <v>43140</v>
      </c>
      <c r="AB158" s="567">
        <v>0.28000000000000003</v>
      </c>
      <c r="AC158" s="568">
        <v>0</v>
      </c>
      <c r="AD158" s="574">
        <f t="shared" si="110"/>
        <v>1</v>
      </c>
      <c r="AE158" s="495">
        <f t="shared" si="128"/>
        <v>2101</v>
      </c>
      <c r="AF158" s="496">
        <f t="shared" si="111"/>
        <v>1</v>
      </c>
      <c r="AG158" s="497">
        <f t="shared" si="129"/>
        <v>2101</v>
      </c>
      <c r="AH158" s="494">
        <f t="shared" si="112"/>
        <v>1</v>
      </c>
      <c r="AI158" s="497">
        <f t="shared" si="130"/>
        <v>2101</v>
      </c>
      <c r="AJ158" s="498" t="str">
        <f t="shared" si="113"/>
        <v>80-100%</v>
      </c>
      <c r="AK158" s="494">
        <f t="shared" si="114"/>
        <v>0</v>
      </c>
      <c r="AL158" s="499">
        <f t="shared" si="115"/>
        <v>0</v>
      </c>
      <c r="AM158" s="497">
        <f t="shared" si="116"/>
        <v>2.2525000000000004</v>
      </c>
      <c r="AN158" s="497">
        <f t="shared" si="117"/>
        <v>0</v>
      </c>
      <c r="AO158" s="497">
        <f t="shared" si="131"/>
        <v>588.28000000000009</v>
      </c>
      <c r="AP158" s="568">
        <v>1</v>
      </c>
      <c r="AQ158" s="577">
        <f t="shared" si="132"/>
        <v>2101</v>
      </c>
      <c r="AR158" s="581"/>
      <c r="AS158" s="537">
        <v>65</v>
      </c>
      <c r="AT158" s="492">
        <v>65</v>
      </c>
      <c r="AU158" s="492">
        <v>20</v>
      </c>
      <c r="AV158" s="492" t="s">
        <v>299</v>
      </c>
      <c r="AW158" s="500">
        <f t="shared" ref="AW158:AW179" si="146">IF((((AT158+AU158)*20)/L158)&gt;1,1,(((AT158+AU158)*20)/L158))</f>
        <v>0.80913850547358401</v>
      </c>
      <c r="AX158" s="497">
        <f t="shared" ref="AX158:AX179" si="147">AW158*L158</f>
        <v>1700</v>
      </c>
      <c r="AY158" s="500">
        <f t="shared" ref="AY158:AY179" si="148">AW158-BA158</f>
        <v>0.61875297477391722</v>
      </c>
      <c r="AZ158" s="497">
        <f t="shared" ref="AZ158:AZ179" si="149">AY158*L158</f>
        <v>1300</v>
      </c>
      <c r="BA158" s="500">
        <f t="shared" ref="BA158:BA179" si="150">IF(((AU158*20)/L158)&gt;1,1,((AU158*20)/L158))</f>
        <v>0.19038553069966682</v>
      </c>
      <c r="BB158" s="497">
        <f t="shared" ref="BB158:BB179" si="151">BA158*L158</f>
        <v>400</v>
      </c>
      <c r="BC158" s="492">
        <v>18</v>
      </c>
      <c r="BD158" s="493">
        <v>0.81</v>
      </c>
      <c r="BE158" s="501">
        <f t="shared" si="121"/>
        <v>1701.8100000000002</v>
      </c>
      <c r="BF158" s="502">
        <f t="shared" si="136"/>
        <v>103.05</v>
      </c>
      <c r="BG158" s="492">
        <v>4</v>
      </c>
      <c r="BH158" s="492" t="s">
        <v>91</v>
      </c>
      <c r="BI158" s="500">
        <f t="shared" ref="BI158:BI179" si="152">IF((BG158*100/L158)&gt;1,1,(BG158*100/L158))</f>
        <v>0.19038553069966682</v>
      </c>
      <c r="BJ158" s="497">
        <f t="shared" ref="BJ158:BJ179" si="153">BI158*L158</f>
        <v>400</v>
      </c>
      <c r="BK158" s="502">
        <f t="shared" ref="BK158:BK179" si="154">IF(K158/100-BG158&lt;0,0,K158/100-BG158)</f>
        <v>17.010000000000002</v>
      </c>
      <c r="BL158" s="493">
        <v>0.19</v>
      </c>
      <c r="BM158" s="497">
        <f t="shared" ref="BM158:BM179" si="155">BL158*L158</f>
        <v>399.19</v>
      </c>
      <c r="BN158" s="492">
        <v>16</v>
      </c>
      <c r="BO158" s="500">
        <f t="shared" ref="BO158:BO179" si="156">IF((BN158*100/L158)&gt;1,1,(BN158*100/L158))</f>
        <v>0.76154212279866729</v>
      </c>
      <c r="BP158" s="502">
        <f t="shared" ref="BP158:BP179" si="157">IF(K158/100-BN158&lt;0,0,K158/100-BN158)</f>
        <v>5.0100000000000016</v>
      </c>
      <c r="BQ158" s="568">
        <v>0.76</v>
      </c>
      <c r="BR158" s="580" t="s">
        <v>917</v>
      </c>
      <c r="BS158" s="597">
        <v>41983</v>
      </c>
      <c r="BT158" s="503">
        <f t="shared" si="143"/>
        <v>42348</v>
      </c>
      <c r="BU158" s="546">
        <v>477</v>
      </c>
      <c r="BV158" s="546">
        <v>9</v>
      </c>
      <c r="BW158" s="504">
        <f t="shared" si="144"/>
        <v>0</v>
      </c>
      <c r="BX158" s="505">
        <f t="shared" si="124"/>
        <v>1</v>
      </c>
      <c r="BY158" s="497">
        <f t="shared" si="125"/>
        <v>2101</v>
      </c>
      <c r="BZ158" s="595">
        <f t="shared" si="145"/>
        <v>0</v>
      </c>
      <c r="CA158" s="537"/>
      <c r="CB158" s="571">
        <v>1</v>
      </c>
      <c r="CC158" s="605">
        <f t="shared" si="141"/>
        <v>2101</v>
      </c>
      <c r="CD158" s="564">
        <v>19</v>
      </c>
      <c r="CE158" s="506" t="str">
        <f t="shared" si="142"/>
        <v>Excellent coverage</v>
      </c>
      <c r="CF158" s="546">
        <v>0</v>
      </c>
      <c r="CG158" s="563" t="s">
        <v>65</v>
      </c>
      <c r="CH158" s="580"/>
    </row>
    <row r="159" spans="2:86" s="40" customFormat="1" ht="30" customHeight="1" x14ac:dyDescent="0.2">
      <c r="B159" s="527" t="s">
        <v>538</v>
      </c>
      <c r="C159" s="488" t="s">
        <v>651</v>
      </c>
      <c r="D159" s="117" t="s">
        <v>274</v>
      </c>
      <c r="E159" s="488" t="s">
        <v>215</v>
      </c>
      <c r="F159" s="117">
        <v>97.681920000000005</v>
      </c>
      <c r="G159" s="117">
        <v>23.821317000000001</v>
      </c>
      <c r="H159" s="117" t="s">
        <v>509</v>
      </c>
      <c r="I159" s="117" t="s">
        <v>218</v>
      </c>
      <c r="J159" s="546">
        <v>77</v>
      </c>
      <c r="K159" s="546">
        <v>324</v>
      </c>
      <c r="L159" s="546">
        <v>324</v>
      </c>
      <c r="M159" s="490" t="str">
        <f t="shared" si="109"/>
        <v>2. Medium</v>
      </c>
      <c r="N159" s="528" t="s">
        <v>239</v>
      </c>
      <c r="O159" s="553" t="s">
        <v>426</v>
      </c>
      <c r="P159" s="545" t="str">
        <f t="shared" si="126"/>
        <v>Covered</v>
      </c>
      <c r="Q159" s="491">
        <v>42185</v>
      </c>
      <c r="R159" s="489" t="s">
        <v>426</v>
      </c>
      <c r="S159" s="491">
        <v>42185</v>
      </c>
      <c r="T159" s="528" t="s">
        <v>260</v>
      </c>
      <c r="U159" s="533" t="str">
        <f t="shared" si="127"/>
        <v>Documented</v>
      </c>
      <c r="V159" s="537">
        <v>0</v>
      </c>
      <c r="W159" s="492">
        <v>0</v>
      </c>
      <c r="X159" s="538" t="s">
        <v>19</v>
      </c>
      <c r="Y159" s="537">
        <v>0</v>
      </c>
      <c r="Z159" s="492">
        <v>0</v>
      </c>
      <c r="AA159" s="538">
        <v>72000</v>
      </c>
      <c r="AB159" s="567">
        <v>1</v>
      </c>
      <c r="AC159" s="568">
        <v>0</v>
      </c>
      <c r="AD159" s="574">
        <f t="shared" si="110"/>
        <v>1</v>
      </c>
      <c r="AE159" s="495">
        <f t="shared" si="128"/>
        <v>324</v>
      </c>
      <c r="AF159" s="496">
        <f t="shared" si="111"/>
        <v>1</v>
      </c>
      <c r="AG159" s="497">
        <f t="shared" si="129"/>
        <v>324</v>
      </c>
      <c r="AH159" s="494">
        <f t="shared" si="112"/>
        <v>1</v>
      </c>
      <c r="AI159" s="497">
        <f t="shared" si="130"/>
        <v>324</v>
      </c>
      <c r="AJ159" s="498" t="str">
        <f t="shared" si="113"/>
        <v>80-100%</v>
      </c>
      <c r="AK159" s="494">
        <f t="shared" si="114"/>
        <v>0</v>
      </c>
      <c r="AL159" s="499">
        <f t="shared" si="115"/>
        <v>0</v>
      </c>
      <c r="AM159" s="497">
        <f t="shared" si="116"/>
        <v>0.81</v>
      </c>
      <c r="AN159" s="497">
        <f t="shared" si="117"/>
        <v>0</v>
      </c>
      <c r="AO159" s="497">
        <f t="shared" si="131"/>
        <v>324</v>
      </c>
      <c r="AP159" s="568">
        <v>1</v>
      </c>
      <c r="AQ159" s="577">
        <f t="shared" si="132"/>
        <v>324</v>
      </c>
      <c r="AR159" s="581"/>
      <c r="AS159" s="537">
        <v>17</v>
      </c>
      <c r="AT159" s="492">
        <v>16</v>
      </c>
      <c r="AU159" s="492">
        <v>0</v>
      </c>
      <c r="AV159" s="492" t="s">
        <v>300</v>
      </c>
      <c r="AW159" s="500">
        <f t="shared" si="146"/>
        <v>0.98765432098765427</v>
      </c>
      <c r="AX159" s="497">
        <f t="shared" si="147"/>
        <v>320</v>
      </c>
      <c r="AY159" s="500">
        <f t="shared" si="148"/>
        <v>0.98765432098765427</v>
      </c>
      <c r="AZ159" s="497">
        <f t="shared" si="149"/>
        <v>320</v>
      </c>
      <c r="BA159" s="500">
        <f t="shared" si="150"/>
        <v>0</v>
      </c>
      <c r="BB159" s="497">
        <f t="shared" si="151"/>
        <v>0</v>
      </c>
      <c r="BC159" s="492">
        <v>1</v>
      </c>
      <c r="BD159" s="493">
        <v>0.99</v>
      </c>
      <c r="BE159" s="501">
        <f t="shared" si="121"/>
        <v>320.76</v>
      </c>
      <c r="BF159" s="502">
        <f t="shared" si="136"/>
        <v>17.2</v>
      </c>
      <c r="BG159" s="492">
        <v>1</v>
      </c>
      <c r="BH159" s="492" t="s">
        <v>91</v>
      </c>
      <c r="BI159" s="500">
        <f t="shared" si="152"/>
        <v>0.30864197530864196</v>
      </c>
      <c r="BJ159" s="497">
        <f t="shared" si="153"/>
        <v>100</v>
      </c>
      <c r="BK159" s="502">
        <f t="shared" si="154"/>
        <v>2.2400000000000002</v>
      </c>
      <c r="BL159" s="493">
        <v>0.33</v>
      </c>
      <c r="BM159" s="497">
        <f t="shared" si="155"/>
        <v>106.92</v>
      </c>
      <c r="BN159" s="492">
        <v>4</v>
      </c>
      <c r="BO159" s="500">
        <f t="shared" si="156"/>
        <v>1</v>
      </c>
      <c r="BP159" s="502">
        <f t="shared" si="157"/>
        <v>0</v>
      </c>
      <c r="BQ159" s="568">
        <v>1</v>
      </c>
      <c r="BR159" s="580" t="s">
        <v>728</v>
      </c>
      <c r="BS159" s="597">
        <v>41983</v>
      </c>
      <c r="BT159" s="503">
        <f t="shared" si="143"/>
        <v>42348</v>
      </c>
      <c r="BU159" s="546">
        <v>77</v>
      </c>
      <c r="BV159" s="546">
        <v>14</v>
      </c>
      <c r="BW159" s="504">
        <f t="shared" si="144"/>
        <v>0</v>
      </c>
      <c r="BX159" s="505">
        <f t="shared" si="124"/>
        <v>1</v>
      </c>
      <c r="BY159" s="497">
        <f t="shared" si="125"/>
        <v>324</v>
      </c>
      <c r="BZ159" s="595">
        <f t="shared" si="145"/>
        <v>0</v>
      </c>
      <c r="CA159" s="537"/>
      <c r="CB159" s="571">
        <v>0.4</v>
      </c>
      <c r="CC159" s="605">
        <f t="shared" si="141"/>
        <v>129.6</v>
      </c>
      <c r="CD159" s="564">
        <v>3</v>
      </c>
      <c r="CE159" s="506" t="str">
        <f t="shared" si="142"/>
        <v>Excellent coverage</v>
      </c>
      <c r="CF159" s="546">
        <v>0</v>
      </c>
      <c r="CG159" s="563" t="s">
        <v>302</v>
      </c>
      <c r="CH159" s="580"/>
    </row>
    <row r="160" spans="2:86" s="40" customFormat="1" ht="30" customHeight="1" x14ac:dyDescent="0.2">
      <c r="B160" s="527" t="s">
        <v>538</v>
      </c>
      <c r="C160" s="488" t="s">
        <v>652</v>
      </c>
      <c r="D160" s="117" t="s">
        <v>274</v>
      </c>
      <c r="E160" s="488" t="s">
        <v>216</v>
      </c>
      <c r="F160" s="117">
        <v>97.683499999999995</v>
      </c>
      <c r="G160" s="117">
        <v>23.831700000000001</v>
      </c>
      <c r="H160" s="117" t="s">
        <v>509</v>
      </c>
      <c r="I160" s="117" t="s">
        <v>218</v>
      </c>
      <c r="J160" s="546">
        <v>73</v>
      </c>
      <c r="K160" s="546">
        <v>379</v>
      </c>
      <c r="L160" s="546">
        <v>379</v>
      </c>
      <c r="M160" s="490" t="str">
        <f t="shared" si="109"/>
        <v>2. Medium</v>
      </c>
      <c r="N160" s="528" t="s">
        <v>239</v>
      </c>
      <c r="O160" s="553" t="s">
        <v>426</v>
      </c>
      <c r="P160" s="545" t="str">
        <f t="shared" si="126"/>
        <v>Covered</v>
      </c>
      <c r="Q160" s="491">
        <v>42185</v>
      </c>
      <c r="R160" s="489" t="s">
        <v>426</v>
      </c>
      <c r="S160" s="491">
        <v>42185</v>
      </c>
      <c r="T160" s="528" t="s">
        <v>260</v>
      </c>
      <c r="U160" s="533" t="str">
        <f t="shared" si="127"/>
        <v>Documented</v>
      </c>
      <c r="V160" s="537">
        <v>0</v>
      </c>
      <c r="W160" s="492">
        <v>0</v>
      </c>
      <c r="X160" s="538" t="s">
        <v>19</v>
      </c>
      <c r="Y160" s="537">
        <v>0</v>
      </c>
      <c r="Z160" s="492">
        <v>0</v>
      </c>
      <c r="AA160" s="538">
        <v>15200</v>
      </c>
      <c r="AB160" s="567">
        <v>0</v>
      </c>
      <c r="AC160" s="568">
        <v>0</v>
      </c>
      <c r="AD160" s="574">
        <f t="shared" si="110"/>
        <v>1</v>
      </c>
      <c r="AE160" s="495">
        <f t="shared" si="128"/>
        <v>379</v>
      </c>
      <c r="AF160" s="496">
        <f t="shared" si="111"/>
        <v>1</v>
      </c>
      <c r="AG160" s="497">
        <f t="shared" si="129"/>
        <v>379</v>
      </c>
      <c r="AH160" s="494">
        <f t="shared" si="112"/>
        <v>1</v>
      </c>
      <c r="AI160" s="497">
        <f t="shared" si="130"/>
        <v>379</v>
      </c>
      <c r="AJ160" s="498" t="str">
        <f t="shared" si="113"/>
        <v>80-100%</v>
      </c>
      <c r="AK160" s="494">
        <f t="shared" si="114"/>
        <v>0</v>
      </c>
      <c r="AL160" s="499">
        <f t="shared" si="115"/>
        <v>0</v>
      </c>
      <c r="AM160" s="497">
        <f t="shared" si="116"/>
        <v>0.94750000000000001</v>
      </c>
      <c r="AN160" s="497">
        <f t="shared" si="117"/>
        <v>0</v>
      </c>
      <c r="AO160" s="497">
        <f t="shared" si="131"/>
        <v>0</v>
      </c>
      <c r="AP160" s="568">
        <v>1</v>
      </c>
      <c r="AQ160" s="577">
        <f t="shared" si="132"/>
        <v>379</v>
      </c>
      <c r="AR160" s="581"/>
      <c r="AS160" s="537">
        <v>4</v>
      </c>
      <c r="AT160" s="492">
        <v>0</v>
      </c>
      <c r="AU160" s="492">
        <v>10</v>
      </c>
      <c r="AV160" s="492" t="s">
        <v>300</v>
      </c>
      <c r="AW160" s="500">
        <f t="shared" si="146"/>
        <v>0.52770448548812665</v>
      </c>
      <c r="AX160" s="497">
        <f t="shared" si="147"/>
        <v>200</v>
      </c>
      <c r="AY160" s="500">
        <f t="shared" si="148"/>
        <v>0</v>
      </c>
      <c r="AZ160" s="497">
        <f t="shared" si="149"/>
        <v>0</v>
      </c>
      <c r="BA160" s="500">
        <f t="shared" si="150"/>
        <v>0.52770448548812665</v>
      </c>
      <c r="BB160" s="497">
        <f t="shared" si="151"/>
        <v>200</v>
      </c>
      <c r="BC160" s="492">
        <v>3</v>
      </c>
      <c r="BD160" s="493">
        <v>0.53</v>
      </c>
      <c r="BE160" s="501">
        <f t="shared" si="121"/>
        <v>200.87</v>
      </c>
      <c r="BF160" s="502">
        <f t="shared" si="136"/>
        <v>11.95</v>
      </c>
      <c r="BG160" s="492">
        <v>2</v>
      </c>
      <c r="BH160" s="492" t="s">
        <v>300</v>
      </c>
      <c r="BI160" s="500">
        <f t="shared" si="152"/>
        <v>0.52770448548812665</v>
      </c>
      <c r="BJ160" s="497">
        <f t="shared" si="153"/>
        <v>200</v>
      </c>
      <c r="BK160" s="502">
        <f t="shared" si="154"/>
        <v>1.79</v>
      </c>
      <c r="BL160" s="493">
        <v>0.53</v>
      </c>
      <c r="BM160" s="497">
        <f t="shared" si="155"/>
        <v>200.87</v>
      </c>
      <c r="BN160" s="492">
        <v>5</v>
      </c>
      <c r="BO160" s="500">
        <f t="shared" si="156"/>
        <v>1</v>
      </c>
      <c r="BP160" s="502">
        <f t="shared" si="157"/>
        <v>0</v>
      </c>
      <c r="BQ160" s="568">
        <v>1</v>
      </c>
      <c r="BR160" s="580" t="s">
        <v>812</v>
      </c>
      <c r="BS160" s="597">
        <v>41983</v>
      </c>
      <c r="BT160" s="503">
        <f t="shared" si="143"/>
        <v>42348</v>
      </c>
      <c r="BU160" s="546">
        <v>73</v>
      </c>
      <c r="BV160" s="546">
        <v>14</v>
      </c>
      <c r="BW160" s="504">
        <f t="shared" ref="BW160:BW179" si="158">IF(BT160="n/a",0,IF(BT160="To be realised",J160,IF((J160-BU160)&lt;0,0,(J160-BU160))))</f>
        <v>0</v>
      </c>
      <c r="BX160" s="505">
        <f t="shared" ref="BX160:BX179" si="159">IF(BW160=0,1,(J160-BW160)/J160)</f>
        <v>1</v>
      </c>
      <c r="BY160" s="497">
        <f t="shared" ref="BY160:BY179" si="160">BX160*L160</f>
        <v>379</v>
      </c>
      <c r="BZ160" s="595">
        <f t="shared" si="145"/>
        <v>0</v>
      </c>
      <c r="CA160" s="537"/>
      <c r="CB160" s="571">
        <v>1</v>
      </c>
      <c r="CC160" s="605">
        <f t="shared" si="141"/>
        <v>379</v>
      </c>
      <c r="CD160" s="564">
        <v>5</v>
      </c>
      <c r="CE160" s="506" t="str">
        <f t="shared" si="142"/>
        <v>Excellent coverage</v>
      </c>
      <c r="CF160" s="546">
        <v>0</v>
      </c>
      <c r="CG160" s="563" t="s">
        <v>66</v>
      </c>
      <c r="CH160" s="580" t="s">
        <v>852</v>
      </c>
    </row>
    <row r="161" spans="2:86" s="40" customFormat="1" ht="30" customHeight="1" x14ac:dyDescent="0.2">
      <c r="B161" s="527" t="s">
        <v>538</v>
      </c>
      <c r="C161" s="488" t="s">
        <v>653</v>
      </c>
      <c r="D161" s="117" t="s">
        <v>274</v>
      </c>
      <c r="E161" s="488" t="s">
        <v>217</v>
      </c>
      <c r="F161" s="117">
        <v>97.685199999999995</v>
      </c>
      <c r="G161" s="117">
        <v>23.833100000000002</v>
      </c>
      <c r="H161" s="117" t="s">
        <v>509</v>
      </c>
      <c r="I161" s="117" t="s">
        <v>218</v>
      </c>
      <c r="J161" s="546">
        <v>50</v>
      </c>
      <c r="K161" s="546">
        <v>234</v>
      </c>
      <c r="L161" s="546">
        <v>234</v>
      </c>
      <c r="M161" s="490" t="str">
        <f t="shared" si="109"/>
        <v>1. Small</v>
      </c>
      <c r="N161" s="528" t="s">
        <v>235</v>
      </c>
      <c r="O161" s="553" t="s">
        <v>426</v>
      </c>
      <c r="P161" s="545" t="str">
        <f t="shared" si="126"/>
        <v>Covered</v>
      </c>
      <c r="Q161" s="491">
        <v>42185</v>
      </c>
      <c r="R161" s="489" t="s">
        <v>426</v>
      </c>
      <c r="S161" s="491">
        <v>42185</v>
      </c>
      <c r="T161" s="528" t="s">
        <v>260</v>
      </c>
      <c r="U161" s="533" t="str">
        <f t="shared" si="127"/>
        <v>Documented</v>
      </c>
      <c r="V161" s="537">
        <v>0</v>
      </c>
      <c r="W161" s="492">
        <v>0</v>
      </c>
      <c r="X161" s="538" t="s">
        <v>19</v>
      </c>
      <c r="Y161" s="564">
        <v>1</v>
      </c>
      <c r="Z161" s="546">
        <v>0</v>
      </c>
      <c r="AA161" s="563">
        <v>35500</v>
      </c>
      <c r="AB161" s="570">
        <v>0.8</v>
      </c>
      <c r="AC161" s="571">
        <v>0</v>
      </c>
      <c r="AD161" s="574">
        <f t="shared" si="110"/>
        <v>1</v>
      </c>
      <c r="AE161" s="495">
        <f t="shared" si="128"/>
        <v>234</v>
      </c>
      <c r="AF161" s="496">
        <f t="shared" si="111"/>
        <v>1</v>
      </c>
      <c r="AG161" s="497">
        <f t="shared" si="129"/>
        <v>234</v>
      </c>
      <c r="AH161" s="494">
        <f t="shared" si="112"/>
        <v>1</v>
      </c>
      <c r="AI161" s="497">
        <f t="shared" si="130"/>
        <v>234</v>
      </c>
      <c r="AJ161" s="498" t="str">
        <f t="shared" si="113"/>
        <v>80-100%</v>
      </c>
      <c r="AK161" s="494">
        <f t="shared" si="114"/>
        <v>0</v>
      </c>
      <c r="AL161" s="499">
        <f t="shared" si="115"/>
        <v>0</v>
      </c>
      <c r="AM161" s="497">
        <f t="shared" si="116"/>
        <v>0</v>
      </c>
      <c r="AN161" s="497">
        <f t="shared" si="117"/>
        <v>0</v>
      </c>
      <c r="AO161" s="497">
        <f t="shared" si="131"/>
        <v>187.20000000000002</v>
      </c>
      <c r="AP161" s="571">
        <v>1</v>
      </c>
      <c r="AQ161" s="577">
        <f t="shared" si="132"/>
        <v>234</v>
      </c>
      <c r="AR161" s="581"/>
      <c r="AS161" s="537">
        <v>0</v>
      </c>
      <c r="AT161" s="492">
        <v>0</v>
      </c>
      <c r="AU161" s="492">
        <v>15</v>
      </c>
      <c r="AV161" s="492" t="s">
        <v>300</v>
      </c>
      <c r="AW161" s="500">
        <f t="shared" si="146"/>
        <v>1</v>
      </c>
      <c r="AX161" s="497">
        <f t="shared" si="147"/>
        <v>234</v>
      </c>
      <c r="AY161" s="500">
        <f t="shared" si="148"/>
        <v>0</v>
      </c>
      <c r="AZ161" s="497">
        <f t="shared" si="149"/>
        <v>0</v>
      </c>
      <c r="BA161" s="500">
        <f t="shared" si="150"/>
        <v>1</v>
      </c>
      <c r="BB161" s="497">
        <f t="shared" si="151"/>
        <v>234</v>
      </c>
      <c r="BC161" s="492">
        <v>3</v>
      </c>
      <c r="BD161" s="493">
        <v>1</v>
      </c>
      <c r="BE161" s="501">
        <f t="shared" si="121"/>
        <v>234</v>
      </c>
      <c r="BF161" s="502">
        <f t="shared" si="136"/>
        <v>0</v>
      </c>
      <c r="BG161" s="492">
        <v>2</v>
      </c>
      <c r="BH161" s="492" t="s">
        <v>300</v>
      </c>
      <c r="BI161" s="500">
        <f t="shared" si="152"/>
        <v>0.85470085470085466</v>
      </c>
      <c r="BJ161" s="497">
        <f t="shared" si="153"/>
        <v>200</v>
      </c>
      <c r="BK161" s="502">
        <f t="shared" si="154"/>
        <v>0.33999999999999986</v>
      </c>
      <c r="BL161" s="493">
        <v>0.85</v>
      </c>
      <c r="BM161" s="497">
        <f t="shared" si="155"/>
        <v>198.9</v>
      </c>
      <c r="BN161" s="492">
        <v>0</v>
      </c>
      <c r="BO161" s="500">
        <f t="shared" si="156"/>
        <v>0</v>
      </c>
      <c r="BP161" s="502">
        <f t="shared" si="157"/>
        <v>2.34</v>
      </c>
      <c r="BQ161" s="568">
        <v>0</v>
      </c>
      <c r="BR161" s="580" t="s">
        <v>727</v>
      </c>
      <c r="BS161" s="597">
        <v>41983</v>
      </c>
      <c r="BT161" s="503">
        <f t="shared" si="143"/>
        <v>42348</v>
      </c>
      <c r="BU161" s="546">
        <v>53</v>
      </c>
      <c r="BV161" s="546">
        <v>14</v>
      </c>
      <c r="BW161" s="508">
        <f t="shared" si="158"/>
        <v>0</v>
      </c>
      <c r="BX161" s="509">
        <f t="shared" si="159"/>
        <v>1</v>
      </c>
      <c r="BY161" s="501">
        <f t="shared" si="160"/>
        <v>234</v>
      </c>
      <c r="BZ161" s="598">
        <f t="shared" si="145"/>
        <v>0</v>
      </c>
      <c r="CA161" s="537"/>
      <c r="CB161" s="571">
        <v>0</v>
      </c>
      <c r="CC161" s="605">
        <f t="shared" si="141"/>
        <v>0</v>
      </c>
      <c r="CD161" s="564">
        <v>3</v>
      </c>
      <c r="CE161" s="506" t="str">
        <f t="shared" si="142"/>
        <v>Excellent coverage</v>
      </c>
      <c r="CF161" s="546">
        <v>0</v>
      </c>
      <c r="CG161" s="563" t="s">
        <v>66</v>
      </c>
      <c r="CH161" s="580" t="s">
        <v>852</v>
      </c>
    </row>
    <row r="162" spans="2:86" s="40" customFormat="1" ht="30" customHeight="1" x14ac:dyDescent="0.2">
      <c r="B162" s="527" t="s">
        <v>214</v>
      </c>
      <c r="C162" s="488" t="s">
        <v>802</v>
      </c>
      <c r="D162" s="117" t="s">
        <v>274</v>
      </c>
      <c r="E162" s="488" t="s">
        <v>704</v>
      </c>
      <c r="F162" s="117">
        <v>98.132779999999997</v>
      </c>
      <c r="G162" s="117">
        <v>23.951699999999999</v>
      </c>
      <c r="H162" s="117" t="s">
        <v>509</v>
      </c>
      <c r="I162" s="117" t="s">
        <v>218</v>
      </c>
      <c r="J162" s="546">
        <v>10</v>
      </c>
      <c r="K162" s="546">
        <v>48</v>
      </c>
      <c r="L162" s="546">
        <v>48</v>
      </c>
      <c r="M162" s="490" t="str">
        <f t="shared" si="109"/>
        <v>1. Small</v>
      </c>
      <c r="N162" s="528" t="s">
        <v>239</v>
      </c>
      <c r="O162" s="553" t="s">
        <v>237</v>
      </c>
      <c r="P162" s="545" t="str">
        <f t="shared" si="126"/>
        <v>Covered</v>
      </c>
      <c r="Q162" s="491" t="s">
        <v>895</v>
      </c>
      <c r="R162" s="489"/>
      <c r="S162" s="491"/>
      <c r="T162" s="528" t="s">
        <v>260</v>
      </c>
      <c r="U162" s="533" t="str">
        <f t="shared" si="127"/>
        <v>Documented</v>
      </c>
      <c r="V162" s="537">
        <v>0</v>
      </c>
      <c r="W162" s="492">
        <v>0</v>
      </c>
      <c r="X162" s="538" t="s">
        <v>19</v>
      </c>
      <c r="Y162" s="564">
        <v>0</v>
      </c>
      <c r="Z162" s="546">
        <v>0</v>
      </c>
      <c r="AA162" s="563">
        <v>0</v>
      </c>
      <c r="AB162" s="570">
        <v>1</v>
      </c>
      <c r="AC162" s="571">
        <v>0</v>
      </c>
      <c r="AD162" s="574">
        <f t="shared" si="110"/>
        <v>0</v>
      </c>
      <c r="AE162" s="495">
        <f t="shared" si="128"/>
        <v>0</v>
      </c>
      <c r="AF162" s="496">
        <f t="shared" si="111"/>
        <v>0</v>
      </c>
      <c r="AG162" s="497">
        <f t="shared" si="129"/>
        <v>0</v>
      </c>
      <c r="AH162" s="494">
        <f t="shared" si="112"/>
        <v>0</v>
      </c>
      <c r="AI162" s="497">
        <f t="shared" si="130"/>
        <v>0</v>
      </c>
      <c r="AJ162" s="498" t="str">
        <f t="shared" si="113"/>
        <v>0-10%</v>
      </c>
      <c r="AK162" s="494">
        <f t="shared" si="114"/>
        <v>0</v>
      </c>
      <c r="AL162" s="499">
        <f t="shared" si="115"/>
        <v>0</v>
      </c>
      <c r="AM162" s="497">
        <f t="shared" si="116"/>
        <v>0.12</v>
      </c>
      <c r="AN162" s="497">
        <f t="shared" si="117"/>
        <v>0</v>
      </c>
      <c r="AO162" s="497">
        <f t="shared" si="131"/>
        <v>48</v>
      </c>
      <c r="AP162" s="571">
        <v>1</v>
      </c>
      <c r="AQ162" s="577">
        <f t="shared" si="132"/>
        <v>48</v>
      </c>
      <c r="AR162" s="581"/>
      <c r="AS162" s="537">
        <v>5</v>
      </c>
      <c r="AT162" s="492">
        <v>3</v>
      </c>
      <c r="AU162" s="492">
        <v>0</v>
      </c>
      <c r="AV162" s="492" t="s">
        <v>91</v>
      </c>
      <c r="AW162" s="500">
        <f t="shared" si="146"/>
        <v>1</v>
      </c>
      <c r="AX162" s="497">
        <f t="shared" si="147"/>
        <v>48</v>
      </c>
      <c r="AY162" s="500">
        <f t="shared" si="148"/>
        <v>1</v>
      </c>
      <c r="AZ162" s="497">
        <f t="shared" si="149"/>
        <v>48</v>
      </c>
      <c r="BA162" s="500">
        <f t="shared" si="150"/>
        <v>0</v>
      </c>
      <c r="BB162" s="497">
        <f t="shared" si="151"/>
        <v>0</v>
      </c>
      <c r="BC162" s="492">
        <v>0</v>
      </c>
      <c r="BD162" s="493">
        <v>1</v>
      </c>
      <c r="BE162" s="501">
        <f t="shared" si="121"/>
        <v>48</v>
      </c>
      <c r="BF162" s="502">
        <f t="shared" si="136"/>
        <v>2.4</v>
      </c>
      <c r="BG162" s="492">
        <v>1</v>
      </c>
      <c r="BH162" s="492" t="s">
        <v>91</v>
      </c>
      <c r="BI162" s="500">
        <f t="shared" si="152"/>
        <v>1</v>
      </c>
      <c r="BJ162" s="497">
        <f t="shared" si="153"/>
        <v>48</v>
      </c>
      <c r="BK162" s="502">
        <f t="shared" si="154"/>
        <v>0</v>
      </c>
      <c r="BL162" s="493">
        <v>1</v>
      </c>
      <c r="BM162" s="497">
        <f t="shared" si="155"/>
        <v>48</v>
      </c>
      <c r="BN162" s="492">
        <v>0</v>
      </c>
      <c r="BO162" s="500">
        <f t="shared" si="156"/>
        <v>0</v>
      </c>
      <c r="BP162" s="502">
        <f t="shared" si="157"/>
        <v>0.48</v>
      </c>
      <c r="BQ162" s="568">
        <v>0.8</v>
      </c>
      <c r="BR162" s="580"/>
      <c r="BS162" s="597">
        <v>41183</v>
      </c>
      <c r="BT162" s="503" t="str">
        <f t="shared" si="143"/>
        <v>To be realised</v>
      </c>
      <c r="BU162" s="546">
        <v>11</v>
      </c>
      <c r="BV162" s="546">
        <v>7</v>
      </c>
      <c r="BW162" s="508">
        <f t="shared" si="158"/>
        <v>10</v>
      </c>
      <c r="BX162" s="509">
        <f t="shared" si="159"/>
        <v>0</v>
      </c>
      <c r="BY162" s="501">
        <f t="shared" si="160"/>
        <v>0</v>
      </c>
      <c r="BZ162" s="598">
        <f t="shared" si="145"/>
        <v>23</v>
      </c>
      <c r="CA162" s="537"/>
      <c r="CB162" s="571">
        <v>0</v>
      </c>
      <c r="CC162" s="605">
        <f t="shared" si="141"/>
        <v>0</v>
      </c>
      <c r="CD162" s="564">
        <v>0</v>
      </c>
      <c r="CE162" s="506" t="str">
        <f t="shared" si="142"/>
        <v>No coverage</v>
      </c>
      <c r="CF162" s="546">
        <v>0</v>
      </c>
      <c r="CG162" s="563" t="s">
        <v>65</v>
      </c>
      <c r="CH162" s="580"/>
    </row>
    <row r="163" spans="2:86" s="40" customFormat="1" ht="30" customHeight="1" x14ac:dyDescent="0.2">
      <c r="B163" s="527" t="s">
        <v>538</v>
      </c>
      <c r="C163" s="488" t="s">
        <v>803</v>
      </c>
      <c r="D163" s="117" t="s">
        <v>274</v>
      </c>
      <c r="E163" s="488" t="s">
        <v>539</v>
      </c>
      <c r="F163" s="117">
        <v>97.709548999999996</v>
      </c>
      <c r="G163" s="117">
        <v>23.838459</v>
      </c>
      <c r="H163" s="117" t="s">
        <v>509</v>
      </c>
      <c r="I163" s="117" t="s">
        <v>218</v>
      </c>
      <c r="J163" s="546">
        <v>133</v>
      </c>
      <c r="K163" s="546">
        <v>580</v>
      </c>
      <c r="L163" s="546">
        <v>580</v>
      </c>
      <c r="M163" s="490" t="str">
        <f t="shared" ref="M163:M179" si="161">IF(J163&gt;50,IF(J163&gt;250,IF(J163&gt;500,IF(J163&gt;1000,"5. Massive","4. Big"),"3. Large"),"2. Medium"),"1. Small")</f>
        <v>2. Medium</v>
      </c>
      <c r="N163" s="528" t="s">
        <v>239</v>
      </c>
      <c r="O163" s="553" t="s">
        <v>237</v>
      </c>
      <c r="P163" s="545" t="str">
        <f t="shared" si="126"/>
        <v>Covered</v>
      </c>
      <c r="Q163" s="491" t="s">
        <v>895</v>
      </c>
      <c r="R163" s="489"/>
      <c r="S163" s="491"/>
      <c r="T163" s="528" t="s">
        <v>260</v>
      </c>
      <c r="U163" s="533" t="str">
        <f t="shared" si="127"/>
        <v>Documented</v>
      </c>
      <c r="V163" s="537">
        <v>0</v>
      </c>
      <c r="W163" s="492">
        <v>0</v>
      </c>
      <c r="X163" s="538" t="s">
        <v>19</v>
      </c>
      <c r="Y163" s="564">
        <v>0</v>
      </c>
      <c r="Z163" s="546">
        <v>0</v>
      </c>
      <c r="AA163" s="563">
        <v>35000</v>
      </c>
      <c r="AB163" s="570">
        <v>1</v>
      </c>
      <c r="AC163" s="571">
        <v>0</v>
      </c>
      <c r="AD163" s="574">
        <f t="shared" si="110"/>
        <v>1</v>
      </c>
      <c r="AE163" s="495">
        <f t="shared" si="128"/>
        <v>580</v>
      </c>
      <c r="AF163" s="496">
        <f t="shared" ref="AF163:AF179" si="162">IF(((Y163*400+Z163*500+(AA163/15))/L163)&gt;1,1,(Y163*400+Z163*500+(AA163/15))/L163)</f>
        <v>1</v>
      </c>
      <c r="AG163" s="497">
        <f t="shared" si="129"/>
        <v>580</v>
      </c>
      <c r="AH163" s="494">
        <f t="shared" ref="AH163:AH179" si="163">IF(AC163=0,AD163,IF(AC163&lt;AD163,AD163,AC163))</f>
        <v>1</v>
      </c>
      <c r="AI163" s="497">
        <f t="shared" si="130"/>
        <v>580</v>
      </c>
      <c r="AJ163" s="498" t="str">
        <f t="shared" ref="AJ163:AJ179" si="164">IF(AD163&gt;0.15,IF(AD163&gt;0.3,IF(AD163&gt;0.45,IF(AD163&gt;0.6,IF(AD163&gt;0.8,"80-100%","60-80%"),"45-60%"),"30-45%"),"15-30%"),"0-10%")</f>
        <v>80-100%</v>
      </c>
      <c r="AK163" s="494">
        <f t="shared" ref="AK163:AK179" si="165">IF((AD163-AF163)&lt; 0, 0, AD163-AF163)</f>
        <v>0</v>
      </c>
      <c r="AL163" s="499">
        <f t="shared" ref="AL163:AL179" si="166">AK163*L163</f>
        <v>0</v>
      </c>
      <c r="AM163" s="497">
        <f t="shared" ref="AM163:AM179" si="167">IF(L163/400-(Y163+Z163)&lt;0,0,L163/400-(Y163+Z163))</f>
        <v>1.45</v>
      </c>
      <c r="AN163" s="497">
        <f t="shared" ref="AN163:AN179" si="168">AC163*J163</f>
        <v>0</v>
      </c>
      <c r="AO163" s="497">
        <f t="shared" si="131"/>
        <v>580</v>
      </c>
      <c r="AP163" s="571">
        <v>1</v>
      </c>
      <c r="AQ163" s="577">
        <f t="shared" si="132"/>
        <v>580</v>
      </c>
      <c r="AR163" s="581"/>
      <c r="AS163" s="537">
        <v>21</v>
      </c>
      <c r="AT163" s="492">
        <v>13</v>
      </c>
      <c r="AU163" s="492">
        <v>18</v>
      </c>
      <c r="AV163" s="492" t="s">
        <v>300</v>
      </c>
      <c r="AW163" s="500">
        <f t="shared" si="146"/>
        <v>1</v>
      </c>
      <c r="AX163" s="497">
        <f t="shared" si="147"/>
        <v>580</v>
      </c>
      <c r="AY163" s="500">
        <f t="shared" si="148"/>
        <v>0.37931034482758619</v>
      </c>
      <c r="AZ163" s="497">
        <f t="shared" si="149"/>
        <v>220</v>
      </c>
      <c r="BA163" s="500">
        <f t="shared" si="150"/>
        <v>0.62068965517241381</v>
      </c>
      <c r="BB163" s="497">
        <f t="shared" si="151"/>
        <v>360</v>
      </c>
      <c r="BC163" s="492">
        <v>2</v>
      </c>
      <c r="BD163" s="493">
        <v>1</v>
      </c>
      <c r="BE163" s="501">
        <f t="shared" ref="BE163:BE179" si="169">BD163*L163</f>
        <v>580</v>
      </c>
      <c r="BF163" s="502">
        <f t="shared" si="136"/>
        <v>13</v>
      </c>
      <c r="BG163" s="492">
        <v>6</v>
      </c>
      <c r="BH163" s="492" t="s">
        <v>300</v>
      </c>
      <c r="BI163" s="500">
        <f t="shared" si="152"/>
        <v>1</v>
      </c>
      <c r="BJ163" s="497">
        <f t="shared" si="153"/>
        <v>580</v>
      </c>
      <c r="BK163" s="502">
        <f t="shared" si="154"/>
        <v>0</v>
      </c>
      <c r="BL163" s="493">
        <v>1</v>
      </c>
      <c r="BM163" s="497">
        <f t="shared" si="155"/>
        <v>580</v>
      </c>
      <c r="BN163" s="492">
        <v>8</v>
      </c>
      <c r="BO163" s="500">
        <f t="shared" si="156"/>
        <v>1</v>
      </c>
      <c r="BP163" s="502">
        <f t="shared" si="157"/>
        <v>0</v>
      </c>
      <c r="BQ163" s="568">
        <v>1</v>
      </c>
      <c r="BR163" s="580"/>
      <c r="BS163" s="597">
        <v>41741</v>
      </c>
      <c r="BT163" s="503" t="str">
        <f t="shared" si="143"/>
        <v>To be realised</v>
      </c>
      <c r="BU163" s="546">
        <v>141</v>
      </c>
      <c r="BV163" s="546">
        <v>2</v>
      </c>
      <c r="BW163" s="508">
        <f t="shared" si="158"/>
        <v>133</v>
      </c>
      <c r="BX163" s="509">
        <f t="shared" si="159"/>
        <v>0</v>
      </c>
      <c r="BY163" s="501">
        <f t="shared" si="160"/>
        <v>0</v>
      </c>
      <c r="BZ163" s="598">
        <f t="shared" si="145"/>
        <v>10</v>
      </c>
      <c r="CA163" s="537"/>
      <c r="CB163" s="571">
        <v>0.2</v>
      </c>
      <c r="CC163" s="605">
        <f t="shared" si="141"/>
        <v>116</v>
      </c>
      <c r="CD163" s="564">
        <v>7</v>
      </c>
      <c r="CE163" s="506" t="str">
        <f t="shared" si="142"/>
        <v>Excellent coverage</v>
      </c>
      <c r="CF163" s="546">
        <v>0</v>
      </c>
      <c r="CG163" s="563" t="s">
        <v>65</v>
      </c>
      <c r="CH163" s="580"/>
    </row>
    <row r="164" spans="2:86" s="40" customFormat="1" ht="30" customHeight="1" x14ac:dyDescent="0.2">
      <c r="B164" s="527" t="s">
        <v>538</v>
      </c>
      <c r="C164" s="488" t="s">
        <v>804</v>
      </c>
      <c r="D164" s="117" t="s">
        <v>274</v>
      </c>
      <c r="E164" s="488" t="s">
        <v>540</v>
      </c>
      <c r="F164" s="117">
        <v>97.701576000000003</v>
      </c>
      <c r="G164" s="117">
        <v>23.842051000000001</v>
      </c>
      <c r="H164" s="117" t="s">
        <v>509</v>
      </c>
      <c r="I164" s="117" t="s">
        <v>218</v>
      </c>
      <c r="J164" s="546">
        <v>42</v>
      </c>
      <c r="K164" s="546">
        <v>218</v>
      </c>
      <c r="L164" s="546">
        <v>218</v>
      </c>
      <c r="M164" s="490" t="str">
        <f t="shared" si="161"/>
        <v>1. Small</v>
      </c>
      <c r="N164" s="528" t="s">
        <v>239</v>
      </c>
      <c r="O164" s="553" t="s">
        <v>237</v>
      </c>
      <c r="P164" s="545" t="str">
        <f t="shared" si="126"/>
        <v>Covered</v>
      </c>
      <c r="Q164" s="491" t="s">
        <v>895</v>
      </c>
      <c r="R164" s="489"/>
      <c r="S164" s="491"/>
      <c r="T164" s="528" t="s">
        <v>260</v>
      </c>
      <c r="U164" s="533" t="str">
        <f t="shared" si="127"/>
        <v>Documented</v>
      </c>
      <c r="V164" s="537">
        <v>0</v>
      </c>
      <c r="W164" s="492">
        <v>0</v>
      </c>
      <c r="X164" s="538" t="s">
        <v>19</v>
      </c>
      <c r="Y164" s="564">
        <v>0</v>
      </c>
      <c r="Z164" s="546">
        <v>0</v>
      </c>
      <c r="AA164" s="563">
        <v>7000</v>
      </c>
      <c r="AB164" s="570">
        <v>1</v>
      </c>
      <c r="AC164" s="571">
        <v>0</v>
      </c>
      <c r="AD164" s="574">
        <f t="shared" si="110"/>
        <v>1</v>
      </c>
      <c r="AE164" s="495">
        <f t="shared" si="128"/>
        <v>218</v>
      </c>
      <c r="AF164" s="496">
        <f t="shared" si="162"/>
        <v>1</v>
      </c>
      <c r="AG164" s="497">
        <f t="shared" si="129"/>
        <v>218</v>
      </c>
      <c r="AH164" s="494">
        <f t="shared" si="163"/>
        <v>1</v>
      </c>
      <c r="AI164" s="497">
        <f t="shared" si="130"/>
        <v>218</v>
      </c>
      <c r="AJ164" s="498" t="str">
        <f t="shared" si="164"/>
        <v>80-100%</v>
      </c>
      <c r="AK164" s="494">
        <f t="shared" si="165"/>
        <v>0</v>
      </c>
      <c r="AL164" s="499">
        <f t="shared" si="166"/>
        <v>0</v>
      </c>
      <c r="AM164" s="497">
        <f t="shared" si="167"/>
        <v>0.54500000000000004</v>
      </c>
      <c r="AN164" s="497">
        <f t="shared" si="168"/>
        <v>0</v>
      </c>
      <c r="AO164" s="497">
        <f t="shared" si="131"/>
        <v>218</v>
      </c>
      <c r="AP164" s="571">
        <v>1</v>
      </c>
      <c r="AQ164" s="577">
        <f t="shared" si="132"/>
        <v>218</v>
      </c>
      <c r="AR164" s="581"/>
      <c r="AS164" s="537">
        <v>10</v>
      </c>
      <c r="AT164" s="492">
        <v>10</v>
      </c>
      <c r="AU164" s="492">
        <v>0</v>
      </c>
      <c r="AV164" s="492" t="s">
        <v>300</v>
      </c>
      <c r="AW164" s="500">
        <f t="shared" si="146"/>
        <v>0.91743119266055051</v>
      </c>
      <c r="AX164" s="497">
        <f t="shared" si="147"/>
        <v>200</v>
      </c>
      <c r="AY164" s="500">
        <f t="shared" si="148"/>
        <v>0.91743119266055051</v>
      </c>
      <c r="AZ164" s="497">
        <f t="shared" si="149"/>
        <v>200</v>
      </c>
      <c r="BA164" s="500">
        <f t="shared" si="150"/>
        <v>0</v>
      </c>
      <c r="BB164" s="497">
        <f t="shared" si="151"/>
        <v>0</v>
      </c>
      <c r="BC164" s="492">
        <v>2</v>
      </c>
      <c r="BD164" s="493">
        <v>1</v>
      </c>
      <c r="BE164" s="501">
        <f t="shared" si="169"/>
        <v>218</v>
      </c>
      <c r="BF164" s="502">
        <f t="shared" si="136"/>
        <v>12.9</v>
      </c>
      <c r="BG164" s="492">
        <v>3</v>
      </c>
      <c r="BH164" s="492" t="s">
        <v>300</v>
      </c>
      <c r="BI164" s="500">
        <f t="shared" si="152"/>
        <v>1</v>
      </c>
      <c r="BJ164" s="497">
        <f t="shared" si="153"/>
        <v>218</v>
      </c>
      <c r="BK164" s="502">
        <f t="shared" si="154"/>
        <v>0</v>
      </c>
      <c r="BL164" s="493">
        <v>1</v>
      </c>
      <c r="BM164" s="497">
        <f t="shared" si="155"/>
        <v>218</v>
      </c>
      <c r="BN164" s="492">
        <v>4</v>
      </c>
      <c r="BO164" s="500">
        <f t="shared" si="156"/>
        <v>1</v>
      </c>
      <c r="BP164" s="502">
        <f t="shared" si="157"/>
        <v>0</v>
      </c>
      <c r="BQ164" s="568">
        <v>1</v>
      </c>
      <c r="BR164" s="580"/>
      <c r="BS164" s="597">
        <v>41741</v>
      </c>
      <c r="BT164" s="503" t="str">
        <f t="shared" si="143"/>
        <v>To be realised</v>
      </c>
      <c r="BU164" s="546">
        <v>59</v>
      </c>
      <c r="BV164" s="546">
        <v>2</v>
      </c>
      <c r="BW164" s="508">
        <f t="shared" si="158"/>
        <v>42</v>
      </c>
      <c r="BX164" s="509">
        <f t="shared" si="159"/>
        <v>0</v>
      </c>
      <c r="BY164" s="501">
        <f t="shared" si="160"/>
        <v>0</v>
      </c>
      <c r="BZ164" s="598">
        <f t="shared" si="145"/>
        <v>10</v>
      </c>
      <c r="CA164" s="537"/>
      <c r="CB164" s="571">
        <v>1</v>
      </c>
      <c r="CC164" s="605">
        <f t="shared" si="141"/>
        <v>218</v>
      </c>
      <c r="CD164" s="564">
        <v>3</v>
      </c>
      <c r="CE164" s="506" t="str">
        <f t="shared" si="142"/>
        <v>Excellent coverage</v>
      </c>
      <c r="CF164" s="546">
        <v>0</v>
      </c>
      <c r="CG164" s="563" t="s">
        <v>65</v>
      </c>
      <c r="CH164" s="580"/>
    </row>
    <row r="165" spans="2:86" s="40" customFormat="1" ht="30" customHeight="1" x14ac:dyDescent="0.2">
      <c r="B165" s="527" t="s">
        <v>205</v>
      </c>
      <c r="C165" s="488" t="s">
        <v>613</v>
      </c>
      <c r="D165" s="117" t="s">
        <v>275</v>
      </c>
      <c r="E165" s="488" t="s">
        <v>206</v>
      </c>
      <c r="F165" s="117">
        <v>97.848529999999997</v>
      </c>
      <c r="G165" s="117">
        <v>23.4008</v>
      </c>
      <c r="H165" s="117" t="s">
        <v>509</v>
      </c>
      <c r="I165" s="117" t="s">
        <v>218</v>
      </c>
      <c r="J165" s="546">
        <v>85</v>
      </c>
      <c r="K165" s="546">
        <v>325</v>
      </c>
      <c r="L165" s="546">
        <v>325</v>
      </c>
      <c r="M165" s="490" t="str">
        <f t="shared" si="161"/>
        <v>2. Medium</v>
      </c>
      <c r="N165" s="528" t="s">
        <v>239</v>
      </c>
      <c r="O165" s="553" t="s">
        <v>237</v>
      </c>
      <c r="P165" s="545" t="str">
        <f t="shared" si="126"/>
        <v>Covered</v>
      </c>
      <c r="Q165" s="491" t="s">
        <v>895</v>
      </c>
      <c r="R165" s="489"/>
      <c r="S165" s="491"/>
      <c r="T165" s="528" t="s">
        <v>260</v>
      </c>
      <c r="U165" s="533" t="str">
        <f t="shared" si="127"/>
        <v>Documented</v>
      </c>
      <c r="V165" s="537">
        <v>0</v>
      </c>
      <c r="W165" s="492">
        <v>0</v>
      </c>
      <c r="X165" s="538" t="s">
        <v>19</v>
      </c>
      <c r="Y165" s="564">
        <v>1</v>
      </c>
      <c r="Z165" s="546">
        <v>0</v>
      </c>
      <c r="AA165" s="563">
        <v>86400</v>
      </c>
      <c r="AB165" s="570">
        <v>1</v>
      </c>
      <c r="AC165" s="571">
        <v>0</v>
      </c>
      <c r="AD165" s="574">
        <f t="shared" si="110"/>
        <v>1</v>
      </c>
      <c r="AE165" s="495">
        <f t="shared" si="128"/>
        <v>325</v>
      </c>
      <c r="AF165" s="496">
        <f t="shared" si="162"/>
        <v>1</v>
      </c>
      <c r="AG165" s="497">
        <f t="shared" si="129"/>
        <v>325</v>
      </c>
      <c r="AH165" s="494">
        <f t="shared" si="163"/>
        <v>1</v>
      </c>
      <c r="AI165" s="497">
        <f t="shared" si="130"/>
        <v>325</v>
      </c>
      <c r="AJ165" s="498" t="str">
        <f t="shared" si="164"/>
        <v>80-100%</v>
      </c>
      <c r="AK165" s="494">
        <f t="shared" si="165"/>
        <v>0</v>
      </c>
      <c r="AL165" s="499">
        <f t="shared" si="166"/>
        <v>0</v>
      </c>
      <c r="AM165" s="497">
        <f t="shared" si="167"/>
        <v>0</v>
      </c>
      <c r="AN165" s="497">
        <f t="shared" si="168"/>
        <v>0</v>
      </c>
      <c r="AO165" s="497">
        <f t="shared" si="131"/>
        <v>325</v>
      </c>
      <c r="AP165" s="571">
        <v>1</v>
      </c>
      <c r="AQ165" s="577">
        <f t="shared" si="132"/>
        <v>325</v>
      </c>
      <c r="AR165" s="581"/>
      <c r="AS165" s="537">
        <v>138</v>
      </c>
      <c r="AT165" s="492">
        <v>86</v>
      </c>
      <c r="AU165" s="492">
        <v>0</v>
      </c>
      <c r="AV165" s="492" t="s">
        <v>300</v>
      </c>
      <c r="AW165" s="500">
        <f t="shared" si="146"/>
        <v>1</v>
      </c>
      <c r="AX165" s="497">
        <f t="shared" si="147"/>
        <v>325</v>
      </c>
      <c r="AY165" s="500">
        <f t="shared" si="148"/>
        <v>1</v>
      </c>
      <c r="AZ165" s="497">
        <f t="shared" si="149"/>
        <v>325</v>
      </c>
      <c r="BA165" s="500">
        <f t="shared" si="150"/>
        <v>0</v>
      </c>
      <c r="BB165" s="497">
        <f t="shared" si="151"/>
        <v>0</v>
      </c>
      <c r="BC165" s="492">
        <v>2</v>
      </c>
      <c r="BD165" s="493">
        <v>1</v>
      </c>
      <c r="BE165" s="501">
        <f t="shared" si="169"/>
        <v>325</v>
      </c>
      <c r="BF165" s="502">
        <f t="shared" si="136"/>
        <v>18.25</v>
      </c>
      <c r="BG165" s="492">
        <v>1</v>
      </c>
      <c r="BH165" s="492" t="s">
        <v>91</v>
      </c>
      <c r="BI165" s="500">
        <f t="shared" si="152"/>
        <v>0.30769230769230771</v>
      </c>
      <c r="BJ165" s="497">
        <f t="shared" si="153"/>
        <v>100</v>
      </c>
      <c r="BK165" s="502">
        <f t="shared" si="154"/>
        <v>2.25</v>
      </c>
      <c r="BL165" s="493">
        <v>0.31</v>
      </c>
      <c r="BM165" s="497">
        <f t="shared" si="155"/>
        <v>100.75</v>
      </c>
      <c r="BN165" s="492">
        <v>0</v>
      </c>
      <c r="BO165" s="500">
        <f t="shared" si="156"/>
        <v>0</v>
      </c>
      <c r="BP165" s="502">
        <f t="shared" si="157"/>
        <v>3.25</v>
      </c>
      <c r="BQ165" s="568">
        <v>0.7</v>
      </c>
      <c r="BR165" s="580" t="s">
        <v>729</v>
      </c>
      <c r="BS165" s="597">
        <v>41306</v>
      </c>
      <c r="BT165" s="503" t="str">
        <f t="shared" si="143"/>
        <v>To be realised</v>
      </c>
      <c r="BU165" s="546">
        <v>50</v>
      </c>
      <c r="BV165" s="546">
        <v>2</v>
      </c>
      <c r="BW165" s="508">
        <f t="shared" si="158"/>
        <v>85</v>
      </c>
      <c r="BX165" s="509">
        <f t="shared" si="159"/>
        <v>0</v>
      </c>
      <c r="BY165" s="501">
        <f t="shared" si="160"/>
        <v>0</v>
      </c>
      <c r="BZ165" s="598">
        <f t="shared" si="145"/>
        <v>24</v>
      </c>
      <c r="CA165" s="537"/>
      <c r="CB165" s="571">
        <v>0.25</v>
      </c>
      <c r="CC165" s="605">
        <f t="shared" si="141"/>
        <v>81.25</v>
      </c>
      <c r="CD165" s="564">
        <v>3</v>
      </c>
      <c r="CE165" s="506" t="str">
        <f t="shared" si="142"/>
        <v>Excellent coverage</v>
      </c>
      <c r="CF165" s="546">
        <v>0</v>
      </c>
      <c r="CG165" s="563" t="s">
        <v>66</v>
      </c>
      <c r="CH165" s="580"/>
    </row>
    <row r="166" spans="2:86" s="40" customFormat="1" ht="30" customHeight="1" x14ac:dyDescent="0.2">
      <c r="B166" s="527" t="s">
        <v>205</v>
      </c>
      <c r="C166" s="488" t="s">
        <v>614</v>
      </c>
      <c r="D166" s="117" t="s">
        <v>275</v>
      </c>
      <c r="E166" s="488" t="s">
        <v>207</v>
      </c>
      <c r="F166" s="117">
        <v>97.926813999999993</v>
      </c>
      <c r="G166" s="117">
        <v>23.450914000000001</v>
      </c>
      <c r="H166" s="117" t="s">
        <v>509</v>
      </c>
      <c r="I166" s="117" t="s">
        <v>218</v>
      </c>
      <c r="J166" s="546">
        <v>84</v>
      </c>
      <c r="K166" s="546">
        <v>355</v>
      </c>
      <c r="L166" s="546">
        <v>355</v>
      </c>
      <c r="M166" s="490" t="str">
        <f t="shared" si="161"/>
        <v>2. Medium</v>
      </c>
      <c r="N166" s="528" t="s">
        <v>239</v>
      </c>
      <c r="O166" s="553" t="s">
        <v>237</v>
      </c>
      <c r="P166" s="545" t="str">
        <f t="shared" si="126"/>
        <v>Covered</v>
      </c>
      <c r="Q166" s="491" t="s">
        <v>895</v>
      </c>
      <c r="R166" s="489"/>
      <c r="S166" s="491"/>
      <c r="T166" s="528" t="s">
        <v>260</v>
      </c>
      <c r="U166" s="533" t="str">
        <f t="shared" si="127"/>
        <v>Documented</v>
      </c>
      <c r="V166" s="537">
        <v>0</v>
      </c>
      <c r="W166" s="492">
        <v>0</v>
      </c>
      <c r="X166" s="538" t="s">
        <v>19</v>
      </c>
      <c r="Y166" s="564">
        <v>1</v>
      </c>
      <c r="Z166" s="546">
        <v>0</v>
      </c>
      <c r="AA166" s="563">
        <v>2000</v>
      </c>
      <c r="AB166" s="570">
        <v>1</v>
      </c>
      <c r="AC166" s="571">
        <v>0</v>
      </c>
      <c r="AD166" s="574">
        <f t="shared" si="110"/>
        <v>1</v>
      </c>
      <c r="AE166" s="495">
        <f t="shared" si="128"/>
        <v>355</v>
      </c>
      <c r="AF166" s="496">
        <f t="shared" si="162"/>
        <v>1</v>
      </c>
      <c r="AG166" s="497">
        <f t="shared" si="129"/>
        <v>355</v>
      </c>
      <c r="AH166" s="494">
        <f t="shared" si="163"/>
        <v>1</v>
      </c>
      <c r="AI166" s="497">
        <f t="shared" si="130"/>
        <v>355</v>
      </c>
      <c r="AJ166" s="498" t="str">
        <f t="shared" si="164"/>
        <v>80-100%</v>
      </c>
      <c r="AK166" s="494">
        <f t="shared" si="165"/>
        <v>0</v>
      </c>
      <c r="AL166" s="499">
        <f t="shared" si="166"/>
        <v>0</v>
      </c>
      <c r="AM166" s="497">
        <f t="shared" si="167"/>
        <v>0</v>
      </c>
      <c r="AN166" s="497">
        <f t="shared" si="168"/>
        <v>0</v>
      </c>
      <c r="AO166" s="497">
        <f t="shared" si="131"/>
        <v>355</v>
      </c>
      <c r="AP166" s="571">
        <v>1</v>
      </c>
      <c r="AQ166" s="577">
        <f t="shared" si="132"/>
        <v>355</v>
      </c>
      <c r="AR166" s="581"/>
      <c r="AS166" s="537">
        <v>15</v>
      </c>
      <c r="AT166" s="492">
        <v>11</v>
      </c>
      <c r="AU166" s="492">
        <v>0</v>
      </c>
      <c r="AV166" s="492" t="s">
        <v>91</v>
      </c>
      <c r="AW166" s="500">
        <f t="shared" si="146"/>
        <v>0.61971830985915488</v>
      </c>
      <c r="AX166" s="497">
        <f t="shared" si="147"/>
        <v>219.99999999999997</v>
      </c>
      <c r="AY166" s="500">
        <f t="shared" si="148"/>
        <v>0.61971830985915488</v>
      </c>
      <c r="AZ166" s="497">
        <f t="shared" si="149"/>
        <v>219.99999999999997</v>
      </c>
      <c r="BA166" s="500">
        <f t="shared" si="150"/>
        <v>0</v>
      </c>
      <c r="BB166" s="497">
        <f t="shared" si="151"/>
        <v>0</v>
      </c>
      <c r="BC166" s="492">
        <v>3</v>
      </c>
      <c r="BD166" s="493">
        <v>0.65</v>
      </c>
      <c r="BE166" s="501">
        <f t="shared" si="169"/>
        <v>230.75</v>
      </c>
      <c r="BF166" s="502">
        <f t="shared" si="136"/>
        <v>20.75</v>
      </c>
      <c r="BG166" s="492">
        <v>2</v>
      </c>
      <c r="BH166" s="492" t="s">
        <v>91</v>
      </c>
      <c r="BI166" s="500">
        <f t="shared" si="152"/>
        <v>0.56338028169014087</v>
      </c>
      <c r="BJ166" s="497">
        <f t="shared" si="153"/>
        <v>200</v>
      </c>
      <c r="BK166" s="502">
        <f t="shared" si="154"/>
        <v>1.5499999999999998</v>
      </c>
      <c r="BL166" s="493">
        <v>0.56000000000000005</v>
      </c>
      <c r="BM166" s="497">
        <f t="shared" si="155"/>
        <v>198.8</v>
      </c>
      <c r="BN166" s="492">
        <v>2</v>
      </c>
      <c r="BO166" s="500">
        <f t="shared" si="156"/>
        <v>0.56338028169014087</v>
      </c>
      <c r="BP166" s="502">
        <f t="shared" si="157"/>
        <v>1.5499999999999998</v>
      </c>
      <c r="BQ166" s="568">
        <v>0.86</v>
      </c>
      <c r="BR166" s="580"/>
      <c r="BS166" s="597">
        <v>41183</v>
      </c>
      <c r="BT166" s="503" t="str">
        <f t="shared" si="143"/>
        <v>To be realised</v>
      </c>
      <c r="BU166" s="546">
        <v>84</v>
      </c>
      <c r="BV166" s="546">
        <v>2</v>
      </c>
      <c r="BW166" s="508">
        <f t="shared" si="158"/>
        <v>84</v>
      </c>
      <c r="BX166" s="509">
        <f t="shared" si="159"/>
        <v>0</v>
      </c>
      <c r="BY166" s="501">
        <f t="shared" si="160"/>
        <v>0</v>
      </c>
      <c r="BZ166" s="598">
        <f t="shared" si="145"/>
        <v>28</v>
      </c>
      <c r="CA166" s="537"/>
      <c r="CB166" s="571">
        <v>0.3</v>
      </c>
      <c r="CC166" s="605">
        <f t="shared" si="141"/>
        <v>106.5</v>
      </c>
      <c r="CD166" s="564">
        <v>2</v>
      </c>
      <c r="CE166" s="506" t="str">
        <f t="shared" si="142"/>
        <v>Excellent coverage</v>
      </c>
      <c r="CF166" s="546">
        <v>0</v>
      </c>
      <c r="CG166" s="563" t="s">
        <v>65</v>
      </c>
      <c r="CH166" s="580"/>
    </row>
    <row r="167" spans="2:86" s="40" customFormat="1" ht="30" customHeight="1" x14ac:dyDescent="0.2">
      <c r="B167" s="527" t="s">
        <v>205</v>
      </c>
      <c r="C167" s="488" t="s">
        <v>615</v>
      </c>
      <c r="D167" s="117" t="s">
        <v>275</v>
      </c>
      <c r="E167" s="488" t="s">
        <v>208</v>
      </c>
      <c r="F167" s="117">
        <v>97.947360000000003</v>
      </c>
      <c r="G167" s="117">
        <v>23.460349999999998</v>
      </c>
      <c r="H167" s="117" t="s">
        <v>509</v>
      </c>
      <c r="I167" s="117" t="s">
        <v>218</v>
      </c>
      <c r="J167" s="546">
        <v>34</v>
      </c>
      <c r="K167" s="546">
        <v>150</v>
      </c>
      <c r="L167" s="546">
        <v>150</v>
      </c>
      <c r="M167" s="490" t="str">
        <f t="shared" si="161"/>
        <v>1. Small</v>
      </c>
      <c r="N167" s="528" t="s">
        <v>235</v>
      </c>
      <c r="O167" s="553" t="s">
        <v>235</v>
      </c>
      <c r="P167" s="545" t="str">
        <f t="shared" si="126"/>
        <v>Covered</v>
      </c>
      <c r="Q167" s="491" t="s">
        <v>708</v>
      </c>
      <c r="R167" s="489"/>
      <c r="S167" s="491"/>
      <c r="T167" s="528" t="s">
        <v>260</v>
      </c>
      <c r="U167" s="533" t="str">
        <f t="shared" si="127"/>
        <v>Documented</v>
      </c>
      <c r="V167" s="537">
        <v>0</v>
      </c>
      <c r="W167" s="492">
        <v>0</v>
      </c>
      <c r="X167" s="538" t="s">
        <v>19</v>
      </c>
      <c r="Y167" s="564">
        <v>1</v>
      </c>
      <c r="Z167" s="546">
        <v>0</v>
      </c>
      <c r="AA167" s="563">
        <v>10960</v>
      </c>
      <c r="AB167" s="570">
        <v>1</v>
      </c>
      <c r="AC167" s="571">
        <v>0</v>
      </c>
      <c r="AD167" s="574">
        <f t="shared" si="110"/>
        <v>1</v>
      </c>
      <c r="AE167" s="495">
        <f t="shared" si="128"/>
        <v>150</v>
      </c>
      <c r="AF167" s="496">
        <f t="shared" si="162"/>
        <v>1</v>
      </c>
      <c r="AG167" s="497">
        <f t="shared" si="129"/>
        <v>150</v>
      </c>
      <c r="AH167" s="494">
        <f t="shared" si="163"/>
        <v>1</v>
      </c>
      <c r="AI167" s="497">
        <f t="shared" si="130"/>
        <v>150</v>
      </c>
      <c r="AJ167" s="498" t="str">
        <f t="shared" si="164"/>
        <v>80-100%</v>
      </c>
      <c r="AK167" s="494">
        <f t="shared" si="165"/>
        <v>0</v>
      </c>
      <c r="AL167" s="499">
        <f t="shared" si="166"/>
        <v>0</v>
      </c>
      <c r="AM167" s="497">
        <f t="shared" si="167"/>
        <v>0</v>
      </c>
      <c r="AN167" s="497">
        <f t="shared" si="168"/>
        <v>0</v>
      </c>
      <c r="AO167" s="497">
        <f t="shared" si="131"/>
        <v>150</v>
      </c>
      <c r="AP167" s="571">
        <v>1</v>
      </c>
      <c r="AQ167" s="577">
        <f t="shared" si="132"/>
        <v>150</v>
      </c>
      <c r="AR167" s="581"/>
      <c r="AS167" s="537">
        <v>10</v>
      </c>
      <c r="AT167" s="492">
        <v>0</v>
      </c>
      <c r="AU167" s="492">
        <v>8</v>
      </c>
      <c r="AV167" s="492" t="s">
        <v>300</v>
      </c>
      <c r="AW167" s="500">
        <f t="shared" si="146"/>
        <v>1</v>
      </c>
      <c r="AX167" s="497">
        <f t="shared" si="147"/>
        <v>150</v>
      </c>
      <c r="AY167" s="500">
        <f t="shared" si="148"/>
        <v>0</v>
      </c>
      <c r="AZ167" s="497">
        <f t="shared" si="149"/>
        <v>0</v>
      </c>
      <c r="BA167" s="500">
        <f t="shared" si="150"/>
        <v>1</v>
      </c>
      <c r="BB167" s="497">
        <f t="shared" si="151"/>
        <v>150</v>
      </c>
      <c r="BC167" s="492">
        <v>2</v>
      </c>
      <c r="BD167" s="493">
        <v>1</v>
      </c>
      <c r="BE167" s="501">
        <f t="shared" si="169"/>
        <v>150</v>
      </c>
      <c r="BF167" s="502">
        <f t="shared" si="136"/>
        <v>1.5</v>
      </c>
      <c r="BG167" s="492">
        <v>2</v>
      </c>
      <c r="BH167" s="492" t="s">
        <v>300</v>
      </c>
      <c r="BI167" s="500">
        <f t="shared" si="152"/>
        <v>1</v>
      </c>
      <c r="BJ167" s="497">
        <f t="shared" si="153"/>
        <v>150</v>
      </c>
      <c r="BK167" s="502">
        <f t="shared" si="154"/>
        <v>0</v>
      </c>
      <c r="BL167" s="493">
        <v>1</v>
      </c>
      <c r="BM167" s="497">
        <f t="shared" si="155"/>
        <v>150</v>
      </c>
      <c r="BN167" s="492">
        <v>0</v>
      </c>
      <c r="BO167" s="500">
        <f t="shared" si="156"/>
        <v>0</v>
      </c>
      <c r="BP167" s="502">
        <f t="shared" si="157"/>
        <v>1.5</v>
      </c>
      <c r="BQ167" s="568">
        <v>0</v>
      </c>
      <c r="BR167" s="580" t="s">
        <v>883</v>
      </c>
      <c r="BS167" s="597"/>
      <c r="BT167" s="503" t="str">
        <f t="shared" si="143"/>
        <v>To be realised</v>
      </c>
      <c r="BU167" s="546">
        <v>0</v>
      </c>
      <c r="BV167" s="546">
        <v>3</v>
      </c>
      <c r="BW167" s="508">
        <f t="shared" si="158"/>
        <v>34</v>
      </c>
      <c r="BX167" s="509">
        <f t="shared" si="159"/>
        <v>0</v>
      </c>
      <c r="BY167" s="501">
        <f t="shared" si="160"/>
        <v>0</v>
      </c>
      <c r="BZ167" s="598" t="str">
        <f t="shared" si="145"/>
        <v>Column BN to be completed</v>
      </c>
      <c r="CA167" s="537" t="s">
        <v>884</v>
      </c>
      <c r="CB167" s="571">
        <v>0</v>
      </c>
      <c r="CC167" s="605">
        <f t="shared" si="141"/>
        <v>0</v>
      </c>
      <c r="CD167" s="564">
        <v>2</v>
      </c>
      <c r="CE167" s="506" t="str">
        <f t="shared" si="142"/>
        <v>Excellent coverage</v>
      </c>
      <c r="CF167" s="546">
        <v>0</v>
      </c>
      <c r="CG167" s="563" t="s">
        <v>65</v>
      </c>
      <c r="CH167" s="580"/>
    </row>
    <row r="168" spans="2:86" s="40" customFormat="1" ht="30" customHeight="1" x14ac:dyDescent="0.2">
      <c r="B168" s="527" t="s">
        <v>205</v>
      </c>
      <c r="C168" s="488" t="s">
        <v>616</v>
      </c>
      <c r="D168" s="117" t="s">
        <v>275</v>
      </c>
      <c r="E168" s="488" t="s">
        <v>209</v>
      </c>
      <c r="F168" s="117">
        <v>97.793306999999999</v>
      </c>
      <c r="G168" s="117">
        <v>23.589089000000001</v>
      </c>
      <c r="H168" s="117" t="s">
        <v>509</v>
      </c>
      <c r="I168" s="117" t="s">
        <v>218</v>
      </c>
      <c r="J168" s="546">
        <v>76</v>
      </c>
      <c r="K168" s="546">
        <v>403</v>
      </c>
      <c r="L168" s="546">
        <v>403</v>
      </c>
      <c r="M168" s="490" t="str">
        <f t="shared" si="161"/>
        <v>2. Medium</v>
      </c>
      <c r="N168" s="528" t="s">
        <v>239</v>
      </c>
      <c r="O168" s="553" t="s">
        <v>237</v>
      </c>
      <c r="P168" s="545" t="str">
        <f t="shared" si="126"/>
        <v>Covered</v>
      </c>
      <c r="Q168" s="491" t="s">
        <v>895</v>
      </c>
      <c r="R168" s="489"/>
      <c r="S168" s="491"/>
      <c r="T168" s="528" t="s">
        <v>260</v>
      </c>
      <c r="U168" s="533" t="str">
        <f t="shared" si="127"/>
        <v>Documented</v>
      </c>
      <c r="V168" s="537">
        <v>0</v>
      </c>
      <c r="W168" s="492">
        <v>0</v>
      </c>
      <c r="X168" s="538" t="s">
        <v>19</v>
      </c>
      <c r="Y168" s="564">
        <v>0</v>
      </c>
      <c r="Z168" s="546">
        <v>0</v>
      </c>
      <c r="AA168" s="563">
        <v>100000</v>
      </c>
      <c r="AB168" s="570">
        <v>1</v>
      </c>
      <c r="AC168" s="571">
        <v>0</v>
      </c>
      <c r="AD168" s="574">
        <f t="shared" si="110"/>
        <v>1</v>
      </c>
      <c r="AE168" s="495">
        <f t="shared" si="128"/>
        <v>403</v>
      </c>
      <c r="AF168" s="496">
        <f t="shared" si="162"/>
        <v>1</v>
      </c>
      <c r="AG168" s="497">
        <f t="shared" si="129"/>
        <v>403</v>
      </c>
      <c r="AH168" s="494">
        <f t="shared" si="163"/>
        <v>1</v>
      </c>
      <c r="AI168" s="497">
        <f t="shared" si="130"/>
        <v>403</v>
      </c>
      <c r="AJ168" s="498" t="str">
        <f t="shared" si="164"/>
        <v>80-100%</v>
      </c>
      <c r="AK168" s="494">
        <f t="shared" si="165"/>
        <v>0</v>
      </c>
      <c r="AL168" s="499">
        <f t="shared" si="166"/>
        <v>0</v>
      </c>
      <c r="AM168" s="497">
        <f t="shared" si="167"/>
        <v>1.0075000000000001</v>
      </c>
      <c r="AN168" s="497">
        <f t="shared" si="168"/>
        <v>0</v>
      </c>
      <c r="AO168" s="497">
        <f t="shared" si="131"/>
        <v>403</v>
      </c>
      <c r="AP168" s="571">
        <v>1</v>
      </c>
      <c r="AQ168" s="577">
        <f t="shared" si="132"/>
        <v>403</v>
      </c>
      <c r="AR168" s="581"/>
      <c r="AS168" s="537">
        <v>74</v>
      </c>
      <c r="AT168" s="492">
        <v>74</v>
      </c>
      <c r="AU168" s="492">
        <v>0</v>
      </c>
      <c r="AV168" s="492" t="s">
        <v>299</v>
      </c>
      <c r="AW168" s="500">
        <f t="shared" si="146"/>
        <v>1</v>
      </c>
      <c r="AX168" s="497">
        <f t="shared" si="147"/>
        <v>403</v>
      </c>
      <c r="AY168" s="500">
        <f t="shared" si="148"/>
        <v>1</v>
      </c>
      <c r="AZ168" s="497">
        <f t="shared" si="149"/>
        <v>403</v>
      </c>
      <c r="BA168" s="500">
        <f t="shared" si="150"/>
        <v>0</v>
      </c>
      <c r="BB168" s="497">
        <f t="shared" si="151"/>
        <v>0</v>
      </c>
      <c r="BC168" s="492">
        <v>2</v>
      </c>
      <c r="BD168" s="493">
        <v>1</v>
      </c>
      <c r="BE168" s="501">
        <f t="shared" si="169"/>
        <v>403</v>
      </c>
      <c r="BF168" s="502">
        <f t="shared" si="136"/>
        <v>22.15</v>
      </c>
      <c r="BG168" s="492">
        <v>0</v>
      </c>
      <c r="BH168" s="492" t="s">
        <v>856</v>
      </c>
      <c r="BI168" s="500">
        <f t="shared" si="152"/>
        <v>0</v>
      </c>
      <c r="BJ168" s="497">
        <f t="shared" si="153"/>
        <v>0</v>
      </c>
      <c r="BK168" s="502">
        <f t="shared" si="154"/>
        <v>4.03</v>
      </c>
      <c r="BL168" s="493">
        <v>0</v>
      </c>
      <c r="BM168" s="497">
        <f t="shared" si="155"/>
        <v>0</v>
      </c>
      <c r="BN168" s="492">
        <v>0</v>
      </c>
      <c r="BO168" s="500">
        <f t="shared" si="156"/>
        <v>0</v>
      </c>
      <c r="BP168" s="502">
        <f t="shared" si="157"/>
        <v>4.03</v>
      </c>
      <c r="BQ168" s="568">
        <v>0.7</v>
      </c>
      <c r="BR168" s="580" t="s">
        <v>730</v>
      </c>
      <c r="BS168" s="597"/>
      <c r="BT168" s="503" t="str">
        <f t="shared" si="143"/>
        <v>To be realised</v>
      </c>
      <c r="BU168" s="546">
        <v>0</v>
      </c>
      <c r="BV168" s="546">
        <v>2</v>
      </c>
      <c r="BW168" s="508">
        <f t="shared" si="158"/>
        <v>76</v>
      </c>
      <c r="BX168" s="509">
        <f t="shared" si="159"/>
        <v>0</v>
      </c>
      <c r="BY168" s="501">
        <f t="shared" si="160"/>
        <v>0</v>
      </c>
      <c r="BZ168" s="598" t="str">
        <f t="shared" si="145"/>
        <v>Column BN to be completed</v>
      </c>
      <c r="CA168" s="537"/>
      <c r="CB168" s="571">
        <v>0</v>
      </c>
      <c r="CC168" s="605">
        <f t="shared" si="141"/>
        <v>0</v>
      </c>
      <c r="CD168" s="564">
        <v>2</v>
      </c>
      <c r="CE168" s="506" t="str">
        <f t="shared" si="142"/>
        <v>Excellent coverage</v>
      </c>
      <c r="CF168" s="546">
        <v>0</v>
      </c>
      <c r="CG168" s="563" t="s">
        <v>65</v>
      </c>
      <c r="CH168" s="580"/>
    </row>
    <row r="169" spans="2:86" s="40" customFormat="1" ht="30" customHeight="1" x14ac:dyDescent="0.2">
      <c r="B169" s="527" t="s">
        <v>205</v>
      </c>
      <c r="C169" s="488" t="s">
        <v>617</v>
      </c>
      <c r="D169" s="117" t="s">
        <v>275</v>
      </c>
      <c r="E169" s="488" t="s">
        <v>210</v>
      </c>
      <c r="F169" s="117">
        <v>98.220614999999995</v>
      </c>
      <c r="G169" s="117">
        <v>23.400155999999999</v>
      </c>
      <c r="H169" s="117" t="s">
        <v>509</v>
      </c>
      <c r="I169" s="117" t="s">
        <v>218</v>
      </c>
      <c r="J169" s="546">
        <v>45</v>
      </c>
      <c r="K169" s="546">
        <v>211</v>
      </c>
      <c r="L169" s="546">
        <v>211</v>
      </c>
      <c r="M169" s="490" t="str">
        <f t="shared" si="161"/>
        <v>1. Small</v>
      </c>
      <c r="N169" s="528" t="s">
        <v>239</v>
      </c>
      <c r="O169" s="553" t="s">
        <v>237</v>
      </c>
      <c r="P169" s="545" t="str">
        <f t="shared" si="126"/>
        <v>Covered</v>
      </c>
      <c r="Q169" s="491" t="s">
        <v>895</v>
      </c>
      <c r="R169" s="489"/>
      <c r="S169" s="491"/>
      <c r="T169" s="528" t="s">
        <v>260</v>
      </c>
      <c r="U169" s="533" t="str">
        <f t="shared" si="127"/>
        <v>Documented</v>
      </c>
      <c r="V169" s="537">
        <v>0</v>
      </c>
      <c r="W169" s="492">
        <v>0</v>
      </c>
      <c r="X169" s="538" t="s">
        <v>19</v>
      </c>
      <c r="Y169" s="564">
        <v>1</v>
      </c>
      <c r="Z169" s="546">
        <v>0</v>
      </c>
      <c r="AA169" s="563">
        <v>0</v>
      </c>
      <c r="AB169" s="570">
        <v>1</v>
      </c>
      <c r="AC169" s="571">
        <v>0</v>
      </c>
      <c r="AD169" s="574">
        <f t="shared" si="110"/>
        <v>1</v>
      </c>
      <c r="AE169" s="495">
        <f t="shared" si="128"/>
        <v>211</v>
      </c>
      <c r="AF169" s="496">
        <f t="shared" si="162"/>
        <v>1</v>
      </c>
      <c r="AG169" s="497">
        <f t="shared" si="129"/>
        <v>211</v>
      </c>
      <c r="AH169" s="494">
        <f t="shared" si="163"/>
        <v>1</v>
      </c>
      <c r="AI169" s="497">
        <f t="shared" si="130"/>
        <v>211</v>
      </c>
      <c r="AJ169" s="498" t="str">
        <f t="shared" si="164"/>
        <v>80-100%</v>
      </c>
      <c r="AK169" s="494">
        <f t="shared" si="165"/>
        <v>0</v>
      </c>
      <c r="AL169" s="499">
        <f t="shared" si="166"/>
        <v>0</v>
      </c>
      <c r="AM169" s="497">
        <f t="shared" si="167"/>
        <v>0</v>
      </c>
      <c r="AN169" s="497">
        <f t="shared" si="168"/>
        <v>0</v>
      </c>
      <c r="AO169" s="497">
        <f t="shared" si="131"/>
        <v>211</v>
      </c>
      <c r="AP169" s="571">
        <v>1</v>
      </c>
      <c r="AQ169" s="577">
        <f t="shared" si="132"/>
        <v>211</v>
      </c>
      <c r="AR169" s="581"/>
      <c r="AS169" s="537">
        <v>49</v>
      </c>
      <c r="AT169" s="492">
        <v>41</v>
      </c>
      <c r="AU169" s="492">
        <v>0</v>
      </c>
      <c r="AV169" s="492" t="s">
        <v>299</v>
      </c>
      <c r="AW169" s="500">
        <f t="shared" si="146"/>
        <v>1</v>
      </c>
      <c r="AX169" s="497">
        <f t="shared" si="147"/>
        <v>211</v>
      </c>
      <c r="AY169" s="500">
        <f t="shared" si="148"/>
        <v>1</v>
      </c>
      <c r="AZ169" s="497">
        <f t="shared" si="149"/>
        <v>211</v>
      </c>
      <c r="BA169" s="500">
        <f t="shared" si="150"/>
        <v>0</v>
      </c>
      <c r="BB169" s="497">
        <f t="shared" si="151"/>
        <v>0</v>
      </c>
      <c r="BC169" s="492">
        <v>2</v>
      </c>
      <c r="BD169" s="493">
        <v>1</v>
      </c>
      <c r="BE169" s="501">
        <f t="shared" si="169"/>
        <v>211</v>
      </c>
      <c r="BF169" s="502">
        <f t="shared" si="136"/>
        <v>12.55</v>
      </c>
      <c r="BG169" s="492">
        <v>0</v>
      </c>
      <c r="BH169" s="492" t="s">
        <v>856</v>
      </c>
      <c r="BI169" s="500">
        <f t="shared" si="152"/>
        <v>0</v>
      </c>
      <c r="BJ169" s="497">
        <f t="shared" si="153"/>
        <v>0</v>
      </c>
      <c r="BK169" s="502">
        <f t="shared" si="154"/>
        <v>2.11</v>
      </c>
      <c r="BL169" s="493">
        <v>0</v>
      </c>
      <c r="BM169" s="497">
        <f t="shared" si="155"/>
        <v>0</v>
      </c>
      <c r="BN169" s="492">
        <v>0</v>
      </c>
      <c r="BO169" s="500">
        <f t="shared" si="156"/>
        <v>0</v>
      </c>
      <c r="BP169" s="502">
        <f t="shared" si="157"/>
        <v>2.11</v>
      </c>
      <c r="BQ169" s="568">
        <v>0.7</v>
      </c>
      <c r="BR169" s="580" t="s">
        <v>729</v>
      </c>
      <c r="BS169" s="597"/>
      <c r="BT169" s="503" t="str">
        <f t="shared" si="143"/>
        <v>To be realised</v>
      </c>
      <c r="BU169" s="546">
        <v>0</v>
      </c>
      <c r="BV169" s="546">
        <v>2</v>
      </c>
      <c r="BW169" s="508">
        <f t="shared" si="158"/>
        <v>45</v>
      </c>
      <c r="BX169" s="509">
        <f t="shared" si="159"/>
        <v>0</v>
      </c>
      <c r="BY169" s="501">
        <f t="shared" si="160"/>
        <v>0</v>
      </c>
      <c r="BZ169" s="598" t="str">
        <f t="shared" si="145"/>
        <v>Column BN to be completed</v>
      </c>
      <c r="CA169" s="537"/>
      <c r="CB169" s="571">
        <v>1</v>
      </c>
      <c r="CC169" s="605">
        <f t="shared" si="141"/>
        <v>211</v>
      </c>
      <c r="CD169" s="564">
        <v>0</v>
      </c>
      <c r="CE169" s="506" t="str">
        <f t="shared" si="142"/>
        <v>No coverage</v>
      </c>
      <c r="CF169" s="546">
        <v>0</v>
      </c>
      <c r="CG169" s="563" t="s">
        <v>65</v>
      </c>
      <c r="CH169" s="580"/>
    </row>
    <row r="170" spans="2:86" s="40" customFormat="1" ht="30" customHeight="1" x14ac:dyDescent="0.2">
      <c r="B170" s="527" t="s">
        <v>205</v>
      </c>
      <c r="C170" s="488" t="s">
        <v>618</v>
      </c>
      <c r="D170" s="117" t="s">
        <v>275</v>
      </c>
      <c r="E170" s="488" t="s">
        <v>211</v>
      </c>
      <c r="F170" s="117">
        <v>98.213958000000005</v>
      </c>
      <c r="G170" s="117">
        <v>23.391741</v>
      </c>
      <c r="H170" s="117" t="s">
        <v>509</v>
      </c>
      <c r="I170" s="117" t="s">
        <v>218</v>
      </c>
      <c r="J170" s="546">
        <v>67</v>
      </c>
      <c r="K170" s="546">
        <v>350</v>
      </c>
      <c r="L170" s="546">
        <v>350</v>
      </c>
      <c r="M170" s="490" t="str">
        <f t="shared" ref="M170:M171" si="170">IF(J170&gt;50,IF(J170&gt;250,IF(J170&gt;500,IF(J170&gt;1000,"5. Massive","4. Big"),"3. Large"),"2. Medium"),"1. Small")</f>
        <v>2. Medium</v>
      </c>
      <c r="N170" s="528" t="s">
        <v>235</v>
      </c>
      <c r="O170" s="553" t="s">
        <v>235</v>
      </c>
      <c r="P170" s="545" t="str">
        <f t="shared" si="126"/>
        <v>Covered</v>
      </c>
      <c r="Q170" s="491" t="s">
        <v>708</v>
      </c>
      <c r="R170" s="489"/>
      <c r="S170" s="491"/>
      <c r="T170" s="528" t="s">
        <v>260</v>
      </c>
      <c r="U170" s="533" t="str">
        <f t="shared" ref="U170:U171" si="171">IF(T170="Not documented","Not documented","Documented")</f>
        <v>Documented</v>
      </c>
      <c r="V170" s="537">
        <v>0</v>
      </c>
      <c r="W170" s="492">
        <v>0</v>
      </c>
      <c r="X170" s="538" t="s">
        <v>19</v>
      </c>
      <c r="Y170" s="564">
        <v>0</v>
      </c>
      <c r="Z170" s="546">
        <v>0</v>
      </c>
      <c r="AA170" s="563">
        <v>14400</v>
      </c>
      <c r="AB170" s="570">
        <v>1</v>
      </c>
      <c r="AC170" s="571">
        <v>0</v>
      </c>
      <c r="AD170" s="574">
        <f t="shared" ref="AD170:AD171" si="172">IF((((V170/15)+((W170/30)/15)+Y170*400+Z170*500+(AA170/15))/L170)&gt;1,1,(((V170/15)+((W170/30)/15)+Y170*400+Z170*500+(AA170/15))/L170))</f>
        <v>1</v>
      </c>
      <c r="AE170" s="495">
        <f t="shared" ref="AE170:AE171" si="173">AD170*L170</f>
        <v>350</v>
      </c>
      <c r="AF170" s="496">
        <f t="shared" ref="AF170:AF171" si="174">IF(((Y170*400+Z170*500+(AA170/15))/L170)&gt;1,1,(Y170*400+Z170*500+(AA170/15))/L170)</f>
        <v>1</v>
      </c>
      <c r="AG170" s="497">
        <f t="shared" ref="AG170:AG171" si="175">AF170*L170</f>
        <v>350</v>
      </c>
      <c r="AH170" s="494">
        <f t="shared" ref="AH170:AH171" si="176">IF(AC170=0,AD170,IF(AC170&lt;AD170,AD170,AC170))</f>
        <v>1</v>
      </c>
      <c r="AI170" s="497">
        <f t="shared" ref="AI170:AI171" si="177">AH170*L170</f>
        <v>350</v>
      </c>
      <c r="AJ170" s="498" t="str">
        <f t="shared" ref="AJ170:AJ171" si="178">IF(AD170&gt;0.15,IF(AD170&gt;0.3,IF(AD170&gt;0.45,IF(AD170&gt;0.6,IF(AD170&gt;0.8,"80-100%","60-80%"),"45-60%"),"30-45%"),"15-30%"),"0-10%")</f>
        <v>80-100%</v>
      </c>
      <c r="AK170" s="494">
        <f t="shared" ref="AK170:AK171" si="179">IF((AD170-AF170)&lt; 0, 0, AD170-AF170)</f>
        <v>0</v>
      </c>
      <c r="AL170" s="499">
        <f t="shared" ref="AL170:AL171" si="180">AK170*L170</f>
        <v>0</v>
      </c>
      <c r="AM170" s="497">
        <f t="shared" ref="AM170:AM171" si="181">IF(L170/400-(Y170+Z170)&lt;0,0,L170/400-(Y170+Z170))</f>
        <v>0.875</v>
      </c>
      <c r="AN170" s="497">
        <f t="shared" ref="AN170:AN171" si="182">AC170*J170</f>
        <v>0</v>
      </c>
      <c r="AO170" s="497">
        <f t="shared" ref="AO170:AO171" si="183">AB170*L170</f>
        <v>350</v>
      </c>
      <c r="AP170" s="571">
        <v>1</v>
      </c>
      <c r="AQ170" s="577">
        <f t="shared" ref="AQ170:AQ171" si="184">AP170*L170</f>
        <v>350</v>
      </c>
      <c r="AR170" s="581"/>
      <c r="AS170" s="537">
        <v>12</v>
      </c>
      <c r="AT170" s="492">
        <v>12</v>
      </c>
      <c r="AU170" s="492">
        <v>8</v>
      </c>
      <c r="AV170" s="492" t="s">
        <v>300</v>
      </c>
      <c r="AW170" s="500">
        <f t="shared" ref="AW170:AW171" si="185">IF((((AT170+AU170)*20)/L170)&gt;1,1,(((AT170+AU170)*20)/L170))</f>
        <v>1</v>
      </c>
      <c r="AX170" s="497">
        <f t="shared" ref="AX170:AX171" si="186">AW170*L170</f>
        <v>350</v>
      </c>
      <c r="AY170" s="500">
        <f t="shared" ref="AY170:AY171" si="187">AW170-BA170</f>
        <v>0.54285714285714293</v>
      </c>
      <c r="AZ170" s="497">
        <f t="shared" ref="AZ170:AZ171" si="188">AY170*L170</f>
        <v>190.00000000000003</v>
      </c>
      <c r="BA170" s="500">
        <f t="shared" ref="BA170:BA171" si="189">IF(((AU170*20)/L170)&gt;1,1,((AU170*20)/L170))</f>
        <v>0.45714285714285713</v>
      </c>
      <c r="BB170" s="497">
        <f t="shared" ref="BB170:BB171" si="190">BA170*L170</f>
        <v>160</v>
      </c>
      <c r="BC170" s="492">
        <v>2</v>
      </c>
      <c r="BD170" s="493">
        <v>1</v>
      </c>
      <c r="BE170" s="501">
        <f t="shared" ref="BE170:BE171" si="191">BD170*L170</f>
        <v>350</v>
      </c>
      <c r="BF170" s="502">
        <f t="shared" ref="BF170:BF171" si="192">IF((L170/20-AU170+BC170)&lt;0,0,(L170/20-AU170+BC170))</f>
        <v>11.5</v>
      </c>
      <c r="BG170" s="492">
        <v>2</v>
      </c>
      <c r="BH170" s="492" t="s">
        <v>300</v>
      </c>
      <c r="BI170" s="500">
        <f t="shared" ref="BI170:BI171" si="193">IF((BG170*100/L170)&gt;1,1,(BG170*100/L170))</f>
        <v>0.5714285714285714</v>
      </c>
      <c r="BJ170" s="497">
        <f t="shared" ref="BJ170:BJ171" si="194">BI170*L170</f>
        <v>200</v>
      </c>
      <c r="BK170" s="502">
        <f t="shared" ref="BK170:BK171" si="195">IF(K170/100-BG170&lt;0,0,K170/100-BG170)</f>
        <v>1.5</v>
      </c>
      <c r="BL170" s="493">
        <v>0.56999999999999995</v>
      </c>
      <c r="BM170" s="497">
        <f t="shared" ref="BM170:BM171" si="196">BL170*L170</f>
        <v>199.49999999999997</v>
      </c>
      <c r="BN170" s="492">
        <v>0</v>
      </c>
      <c r="BO170" s="500">
        <f t="shared" ref="BO170:BO171" si="197">IF((BN170*100/L170)&gt;1,1,(BN170*100/L170))</f>
        <v>0</v>
      </c>
      <c r="BP170" s="502">
        <f t="shared" ref="BP170:BP171" si="198">IF(K170/100-BN170&lt;0,0,K170/100-BN170)</f>
        <v>3.5</v>
      </c>
      <c r="BQ170" s="568">
        <v>0</v>
      </c>
      <c r="BR170" s="580"/>
      <c r="BS170" s="597"/>
      <c r="BT170" s="503" t="str">
        <f t="shared" ref="BT170:BT171" si="199">IF(BS170="","To be realised",IF(BS170="n/a","n/a",IF(BS170+365&lt;$E$2,"To be realised",BS170+365)))</f>
        <v>To be realised</v>
      </c>
      <c r="BU170" s="546">
        <v>0</v>
      </c>
      <c r="BV170" s="546">
        <v>3</v>
      </c>
      <c r="BW170" s="508">
        <f t="shared" ref="BW170:BW171" si="200">IF(BT170="n/a",0,IF(BT170="To be realised",J170,IF((J170-BU170)&lt;0,0,(J170-BU170))))</f>
        <v>67</v>
      </c>
      <c r="BX170" s="509">
        <f t="shared" ref="BX170:BX171" si="201">IF(BW170=0,1,(J170-BW170)/J170)</f>
        <v>0</v>
      </c>
      <c r="BY170" s="501">
        <f t="shared" ref="BY170:BY171" si="202">BX170*L170</f>
        <v>0</v>
      </c>
      <c r="BZ170" s="598" t="str">
        <f t="shared" ref="BZ170:BZ171" si="203">IF(BS170="","Column BN to be completed", IF(BS170="n/a",0,IF(($E$2-BS170-30)/30-BV170&lt;0,0,ROUND((($E$2-BS170-30)/30-BV170),0))))</f>
        <v>Column BN to be completed</v>
      </c>
      <c r="CA170" s="537" t="s">
        <v>884</v>
      </c>
      <c r="CB170" s="571">
        <v>0</v>
      </c>
      <c r="CC170" s="605">
        <f t="shared" ref="CC170:CC171" si="204">CB170*L170</f>
        <v>0</v>
      </c>
      <c r="CD170" s="564">
        <v>2</v>
      </c>
      <c r="CE170" s="506" t="str">
        <f t="shared" ref="CE170:CE171" si="205">IF(CD170=0,"No coverage",IF(L170/CD170&gt;1000,"Low coverage",IF(L170/CD170&gt;750,"Average coverage",IF(L170/CD170&gt;500,"Good coverage","Excellent coverage"))))</f>
        <v>Excellent coverage</v>
      </c>
      <c r="CF170" s="546">
        <v>0</v>
      </c>
      <c r="CG170" s="563" t="s">
        <v>65</v>
      </c>
      <c r="CH170" s="580"/>
    </row>
    <row r="171" spans="2:86" s="40" customFormat="1" ht="30" customHeight="1" x14ac:dyDescent="0.2">
      <c r="B171" s="527" t="s">
        <v>205</v>
      </c>
      <c r="C171" s="488" t="s">
        <v>619</v>
      </c>
      <c r="D171" s="117" t="s">
        <v>275</v>
      </c>
      <c r="E171" s="488" t="s">
        <v>212</v>
      </c>
      <c r="F171" s="117">
        <v>97.819062000000002</v>
      </c>
      <c r="G171" s="117">
        <v>23.694047000000001</v>
      </c>
      <c r="H171" s="117" t="s">
        <v>509</v>
      </c>
      <c r="I171" s="117" t="s">
        <v>218</v>
      </c>
      <c r="J171" s="546">
        <v>75</v>
      </c>
      <c r="K171" s="546">
        <v>269</v>
      </c>
      <c r="L171" s="546">
        <v>269</v>
      </c>
      <c r="M171" s="490" t="str">
        <f t="shared" si="170"/>
        <v>2. Medium</v>
      </c>
      <c r="N171" s="528" t="s">
        <v>239</v>
      </c>
      <c r="O171" s="553" t="s">
        <v>237</v>
      </c>
      <c r="P171" s="545" t="str">
        <f t="shared" si="126"/>
        <v>Covered</v>
      </c>
      <c r="Q171" s="491" t="s">
        <v>895</v>
      </c>
      <c r="R171" s="489"/>
      <c r="S171" s="491"/>
      <c r="T171" s="528" t="s">
        <v>260</v>
      </c>
      <c r="U171" s="533" t="str">
        <f t="shared" si="171"/>
        <v>Documented</v>
      </c>
      <c r="V171" s="537">
        <v>0</v>
      </c>
      <c r="W171" s="492">
        <v>0</v>
      </c>
      <c r="X171" s="538" t="s">
        <v>19</v>
      </c>
      <c r="Y171" s="564">
        <v>0</v>
      </c>
      <c r="Z171" s="546">
        <v>0</v>
      </c>
      <c r="AA171" s="563">
        <v>57600</v>
      </c>
      <c r="AB171" s="570">
        <v>1</v>
      </c>
      <c r="AC171" s="571">
        <v>0</v>
      </c>
      <c r="AD171" s="574">
        <f t="shared" si="172"/>
        <v>1</v>
      </c>
      <c r="AE171" s="495">
        <f t="shared" si="173"/>
        <v>269</v>
      </c>
      <c r="AF171" s="496">
        <f t="shared" si="174"/>
        <v>1</v>
      </c>
      <c r="AG171" s="497">
        <f t="shared" si="175"/>
        <v>269</v>
      </c>
      <c r="AH171" s="494">
        <f t="shared" si="176"/>
        <v>1</v>
      </c>
      <c r="AI171" s="497">
        <f t="shared" si="177"/>
        <v>269</v>
      </c>
      <c r="AJ171" s="498" t="str">
        <f t="shared" si="178"/>
        <v>80-100%</v>
      </c>
      <c r="AK171" s="494">
        <f t="shared" si="179"/>
        <v>0</v>
      </c>
      <c r="AL171" s="499">
        <f t="shared" si="180"/>
        <v>0</v>
      </c>
      <c r="AM171" s="497">
        <f t="shared" si="181"/>
        <v>0.67249999999999999</v>
      </c>
      <c r="AN171" s="497">
        <f t="shared" si="182"/>
        <v>0</v>
      </c>
      <c r="AO171" s="497">
        <f t="shared" si="183"/>
        <v>269</v>
      </c>
      <c r="AP171" s="571">
        <v>1</v>
      </c>
      <c r="AQ171" s="577">
        <f t="shared" si="184"/>
        <v>269</v>
      </c>
      <c r="AR171" s="581"/>
      <c r="AS171" s="537">
        <v>9</v>
      </c>
      <c r="AT171" s="492">
        <v>9</v>
      </c>
      <c r="AU171" s="492">
        <v>9</v>
      </c>
      <c r="AV171" s="492" t="s">
        <v>299</v>
      </c>
      <c r="AW171" s="500">
        <f t="shared" si="185"/>
        <v>1</v>
      </c>
      <c r="AX171" s="497">
        <f t="shared" si="186"/>
        <v>269</v>
      </c>
      <c r="AY171" s="500">
        <f t="shared" si="187"/>
        <v>0.33085501858736055</v>
      </c>
      <c r="AZ171" s="497">
        <f t="shared" si="188"/>
        <v>88.999999999999986</v>
      </c>
      <c r="BA171" s="500">
        <f t="shared" si="189"/>
        <v>0.66914498141263945</v>
      </c>
      <c r="BB171" s="497">
        <f t="shared" si="190"/>
        <v>180</v>
      </c>
      <c r="BC171" s="492">
        <v>4</v>
      </c>
      <c r="BD171" s="493">
        <v>1</v>
      </c>
      <c r="BE171" s="501">
        <f t="shared" si="191"/>
        <v>269</v>
      </c>
      <c r="BF171" s="502">
        <f t="shared" si="192"/>
        <v>8.4499999999999993</v>
      </c>
      <c r="BG171" s="492">
        <v>2</v>
      </c>
      <c r="BH171" s="492" t="s">
        <v>91</v>
      </c>
      <c r="BI171" s="500">
        <f t="shared" si="193"/>
        <v>0.74349442379182151</v>
      </c>
      <c r="BJ171" s="497">
        <f t="shared" si="194"/>
        <v>200</v>
      </c>
      <c r="BK171" s="502">
        <f t="shared" si="195"/>
        <v>0.69</v>
      </c>
      <c r="BL171" s="493">
        <v>0.75</v>
      </c>
      <c r="BM171" s="497">
        <f t="shared" si="196"/>
        <v>201.75</v>
      </c>
      <c r="BN171" s="492">
        <v>0</v>
      </c>
      <c r="BO171" s="500">
        <f t="shared" si="197"/>
        <v>0</v>
      </c>
      <c r="BP171" s="502">
        <f t="shared" si="198"/>
        <v>2.69</v>
      </c>
      <c r="BQ171" s="568">
        <v>0.8</v>
      </c>
      <c r="BR171" s="580" t="s">
        <v>731</v>
      </c>
      <c r="BS171" s="597">
        <v>41183</v>
      </c>
      <c r="BT171" s="503" t="str">
        <f t="shared" si="199"/>
        <v>To be realised</v>
      </c>
      <c r="BU171" s="546">
        <v>79</v>
      </c>
      <c r="BV171" s="546">
        <v>2</v>
      </c>
      <c r="BW171" s="508">
        <f t="shared" si="200"/>
        <v>75</v>
      </c>
      <c r="BX171" s="509">
        <f t="shared" si="201"/>
        <v>0</v>
      </c>
      <c r="BY171" s="501">
        <f t="shared" si="202"/>
        <v>0</v>
      </c>
      <c r="BZ171" s="598">
        <f t="shared" si="203"/>
        <v>28</v>
      </c>
      <c r="CA171" s="537"/>
      <c r="CB171" s="571">
        <v>0.35</v>
      </c>
      <c r="CC171" s="605">
        <f t="shared" si="204"/>
        <v>94.149999999999991</v>
      </c>
      <c r="CD171" s="564">
        <v>2</v>
      </c>
      <c r="CE171" s="506" t="str">
        <f t="shared" si="205"/>
        <v>Excellent coverage</v>
      </c>
      <c r="CF171" s="546">
        <v>0</v>
      </c>
      <c r="CG171" s="563" t="s">
        <v>65</v>
      </c>
      <c r="CH171" s="580"/>
    </row>
    <row r="172" spans="2:86" s="40" customFormat="1" ht="30" customHeight="1" x14ac:dyDescent="0.2">
      <c r="B172" s="527" t="s">
        <v>885</v>
      </c>
      <c r="C172" s="488" t="s">
        <v>684</v>
      </c>
      <c r="D172" s="117" t="s">
        <v>275</v>
      </c>
      <c r="E172" s="488" t="s">
        <v>231</v>
      </c>
      <c r="F172" s="117">
        <v>98.128</v>
      </c>
      <c r="G172" s="117">
        <v>23.24</v>
      </c>
      <c r="H172" s="117" t="s">
        <v>509</v>
      </c>
      <c r="I172" s="117" t="s">
        <v>218</v>
      </c>
      <c r="J172" s="546">
        <v>67</v>
      </c>
      <c r="K172" s="546">
        <v>392</v>
      </c>
      <c r="L172" s="546">
        <v>392</v>
      </c>
      <c r="M172" s="490"/>
      <c r="N172" s="528" t="s">
        <v>291</v>
      </c>
      <c r="O172" s="553" t="s">
        <v>237</v>
      </c>
      <c r="P172" s="545" t="str">
        <f t="shared" si="126"/>
        <v>Covered</v>
      </c>
      <c r="Q172" s="491" t="s">
        <v>895</v>
      </c>
      <c r="R172" s="489"/>
      <c r="S172" s="491"/>
      <c r="T172" s="528" t="s">
        <v>260</v>
      </c>
      <c r="U172" s="533" t="str">
        <f t="shared" si="127"/>
        <v>Documented</v>
      </c>
      <c r="V172" s="537">
        <v>0</v>
      </c>
      <c r="W172" s="492">
        <v>0</v>
      </c>
      <c r="X172" s="538" t="s">
        <v>19</v>
      </c>
      <c r="Y172" s="564">
        <v>0</v>
      </c>
      <c r="Z172" s="546">
        <v>0</v>
      </c>
      <c r="AA172" s="563">
        <v>17000</v>
      </c>
      <c r="AB172" s="570">
        <v>0</v>
      </c>
      <c r="AC172" s="571">
        <v>0</v>
      </c>
      <c r="AD172" s="574">
        <f t="shared" ref="AD172:AD173" si="206">IF((((V172/15)+((W172/30)/15)+Y172*400+Z172*500+(AA172/15))/L172)&gt;1,1,(((V172/15)+((W172/30)/15)+Y172*400+Z172*500+(AA172/15))/L172))</f>
        <v>1</v>
      </c>
      <c r="AE172" s="495">
        <f t="shared" ref="AE172:AE173" si="207">AD172*L172</f>
        <v>392</v>
      </c>
      <c r="AF172" s="496">
        <f t="shared" ref="AF172:AF173" si="208">IF(((Y172*400+Z172*500+(AA172/15))/L172)&gt;1,1,(Y172*400+Z172*500+(AA172/15))/L172)</f>
        <v>1</v>
      </c>
      <c r="AG172" s="497">
        <f t="shared" ref="AG172:AG173" si="209">AF172*L172</f>
        <v>392</v>
      </c>
      <c r="AH172" s="494">
        <f t="shared" ref="AH172:AH173" si="210">IF(AC172=0,AD172,IF(AC172&lt;AD172,AD172,AC172))</f>
        <v>1</v>
      </c>
      <c r="AI172" s="497">
        <f t="shared" ref="AI172:AI173" si="211">AH172*L172</f>
        <v>392</v>
      </c>
      <c r="AJ172" s="498" t="str">
        <f t="shared" ref="AJ172:AJ173" si="212">IF(AD172&gt;0.15,IF(AD172&gt;0.3,IF(AD172&gt;0.45,IF(AD172&gt;0.6,IF(AD172&gt;0.8,"80-100%","60-80%"),"45-60%"),"30-45%"),"15-30%"),"0-10%")</f>
        <v>80-100%</v>
      </c>
      <c r="AK172" s="494">
        <f t="shared" ref="AK172:AK173" si="213">IF((AD172-AF172)&lt; 0, 0, AD172-AF172)</f>
        <v>0</v>
      </c>
      <c r="AL172" s="499">
        <f t="shared" ref="AL172:AL173" si="214">AK172*L172</f>
        <v>0</v>
      </c>
      <c r="AM172" s="497">
        <f t="shared" ref="AM172:AM173" si="215">IF(L172/400-(Y172+Z172)&lt;0,0,L172/400-(Y172+Z172))</f>
        <v>0.98</v>
      </c>
      <c r="AN172" s="497">
        <f t="shared" ref="AN172:AN173" si="216">AC172*J172</f>
        <v>0</v>
      </c>
      <c r="AO172" s="497">
        <f t="shared" ref="AO172:AO173" si="217">AB172*L172</f>
        <v>0</v>
      </c>
      <c r="AP172" s="571">
        <v>1</v>
      </c>
      <c r="AQ172" s="577">
        <f t="shared" si="132"/>
        <v>392</v>
      </c>
      <c r="AR172" s="581"/>
      <c r="AS172" s="537">
        <v>4</v>
      </c>
      <c r="AT172" s="492">
        <v>4</v>
      </c>
      <c r="AU172" s="492">
        <v>0</v>
      </c>
      <c r="AV172" s="492" t="s">
        <v>299</v>
      </c>
      <c r="AW172" s="500">
        <f t="shared" si="146"/>
        <v>0.20408163265306123</v>
      </c>
      <c r="AX172" s="497">
        <f t="shared" si="147"/>
        <v>80</v>
      </c>
      <c r="AY172" s="500">
        <f t="shared" si="148"/>
        <v>0.20408163265306123</v>
      </c>
      <c r="AZ172" s="497">
        <f t="shared" si="149"/>
        <v>80</v>
      </c>
      <c r="BA172" s="500">
        <f t="shared" si="150"/>
        <v>0</v>
      </c>
      <c r="BB172" s="497">
        <f t="shared" si="151"/>
        <v>0</v>
      </c>
      <c r="BC172" s="492">
        <v>0</v>
      </c>
      <c r="BD172" s="493">
        <v>0.2</v>
      </c>
      <c r="BE172" s="501"/>
      <c r="BF172" s="502"/>
      <c r="BG172" s="492">
        <v>0</v>
      </c>
      <c r="BH172" s="492"/>
      <c r="BI172" s="500">
        <f t="shared" si="152"/>
        <v>0</v>
      </c>
      <c r="BJ172" s="497">
        <f t="shared" si="153"/>
        <v>0</v>
      </c>
      <c r="BK172" s="502">
        <f t="shared" si="154"/>
        <v>3.92</v>
      </c>
      <c r="BL172" s="493">
        <v>0</v>
      </c>
      <c r="BM172" s="497">
        <f t="shared" si="155"/>
        <v>0</v>
      </c>
      <c r="BN172" s="492">
        <v>0</v>
      </c>
      <c r="BO172" s="500">
        <f t="shared" si="156"/>
        <v>0</v>
      </c>
      <c r="BP172" s="502">
        <f t="shared" si="157"/>
        <v>3.92</v>
      </c>
      <c r="BQ172" s="568">
        <v>0.7</v>
      </c>
      <c r="BR172" s="580"/>
      <c r="BS172" s="597"/>
      <c r="BT172" s="503" t="str">
        <f t="shared" si="143"/>
        <v>To be realised</v>
      </c>
      <c r="BU172" s="546">
        <v>0</v>
      </c>
      <c r="BV172" s="546">
        <v>2</v>
      </c>
      <c r="BW172" s="508">
        <f t="shared" si="158"/>
        <v>67</v>
      </c>
      <c r="BX172" s="509">
        <f t="shared" si="159"/>
        <v>0</v>
      </c>
      <c r="BY172" s="501">
        <f t="shared" si="160"/>
        <v>0</v>
      </c>
      <c r="BZ172" s="598" t="str">
        <f t="shared" si="145"/>
        <v>Column BN to be completed</v>
      </c>
      <c r="CA172" s="537"/>
      <c r="CB172" s="571">
        <v>0</v>
      </c>
      <c r="CC172" s="605"/>
      <c r="CD172" s="564">
        <v>0</v>
      </c>
      <c r="CE172" s="506" t="str">
        <f t="shared" si="142"/>
        <v>No coverage</v>
      </c>
      <c r="CF172" s="546">
        <v>0</v>
      </c>
      <c r="CG172" s="563" t="s">
        <v>65</v>
      </c>
      <c r="CH172" s="580"/>
    </row>
    <row r="173" spans="2:86" s="40" customFormat="1" ht="30" customHeight="1" x14ac:dyDescent="0.2">
      <c r="B173" s="527" t="s">
        <v>205</v>
      </c>
      <c r="C173" s="488" t="s">
        <v>620</v>
      </c>
      <c r="D173" s="117" t="s">
        <v>275</v>
      </c>
      <c r="E173" s="488" t="s">
        <v>213</v>
      </c>
      <c r="F173" s="117">
        <v>97.837040000000002</v>
      </c>
      <c r="G173" s="117">
        <v>23.38503</v>
      </c>
      <c r="H173" s="117" t="s">
        <v>509</v>
      </c>
      <c r="I173" s="117" t="s">
        <v>218</v>
      </c>
      <c r="J173" s="546">
        <v>118</v>
      </c>
      <c r="K173" s="546">
        <v>649</v>
      </c>
      <c r="L173" s="546">
        <v>649</v>
      </c>
      <c r="M173" s="490" t="str">
        <f t="shared" ref="M173" si="218">IF(J173&gt;50,IF(J173&gt;250,IF(J173&gt;500,IF(J173&gt;1000,"5. Massive","4. Big"),"3. Large"),"2. Medium"),"1. Small")</f>
        <v>2. Medium</v>
      </c>
      <c r="N173" s="528" t="s">
        <v>239</v>
      </c>
      <c r="O173" s="553" t="s">
        <v>237</v>
      </c>
      <c r="P173" s="545" t="str">
        <f t="shared" si="126"/>
        <v>Covered</v>
      </c>
      <c r="Q173" s="491" t="s">
        <v>895</v>
      </c>
      <c r="R173" s="489"/>
      <c r="S173" s="491"/>
      <c r="T173" s="528" t="s">
        <v>260</v>
      </c>
      <c r="U173" s="533" t="str">
        <f t="shared" ref="U173" si="219">IF(T173="Not documented","Not documented","Documented")</f>
        <v>Documented</v>
      </c>
      <c r="V173" s="537">
        <v>0</v>
      </c>
      <c r="W173" s="492">
        <v>0</v>
      </c>
      <c r="X173" s="538" t="s">
        <v>19</v>
      </c>
      <c r="Y173" s="564">
        <v>0</v>
      </c>
      <c r="Z173" s="546">
        <v>0</v>
      </c>
      <c r="AA173" s="563">
        <v>60000</v>
      </c>
      <c r="AB173" s="570">
        <v>1</v>
      </c>
      <c r="AC173" s="571">
        <v>0</v>
      </c>
      <c r="AD173" s="574">
        <f t="shared" si="206"/>
        <v>1</v>
      </c>
      <c r="AE173" s="495">
        <f t="shared" si="207"/>
        <v>649</v>
      </c>
      <c r="AF173" s="496">
        <f t="shared" si="208"/>
        <v>1</v>
      </c>
      <c r="AG173" s="497">
        <f t="shared" si="209"/>
        <v>649</v>
      </c>
      <c r="AH173" s="494">
        <f t="shared" si="210"/>
        <v>1</v>
      </c>
      <c r="AI173" s="497">
        <f t="shared" si="211"/>
        <v>649</v>
      </c>
      <c r="AJ173" s="498" t="str">
        <f t="shared" si="212"/>
        <v>80-100%</v>
      </c>
      <c r="AK173" s="494">
        <f t="shared" si="213"/>
        <v>0</v>
      </c>
      <c r="AL173" s="499">
        <f t="shared" si="214"/>
        <v>0</v>
      </c>
      <c r="AM173" s="497">
        <f t="shared" si="215"/>
        <v>1.6225000000000001</v>
      </c>
      <c r="AN173" s="497">
        <f t="shared" si="216"/>
        <v>0</v>
      </c>
      <c r="AO173" s="497">
        <f t="shared" si="217"/>
        <v>649</v>
      </c>
      <c r="AP173" s="571">
        <v>1</v>
      </c>
      <c r="AQ173" s="577">
        <f t="shared" ref="AQ173" si="220">AP173*L173</f>
        <v>649</v>
      </c>
      <c r="AR173" s="581"/>
      <c r="AS173" s="537">
        <v>81</v>
      </c>
      <c r="AT173" s="492">
        <v>81</v>
      </c>
      <c r="AU173" s="492">
        <v>0</v>
      </c>
      <c r="AV173" s="492" t="s">
        <v>300</v>
      </c>
      <c r="AW173" s="500">
        <f t="shared" ref="AW173" si="221">IF((((AT173+AU173)*20)/L173)&gt;1,1,(((AT173+AU173)*20)/L173))</f>
        <v>1</v>
      </c>
      <c r="AX173" s="497">
        <f t="shared" ref="AX173" si="222">AW173*L173</f>
        <v>649</v>
      </c>
      <c r="AY173" s="500">
        <f t="shared" ref="AY173" si="223">AW173-BA173</f>
        <v>1</v>
      </c>
      <c r="AZ173" s="497">
        <f t="shared" ref="AZ173" si="224">AY173*L173</f>
        <v>649</v>
      </c>
      <c r="BA173" s="500">
        <f t="shared" ref="BA173" si="225">IF(((AU173*20)/L173)&gt;1,1,((AU173*20)/L173))</f>
        <v>0</v>
      </c>
      <c r="BB173" s="497">
        <f t="shared" ref="BB173" si="226">BA173*L173</f>
        <v>0</v>
      </c>
      <c r="BC173" s="492">
        <v>3</v>
      </c>
      <c r="BD173" s="493">
        <v>1</v>
      </c>
      <c r="BE173" s="501">
        <f t="shared" ref="BE173" si="227">BD173*L173</f>
        <v>649</v>
      </c>
      <c r="BF173" s="502">
        <f t="shared" ref="BF173" si="228">IF((L173/20-AU173+BC173)&lt;0,0,(L173/20-AU173+BC173))</f>
        <v>35.450000000000003</v>
      </c>
      <c r="BG173" s="492">
        <v>0</v>
      </c>
      <c r="BH173" s="492" t="s">
        <v>856</v>
      </c>
      <c r="BI173" s="500">
        <f t="shared" ref="BI173" si="229">IF((BG173*100/L173)&gt;1,1,(BG173*100/L173))</f>
        <v>0</v>
      </c>
      <c r="BJ173" s="497">
        <f t="shared" ref="BJ173" si="230">BI173*L173</f>
        <v>0</v>
      </c>
      <c r="BK173" s="502">
        <f t="shared" ref="BK173" si="231">IF(K173/100-BG173&lt;0,0,K173/100-BG173)</f>
        <v>6.49</v>
      </c>
      <c r="BL173" s="493">
        <v>0</v>
      </c>
      <c r="BM173" s="497">
        <f t="shared" ref="BM173" si="232">BL173*L173</f>
        <v>0</v>
      </c>
      <c r="BN173" s="492">
        <v>1</v>
      </c>
      <c r="BO173" s="500">
        <f t="shared" ref="BO173" si="233">IF((BN173*100/L173)&gt;1,1,(BN173*100/L173))</f>
        <v>0.15408320493066255</v>
      </c>
      <c r="BP173" s="502">
        <f t="shared" ref="BP173" si="234">IF(K173/100-BN173&lt;0,0,K173/100-BN173)</f>
        <v>5.49</v>
      </c>
      <c r="BQ173" s="568">
        <v>0.7</v>
      </c>
      <c r="BR173" s="580" t="s">
        <v>732</v>
      </c>
      <c r="BS173" s="597"/>
      <c r="BT173" s="503" t="str">
        <f t="shared" ref="BT173" si="235">IF(BS173="","To be realised",IF(BS173="n/a","n/a",IF(BS173+365&lt;$E$2,"To be realised",BS173+365)))</f>
        <v>To be realised</v>
      </c>
      <c r="BU173" s="546">
        <v>0</v>
      </c>
      <c r="BV173" s="546">
        <v>2</v>
      </c>
      <c r="BW173" s="508">
        <f t="shared" ref="BW173" si="236">IF(BT173="n/a",0,IF(BT173="To be realised",J173,IF((J173-BU173)&lt;0,0,(J173-BU173))))</f>
        <v>118</v>
      </c>
      <c r="BX173" s="509">
        <f t="shared" ref="BX173" si="237">IF(BW173=0,1,(J173-BW173)/J173)</f>
        <v>0</v>
      </c>
      <c r="BY173" s="501">
        <f t="shared" ref="BY173" si="238">BX173*L173</f>
        <v>0</v>
      </c>
      <c r="BZ173" s="598" t="str">
        <f t="shared" ref="BZ173" si="239">IF(BS173="","Column BN to be completed", IF(BS173="n/a",0,IF(($E$2-BS173-30)/30-BV173&lt;0,0,ROUND((($E$2-BS173-30)/30-BV173),0))))</f>
        <v>Column BN to be completed</v>
      </c>
      <c r="CA173" s="537"/>
      <c r="CB173" s="571">
        <v>0</v>
      </c>
      <c r="CC173" s="605">
        <f t="shared" ref="CC173" si="240">CB173*L173</f>
        <v>0</v>
      </c>
      <c r="CD173" s="564">
        <v>0</v>
      </c>
      <c r="CE173" s="506" t="str">
        <f t="shared" ref="CE173" si="241">IF(CD173=0,"No coverage",IF(L173/CD173&gt;1000,"Low coverage",IF(L173/CD173&gt;750,"Average coverage",IF(L173/CD173&gt;500,"Good coverage","Excellent coverage"))))</f>
        <v>No coverage</v>
      </c>
      <c r="CF173" s="546">
        <v>0</v>
      </c>
      <c r="CG173" s="563" t="s">
        <v>65</v>
      </c>
      <c r="CH173" s="580"/>
    </row>
    <row r="174" spans="2:86" ht="35.25" customHeight="1" x14ac:dyDescent="0.2">
      <c r="B174" s="527" t="s">
        <v>232</v>
      </c>
      <c r="C174" s="488" t="s">
        <v>683</v>
      </c>
      <c r="D174" s="117" t="s">
        <v>276</v>
      </c>
      <c r="E174" s="488" t="s">
        <v>528</v>
      </c>
      <c r="F174" s="117">
        <v>97.406869999999998</v>
      </c>
      <c r="G174" s="117">
        <v>23.092880000000001</v>
      </c>
      <c r="H174" s="117" t="s">
        <v>509</v>
      </c>
      <c r="I174" s="117" t="s">
        <v>218</v>
      </c>
      <c r="J174" s="546">
        <v>12</v>
      </c>
      <c r="K174" s="546">
        <v>52</v>
      </c>
      <c r="L174" s="546">
        <v>52</v>
      </c>
      <c r="M174" s="490" t="str">
        <f>IF(J174&gt;50,IF(J174&gt;250,IF(J174&gt;500,IF(J174&gt;1000,"5. Massive","4. Big"),"3. Large"),"2. Medium"),"1. Small")</f>
        <v>1. Small</v>
      </c>
      <c r="N174" s="528" t="s">
        <v>239</v>
      </c>
      <c r="O174" s="553" t="s">
        <v>237</v>
      </c>
      <c r="P174" s="545" t="str">
        <f>IF(O174="None","Not covered","Covered")</f>
        <v>Covered</v>
      </c>
      <c r="Q174" s="491">
        <v>42460</v>
      </c>
      <c r="R174" s="489"/>
      <c r="S174" s="491"/>
      <c r="T174" s="528" t="s">
        <v>260</v>
      </c>
      <c r="U174" s="533" t="str">
        <f>IF(T174="Not documented","Not documented","Documented")</f>
        <v>Documented</v>
      </c>
      <c r="V174" s="537">
        <v>0</v>
      </c>
      <c r="W174" s="492">
        <v>0</v>
      </c>
      <c r="X174" s="538" t="s">
        <v>19</v>
      </c>
      <c r="Y174" s="564">
        <v>0</v>
      </c>
      <c r="Z174" s="546">
        <v>0</v>
      </c>
      <c r="AA174" s="563">
        <v>2000</v>
      </c>
      <c r="AB174" s="570">
        <v>1</v>
      </c>
      <c r="AC174" s="571">
        <v>0</v>
      </c>
      <c r="AD174" s="574">
        <f t="shared" ref="AD174:AD176" si="242">IF((((V174/15)+((W174/30)/15)+Y174*400+Z174*500+(AA174/15))/L174)&gt;1,1,(((V174/15)+((W174/30)/15)+Y174*400+Z174*500+(AA174/15))/L174))</f>
        <v>1</v>
      </c>
      <c r="AE174" s="495">
        <f t="shared" ref="AE174:AE176" si="243">AD174*L174</f>
        <v>52</v>
      </c>
      <c r="AF174" s="496">
        <f t="shared" ref="AF174:AF176" si="244">IF(((Y174*400+Z174*500+(AA174/15))/L174)&gt;1,1,(Y174*400+Z174*500+(AA174/15))/L174)</f>
        <v>1</v>
      </c>
      <c r="AG174" s="497">
        <f t="shared" ref="AG174:AG176" si="245">AF174*L174</f>
        <v>52</v>
      </c>
      <c r="AH174" s="494">
        <f t="shared" ref="AH174:AH176" si="246">IF(AC174=0,AD174,IF(AC174&lt;AD174,AD174,AC174))</f>
        <v>1</v>
      </c>
      <c r="AI174" s="497">
        <f t="shared" ref="AI174:AI176" si="247">AH174*L174</f>
        <v>52</v>
      </c>
      <c r="AJ174" s="498" t="str">
        <f t="shared" ref="AJ174:AJ176" si="248">IF(AD174&gt;0.15,IF(AD174&gt;0.3,IF(AD174&gt;0.45,IF(AD174&gt;0.6,IF(AD174&gt;0.8,"80-100%","60-80%"),"45-60%"),"30-45%"),"15-30%"),"0-10%")</f>
        <v>80-100%</v>
      </c>
      <c r="AK174" s="494">
        <f t="shared" ref="AK174:AK176" si="249">IF((AD174-AF174)&lt; 0, 0, AD174-AF174)</f>
        <v>0</v>
      </c>
      <c r="AL174" s="499">
        <f t="shared" ref="AL174:AL176" si="250">AK174*L174</f>
        <v>0</v>
      </c>
      <c r="AM174" s="497">
        <f t="shared" ref="AM174:AM176" si="251">IF(L174/400-(Y174+Z174)&lt;0,0,L174/400-(Y174+Z174))</f>
        <v>0.13</v>
      </c>
      <c r="AN174" s="497">
        <f t="shared" ref="AN174:AN176" si="252">AC174*J174</f>
        <v>0</v>
      </c>
      <c r="AO174" s="497">
        <f t="shared" ref="AO174:AO176" si="253">AB174*L174</f>
        <v>52</v>
      </c>
      <c r="AP174" s="571">
        <v>1</v>
      </c>
      <c r="AQ174" s="577">
        <f>AP174*L174</f>
        <v>52</v>
      </c>
      <c r="AR174" s="581"/>
      <c r="AS174" s="537">
        <v>0</v>
      </c>
      <c r="AT174" s="492">
        <v>2</v>
      </c>
      <c r="AU174" s="492">
        <v>2</v>
      </c>
      <c r="AV174" s="492" t="s">
        <v>91</v>
      </c>
      <c r="AW174" s="500">
        <f t="shared" ref="AW174:AW176" si="254">IF((((AT174+AU174)*20)/L174)&gt;1,1,(((AT174+AU174)*20)/L174))</f>
        <v>1</v>
      </c>
      <c r="AX174" s="497">
        <f t="shared" ref="AX174:AX176" si="255">AW174*L174</f>
        <v>52</v>
      </c>
      <c r="AY174" s="500">
        <f t="shared" ref="AY174:AY176" si="256">AW174-BA174</f>
        <v>0.23076923076923073</v>
      </c>
      <c r="AZ174" s="497">
        <f t="shared" ref="AZ174:AZ176" si="257">AY174*L174</f>
        <v>11.999999999999998</v>
      </c>
      <c r="BA174" s="500">
        <f t="shared" ref="BA174:BA176" si="258">IF(((AU174*20)/L174)&gt;1,1,((AU174*20)/L174))</f>
        <v>0.76923076923076927</v>
      </c>
      <c r="BB174" s="497">
        <f t="shared" ref="BB174:BB176" si="259">BA174*L174</f>
        <v>40</v>
      </c>
      <c r="BC174" s="492">
        <v>2</v>
      </c>
      <c r="BD174" s="493">
        <v>1</v>
      </c>
      <c r="BE174" s="501">
        <f t="shared" ref="BE174:BE176" si="260">BD174*L174</f>
        <v>52</v>
      </c>
      <c r="BF174" s="502">
        <f t="shared" ref="BF174:BF176" si="261">IF((L174/20-AU174+BC174)&lt;0,0,(L174/20-AU174+BC174))</f>
        <v>2.6</v>
      </c>
      <c r="BG174" s="492">
        <v>2</v>
      </c>
      <c r="BH174" s="492" t="s">
        <v>91</v>
      </c>
      <c r="BI174" s="500">
        <f t="shared" ref="BI174:BI176" si="262">IF((BG174*100/L174)&gt;1,1,(BG174*100/L174))</f>
        <v>1</v>
      </c>
      <c r="BJ174" s="497">
        <f t="shared" ref="BJ174:BJ176" si="263">BI174*L174</f>
        <v>52</v>
      </c>
      <c r="BK174" s="502">
        <f t="shared" ref="BK174:BK176" si="264">IF(K174/100-BG174&lt;0,0,K174/100-BG174)</f>
        <v>0</v>
      </c>
      <c r="BL174" s="493">
        <v>1</v>
      </c>
      <c r="BM174" s="497">
        <f>BL174*L174</f>
        <v>52</v>
      </c>
      <c r="BN174" s="492">
        <v>2</v>
      </c>
      <c r="BO174" s="500">
        <f t="shared" ref="BO174:BO176" si="265">IF((BN174*100/L174)&gt;1,1,(BN174*100/L174))</f>
        <v>1</v>
      </c>
      <c r="BP174" s="502">
        <f t="shared" ref="BP174:BP176" si="266">IF(K174/100-BN174&lt;0,0,K174/100-BN174)</f>
        <v>0</v>
      </c>
      <c r="BQ174" s="568">
        <v>1</v>
      </c>
      <c r="BR174" s="580"/>
      <c r="BS174" s="597">
        <v>41183</v>
      </c>
      <c r="BT174" s="503" t="str">
        <f>IF(BS174="","To be realised",IF(BS174="n/a","n/a",IF(BS174+365&lt;$E$2,"To be realised",BS174+365)))</f>
        <v>To be realised</v>
      </c>
      <c r="BU174" s="546">
        <v>15</v>
      </c>
      <c r="BV174" s="546">
        <v>2</v>
      </c>
      <c r="BW174" s="508">
        <f t="shared" ref="BW174:BW176" si="267">IF(BT174="n/a",0,IF(BT174="To be realised",J174,IF((J174-BU174)&lt;0,0,(J174-BU174))))</f>
        <v>12</v>
      </c>
      <c r="BX174" s="509">
        <f t="shared" ref="BX174:BX176" si="268">IF(BW174=0,1,(J174-BW174)/J174)</f>
        <v>0</v>
      </c>
      <c r="BY174" s="501">
        <f t="shared" ref="BY174:BY176" si="269">BX174*L174</f>
        <v>0</v>
      </c>
      <c r="BZ174" s="598">
        <f t="shared" ref="BZ174:BZ176" si="270">IF(BS174="","Column BN to be completed", IF(BS174="n/a",0,IF(($E$2-BS174-30)/30-BV174&lt;0,0,ROUND((($E$2-BS174-30)/30-BV174),0))))</f>
        <v>28</v>
      </c>
      <c r="CA174" s="537"/>
      <c r="CB174" s="571">
        <v>0.5</v>
      </c>
      <c r="CC174" s="605">
        <f>CB174*L174</f>
        <v>26</v>
      </c>
      <c r="CD174" s="564">
        <v>2</v>
      </c>
      <c r="CE174" s="506" t="str">
        <f>IF(CD174=0,"No coverage",IF(L174/CD174&gt;1000,"Low coverage",IF(L174/CD174&gt;750,"Average coverage",IF(L174/CD174&gt;500,"Good coverage","Excellent coverage"))))</f>
        <v>Excellent coverage</v>
      </c>
      <c r="CF174" s="546">
        <v>0</v>
      </c>
      <c r="CG174" s="563" t="s">
        <v>65</v>
      </c>
      <c r="CH174" s="580"/>
    </row>
    <row r="175" spans="2:86" ht="35.25" customHeight="1" x14ac:dyDescent="0.2">
      <c r="B175" s="527" t="s">
        <v>187</v>
      </c>
      <c r="C175" s="488"/>
      <c r="D175" s="117" t="s">
        <v>276</v>
      </c>
      <c r="E175" s="488" t="s">
        <v>707</v>
      </c>
      <c r="F175" s="117" t="s">
        <v>543</v>
      </c>
      <c r="G175" s="117" t="s">
        <v>543</v>
      </c>
      <c r="H175" s="117" t="s">
        <v>530</v>
      </c>
      <c r="I175" s="117" t="s">
        <v>226</v>
      </c>
      <c r="J175" s="546">
        <v>100</v>
      </c>
      <c r="K175" s="546">
        <v>446</v>
      </c>
      <c r="L175" s="546">
        <v>446</v>
      </c>
      <c r="M175" s="490" t="str">
        <f>IF(J175&gt;50,IF(J175&gt;250,IF(J175&gt;500,IF(J175&gt;1000,"5. Massive","4. Big"),"3. Large"),"2. Medium"),"1. Small")</f>
        <v>2. Medium</v>
      </c>
      <c r="N175" s="528" t="s">
        <v>235</v>
      </c>
      <c r="O175" s="553" t="s">
        <v>235</v>
      </c>
      <c r="P175" s="545" t="str">
        <f>IF(O175="None","Not covered","Covered")</f>
        <v>Covered</v>
      </c>
      <c r="Q175" s="491" t="s">
        <v>708</v>
      </c>
      <c r="R175" s="489"/>
      <c r="S175" s="491"/>
      <c r="T175" s="528" t="s">
        <v>260</v>
      </c>
      <c r="U175" s="533" t="str">
        <f>IF(T175="Not documented","Not documented","Documented")</f>
        <v>Documented</v>
      </c>
      <c r="V175" s="537">
        <v>0</v>
      </c>
      <c r="W175" s="492">
        <v>0</v>
      </c>
      <c r="X175" s="538" t="s">
        <v>19</v>
      </c>
      <c r="Y175" s="564">
        <v>0</v>
      </c>
      <c r="Z175" s="546">
        <v>0</v>
      </c>
      <c r="AA175" s="563">
        <v>0</v>
      </c>
      <c r="AB175" s="570">
        <v>0</v>
      </c>
      <c r="AC175" s="571">
        <v>0</v>
      </c>
      <c r="AD175" s="574">
        <f t="shared" si="242"/>
        <v>0</v>
      </c>
      <c r="AE175" s="495">
        <f t="shared" si="243"/>
        <v>0</v>
      </c>
      <c r="AF175" s="496">
        <f t="shared" si="244"/>
        <v>0</v>
      </c>
      <c r="AG175" s="497">
        <f t="shared" si="245"/>
        <v>0</v>
      </c>
      <c r="AH175" s="494">
        <f t="shared" si="246"/>
        <v>0</v>
      </c>
      <c r="AI175" s="497">
        <f t="shared" si="247"/>
        <v>0</v>
      </c>
      <c r="AJ175" s="498" t="str">
        <f t="shared" si="248"/>
        <v>0-10%</v>
      </c>
      <c r="AK175" s="494">
        <f t="shared" si="249"/>
        <v>0</v>
      </c>
      <c r="AL175" s="499">
        <f t="shared" si="250"/>
        <v>0</v>
      </c>
      <c r="AM175" s="497">
        <f t="shared" si="251"/>
        <v>1.115</v>
      </c>
      <c r="AN175" s="497">
        <f t="shared" si="252"/>
        <v>0</v>
      </c>
      <c r="AO175" s="497">
        <f t="shared" si="253"/>
        <v>0</v>
      </c>
      <c r="AP175" s="571">
        <v>0</v>
      </c>
      <c r="AQ175" s="577">
        <f>AP175*L175</f>
        <v>0</v>
      </c>
      <c r="AR175" s="581"/>
      <c r="AS175" s="537">
        <v>0</v>
      </c>
      <c r="AT175" s="492">
        <v>0</v>
      </c>
      <c r="AU175" s="492">
        <v>0</v>
      </c>
      <c r="AV175" s="492" t="s">
        <v>91</v>
      </c>
      <c r="AW175" s="500">
        <f t="shared" si="254"/>
        <v>0</v>
      </c>
      <c r="AX175" s="497">
        <f t="shared" si="255"/>
        <v>0</v>
      </c>
      <c r="AY175" s="500">
        <f t="shared" si="256"/>
        <v>0</v>
      </c>
      <c r="AZ175" s="497">
        <f t="shared" si="257"/>
        <v>0</v>
      </c>
      <c r="BA175" s="500">
        <f t="shared" si="258"/>
        <v>0</v>
      </c>
      <c r="BB175" s="497">
        <f t="shared" si="259"/>
        <v>0</v>
      </c>
      <c r="BC175" s="492">
        <v>0</v>
      </c>
      <c r="BD175" s="493">
        <v>0</v>
      </c>
      <c r="BE175" s="501">
        <f t="shared" si="260"/>
        <v>0</v>
      </c>
      <c r="BF175" s="502">
        <f t="shared" si="261"/>
        <v>22.3</v>
      </c>
      <c r="BG175" s="492">
        <v>0</v>
      </c>
      <c r="BH175" s="492" t="s">
        <v>91</v>
      </c>
      <c r="BI175" s="500">
        <f t="shared" si="262"/>
        <v>0</v>
      </c>
      <c r="BJ175" s="497">
        <f t="shared" si="263"/>
        <v>0</v>
      </c>
      <c r="BK175" s="502">
        <f t="shared" si="264"/>
        <v>4.46</v>
      </c>
      <c r="BL175" s="493">
        <v>0</v>
      </c>
      <c r="BM175" s="497">
        <f>BL175*L175</f>
        <v>0</v>
      </c>
      <c r="BN175" s="492">
        <v>0</v>
      </c>
      <c r="BO175" s="500">
        <f t="shared" si="265"/>
        <v>0</v>
      </c>
      <c r="BP175" s="502">
        <f t="shared" si="266"/>
        <v>4.46</v>
      </c>
      <c r="BQ175" s="542">
        <v>0</v>
      </c>
      <c r="BR175" s="582"/>
      <c r="BS175" s="597"/>
      <c r="BT175" s="503" t="str">
        <f>IF(BS175="","To be realised",IF(BS175="n/a","n/a",IF(BS175+365&lt;$E$2,"To be realised",BS175+365)))</f>
        <v>To be realised</v>
      </c>
      <c r="BU175" s="546">
        <v>0</v>
      </c>
      <c r="BV175" s="546">
        <v>0</v>
      </c>
      <c r="BW175" s="508">
        <f t="shared" si="267"/>
        <v>100</v>
      </c>
      <c r="BX175" s="509">
        <f t="shared" si="268"/>
        <v>0</v>
      </c>
      <c r="BY175" s="501">
        <f t="shared" si="269"/>
        <v>0</v>
      </c>
      <c r="BZ175" s="598" t="str">
        <f t="shared" si="270"/>
        <v>Column BN to be completed</v>
      </c>
      <c r="CA175" s="537" t="s">
        <v>733</v>
      </c>
      <c r="CB175" s="571">
        <v>0</v>
      </c>
      <c r="CC175" s="605">
        <f>CB175*L175</f>
        <v>0</v>
      </c>
      <c r="CD175" s="564">
        <v>0</v>
      </c>
      <c r="CE175" s="506" t="str">
        <f>IF(CD175=0,"No coverage",IF(L175/CD175&gt;1000,"Low coverage",IF(L175/CD175&gt;750,"Average coverage",IF(L175/CD175&gt;500,"Good coverage","Excellent coverage"))))</f>
        <v>No coverage</v>
      </c>
      <c r="CF175" s="546">
        <v>0</v>
      </c>
      <c r="CG175" s="563" t="s">
        <v>66</v>
      </c>
      <c r="CH175" s="580"/>
    </row>
    <row r="176" spans="2:86" ht="35.25" customHeight="1" thickBot="1" x14ac:dyDescent="0.25">
      <c r="B176" s="527" t="s">
        <v>885</v>
      </c>
      <c r="C176" s="488"/>
      <c r="D176" s="117" t="s">
        <v>275</v>
      </c>
      <c r="E176" s="488" t="s">
        <v>889</v>
      </c>
      <c r="F176" s="117" t="s">
        <v>543</v>
      </c>
      <c r="G176" s="117" t="s">
        <v>543</v>
      </c>
      <c r="H176" s="117" t="s">
        <v>509</v>
      </c>
      <c r="I176" s="117" t="s">
        <v>218</v>
      </c>
      <c r="J176" s="463">
        <v>76</v>
      </c>
      <c r="K176" s="463">
        <v>222</v>
      </c>
      <c r="L176" s="463">
        <v>222</v>
      </c>
      <c r="M176" s="490" t="str">
        <f>IF(J176&gt;50,IF(J176&gt;250,IF(J176&gt;500,IF(J176&gt;1000,"5. Massive","4. Big"),"3. Large"),"2. Medium"),"1. Small")</f>
        <v>2. Medium</v>
      </c>
      <c r="N176" s="544" t="s">
        <v>239</v>
      </c>
      <c r="O176" s="554" t="s">
        <v>237</v>
      </c>
      <c r="P176" s="545" t="str">
        <f>IF(O176="None","Not covered","Covered")</f>
        <v>Covered</v>
      </c>
      <c r="Q176" s="461" t="s">
        <v>895</v>
      </c>
      <c r="R176" s="117"/>
      <c r="S176" s="462"/>
      <c r="T176" s="529" t="s">
        <v>262</v>
      </c>
      <c r="U176" s="534" t="str">
        <f>IF(T176="Not documented","Not documented","Documented")</f>
        <v>Not documented</v>
      </c>
      <c r="V176" s="539">
        <v>0</v>
      </c>
      <c r="W176" s="463">
        <v>0</v>
      </c>
      <c r="X176" s="561" t="s">
        <v>19</v>
      </c>
      <c r="Y176" s="539">
        <v>0</v>
      </c>
      <c r="Z176" s="463">
        <v>0</v>
      </c>
      <c r="AA176" s="561">
        <v>0</v>
      </c>
      <c r="AB176" s="569">
        <v>0</v>
      </c>
      <c r="AC176" s="542">
        <v>0</v>
      </c>
      <c r="AD176" s="574">
        <f t="shared" si="242"/>
        <v>0</v>
      </c>
      <c r="AE176" s="495">
        <f t="shared" si="243"/>
        <v>0</v>
      </c>
      <c r="AF176" s="496">
        <f t="shared" si="244"/>
        <v>0</v>
      </c>
      <c r="AG176" s="497">
        <f t="shared" si="245"/>
        <v>0</v>
      </c>
      <c r="AH176" s="494">
        <f t="shared" si="246"/>
        <v>0</v>
      </c>
      <c r="AI176" s="497">
        <f t="shared" si="247"/>
        <v>0</v>
      </c>
      <c r="AJ176" s="498" t="str">
        <f t="shared" si="248"/>
        <v>0-10%</v>
      </c>
      <c r="AK176" s="494">
        <f t="shared" si="249"/>
        <v>0</v>
      </c>
      <c r="AL176" s="499">
        <f t="shared" si="250"/>
        <v>0</v>
      </c>
      <c r="AM176" s="497">
        <f t="shared" si="251"/>
        <v>0.55500000000000005</v>
      </c>
      <c r="AN176" s="497">
        <f t="shared" si="252"/>
        <v>0</v>
      </c>
      <c r="AO176" s="497">
        <f t="shared" si="253"/>
        <v>0</v>
      </c>
      <c r="AP176" s="542">
        <v>0</v>
      </c>
      <c r="AQ176" s="578">
        <f>AP176*L176</f>
        <v>0</v>
      </c>
      <c r="AR176" s="581" t="s">
        <v>904</v>
      </c>
      <c r="AS176" s="539">
        <v>0</v>
      </c>
      <c r="AT176" s="463">
        <v>0</v>
      </c>
      <c r="AU176" s="463">
        <v>0</v>
      </c>
      <c r="AV176" s="463" t="s">
        <v>299</v>
      </c>
      <c r="AW176" s="500">
        <f t="shared" si="254"/>
        <v>0</v>
      </c>
      <c r="AX176" s="497">
        <f t="shared" si="255"/>
        <v>0</v>
      </c>
      <c r="AY176" s="500">
        <f t="shared" si="256"/>
        <v>0</v>
      </c>
      <c r="AZ176" s="497">
        <f t="shared" si="257"/>
        <v>0</v>
      </c>
      <c r="BA176" s="500">
        <f t="shared" si="258"/>
        <v>0</v>
      </c>
      <c r="BB176" s="497">
        <f t="shared" si="259"/>
        <v>0</v>
      </c>
      <c r="BC176" s="587">
        <v>0</v>
      </c>
      <c r="BD176" s="464">
        <v>0</v>
      </c>
      <c r="BE176" s="501">
        <f t="shared" si="260"/>
        <v>0</v>
      </c>
      <c r="BF176" s="502">
        <f t="shared" si="261"/>
        <v>11.1</v>
      </c>
      <c r="BG176" s="587">
        <v>0</v>
      </c>
      <c r="BH176" s="587"/>
      <c r="BI176" s="500">
        <f t="shared" si="262"/>
        <v>0</v>
      </c>
      <c r="BJ176" s="497">
        <f t="shared" si="263"/>
        <v>0</v>
      </c>
      <c r="BK176" s="502">
        <f t="shared" si="264"/>
        <v>2.2200000000000002</v>
      </c>
      <c r="BL176" s="510">
        <v>0</v>
      </c>
      <c r="BM176" s="497">
        <f>BL176*L176</f>
        <v>0</v>
      </c>
      <c r="BN176" s="588">
        <v>0</v>
      </c>
      <c r="BO176" s="500">
        <f t="shared" si="265"/>
        <v>0</v>
      </c>
      <c r="BP176" s="502">
        <f t="shared" si="266"/>
        <v>2.2200000000000002</v>
      </c>
      <c r="BQ176" s="586">
        <v>1</v>
      </c>
      <c r="BR176" s="582"/>
      <c r="BS176" s="596"/>
      <c r="BT176" s="503" t="str">
        <f>IF(BS176="","To be realised",IF(BS176="n/a","n/a",IF(BS176+365&lt;$E$2,"To be realised",BS176+365)))</f>
        <v>To be realised</v>
      </c>
      <c r="BU176" s="465">
        <v>0</v>
      </c>
      <c r="BV176" s="465">
        <v>1</v>
      </c>
      <c r="BW176" s="508">
        <f t="shared" si="267"/>
        <v>76</v>
      </c>
      <c r="BX176" s="509">
        <f t="shared" si="268"/>
        <v>0</v>
      </c>
      <c r="BY176" s="501">
        <f t="shared" si="269"/>
        <v>0</v>
      </c>
      <c r="BZ176" s="598" t="str">
        <f t="shared" si="270"/>
        <v>Column BN to be completed</v>
      </c>
      <c r="CA176" s="601"/>
      <c r="CB176" s="542">
        <v>0</v>
      </c>
      <c r="CC176" s="606">
        <f>CB176*L176</f>
        <v>0</v>
      </c>
      <c r="CD176" s="602">
        <v>0</v>
      </c>
      <c r="CE176" s="506" t="str">
        <f>IF(CD176=0,"No coverage",IF(L176/CD176&gt;1000,"Low coverage",IF(L176/CD176&gt;750,"Average coverage",IF(L176/CD176&gt;500,"Good coverage","Excellent coverage"))))</f>
        <v>No coverage</v>
      </c>
      <c r="CF176" s="546"/>
      <c r="CG176" s="607" t="s">
        <v>66</v>
      </c>
      <c r="CH176" s="610"/>
    </row>
    <row r="177" spans="2:86" ht="35.25" customHeight="1" x14ac:dyDescent="0.2">
      <c r="B177" s="527" t="s">
        <v>107</v>
      </c>
      <c r="C177" s="488" t="s">
        <v>891</v>
      </c>
      <c r="D177" s="117" t="s">
        <v>323</v>
      </c>
      <c r="E177" s="488" t="s">
        <v>892</v>
      </c>
      <c r="F177" s="117">
        <v>98.356405555555497</v>
      </c>
      <c r="G177" s="117">
        <v>25.645869444444401</v>
      </c>
      <c r="H177" s="117" t="s">
        <v>509</v>
      </c>
      <c r="I177" s="117" t="s">
        <v>218</v>
      </c>
      <c r="J177" s="546">
        <v>30</v>
      </c>
      <c r="K177" s="546">
        <v>165</v>
      </c>
      <c r="L177" s="546">
        <v>165</v>
      </c>
      <c r="M177" s="490" t="str">
        <f t="shared" ref="M177" si="271">IF(J177&gt;50,IF(J177&gt;250,IF(J177&gt;500,IF(J177&gt;1000,"5. Massive","4. Big"),"3. Large"),"2. Medium"),"1. Small")</f>
        <v>1. Small</v>
      </c>
      <c r="N177" s="528" t="s">
        <v>235</v>
      </c>
      <c r="O177" s="553" t="s">
        <v>235</v>
      </c>
      <c r="P177" s="545" t="s">
        <v>742</v>
      </c>
      <c r="Q177" s="491" t="s">
        <v>708</v>
      </c>
      <c r="R177" s="489"/>
      <c r="S177" s="491"/>
      <c r="T177" s="528" t="s">
        <v>260</v>
      </c>
      <c r="U177" s="533" t="str">
        <f t="shared" ref="U177" si="272">IF(T177="Not documented","Not documented","Documented")</f>
        <v>Documented</v>
      </c>
      <c r="V177" s="537">
        <v>0</v>
      </c>
      <c r="W177" s="492">
        <v>0</v>
      </c>
      <c r="X177" s="538" t="s">
        <v>19</v>
      </c>
      <c r="Y177" s="537">
        <v>0</v>
      </c>
      <c r="Z177" s="492">
        <v>0</v>
      </c>
      <c r="AA177" s="538">
        <v>3200</v>
      </c>
      <c r="AB177" s="567">
        <v>0</v>
      </c>
      <c r="AC177" s="568">
        <v>1</v>
      </c>
      <c r="AD177" s="574">
        <f t="shared" ref="AD177" si="273">IF((((V177/15)+((W177/30)/15)+Y177*400+Z177*500+(AA177/15))/L177)&gt;1,1,(((V177/15)+((W177/30)/15)+Y177*400+Z177*500+(AA177/15))/L177))</f>
        <v>1</v>
      </c>
      <c r="AE177" s="495">
        <f t="shared" ref="AE177" si="274">AD177*L177</f>
        <v>165</v>
      </c>
      <c r="AF177" s="496">
        <f t="shared" ref="AF177" si="275">IF(((Y177*400+Z177*500+(AA177/15))/L177)&gt;1,1,(Y177*400+Z177*500+(AA177/15))/L177)</f>
        <v>1</v>
      </c>
      <c r="AG177" s="497">
        <f t="shared" ref="AG177" si="276">AF177*L177</f>
        <v>165</v>
      </c>
      <c r="AH177" s="494">
        <f t="shared" ref="AH177" si="277">IF(AC177=0,AD177,IF(AC177&lt;AD177,AD177,AC177))</f>
        <v>1</v>
      </c>
      <c r="AI177" s="497">
        <f t="shared" ref="AI177" si="278">AH177*L177</f>
        <v>165</v>
      </c>
      <c r="AJ177" s="498" t="str">
        <f t="shared" ref="AJ177" si="279">IF(AD177&gt;0.15,IF(AD177&gt;0.3,IF(AD177&gt;0.45,IF(AD177&gt;0.6,IF(AD177&gt;0.8,"80-100%","60-80%"),"45-60%"),"30-45%"),"15-30%"),"0-10%")</f>
        <v>80-100%</v>
      </c>
      <c r="AK177" s="494">
        <f t="shared" ref="AK177" si="280">IF((AD177-AF177)&lt; 0, 0, AD177-AF177)</f>
        <v>0</v>
      </c>
      <c r="AL177" s="499">
        <f t="shared" ref="AL177" si="281">AK177*L177</f>
        <v>0</v>
      </c>
      <c r="AM177" s="497">
        <f t="shared" ref="AM177" si="282">IF(L177/400-(Y177+Z177)&lt;0,0,L177/400-(Y177+Z177))</f>
        <v>0.41249999999999998</v>
      </c>
      <c r="AN177" s="497">
        <f t="shared" ref="AN177" si="283">AC177*J177</f>
        <v>30</v>
      </c>
      <c r="AO177" s="497">
        <f t="shared" ref="AO177" si="284">AB177*L177</f>
        <v>0</v>
      </c>
      <c r="AP177" s="568">
        <v>1</v>
      </c>
      <c r="AQ177" s="577"/>
      <c r="AR177" s="581" t="s">
        <v>905</v>
      </c>
      <c r="AS177" s="537">
        <v>0</v>
      </c>
      <c r="AT177" s="492">
        <v>4</v>
      </c>
      <c r="AU177" s="492">
        <v>0</v>
      </c>
      <c r="AV177" s="492" t="s">
        <v>300</v>
      </c>
      <c r="AW177" s="500">
        <f t="shared" ref="AW177" si="285">IF((((AT177+AU177)*20)/L177)&gt;1,1,(((AT177+AU177)*20)/L177))</f>
        <v>0.48484848484848486</v>
      </c>
      <c r="AX177" s="497">
        <f t="shared" ref="AX177" si="286">AW177*L177</f>
        <v>80</v>
      </c>
      <c r="AY177" s="500">
        <f t="shared" ref="AY177" si="287">AW177-BA177</f>
        <v>0.48484848484848486</v>
      </c>
      <c r="AZ177" s="497">
        <f t="shared" ref="AZ177" si="288">AY177*L177</f>
        <v>80</v>
      </c>
      <c r="BA177" s="500">
        <f t="shared" ref="BA177" si="289">IF(((AU177*20)/L177)&gt;1,1,((AU177*20)/L177))</f>
        <v>0</v>
      </c>
      <c r="BB177" s="497">
        <f t="shared" ref="BB177" si="290">BA177*L177</f>
        <v>0</v>
      </c>
      <c r="BC177" s="492">
        <v>0</v>
      </c>
      <c r="BD177" s="493">
        <v>0.48</v>
      </c>
      <c r="BE177" s="501">
        <f t="shared" ref="BE177" si="291">BD177*L177</f>
        <v>79.2</v>
      </c>
      <c r="BF177" s="502">
        <f t="shared" ref="BF177" si="292">IF((L177/20-AU177+BC177)&lt;0,0,(L177/20-AU177+BC177))</f>
        <v>8.25</v>
      </c>
      <c r="BG177" s="492">
        <v>0</v>
      </c>
      <c r="BH177" s="492" t="s">
        <v>91</v>
      </c>
      <c r="BI177" s="500">
        <f t="shared" ref="BI177" si="293">IF((BG177*100/L177)&gt;1,1,(BG177*100/L177))</f>
        <v>0</v>
      </c>
      <c r="BJ177" s="497">
        <f t="shared" ref="BJ177" si="294">BI177*L177</f>
        <v>0</v>
      </c>
      <c r="BK177" s="502">
        <f t="shared" ref="BK177" si="295">IF(K177/100-BG177&lt;0,0,K177/100-BG177)</f>
        <v>1.65</v>
      </c>
      <c r="BL177" s="493">
        <v>0</v>
      </c>
      <c r="BM177" s="497"/>
      <c r="BN177" s="492">
        <v>0</v>
      </c>
      <c r="BO177" s="500">
        <f t="shared" ref="BO177" si="296">IF((BN177*100/L177)&gt;1,1,(BN177*100/L177))</f>
        <v>0</v>
      </c>
      <c r="BP177" s="502">
        <f t="shared" ref="BP177" si="297">IF(K177/100-BN177&lt;0,0,K177/100-BN177)</f>
        <v>1.65</v>
      </c>
      <c r="BQ177" s="568">
        <v>0</v>
      </c>
      <c r="BR177" s="580"/>
      <c r="BS177" s="594">
        <v>41780</v>
      </c>
      <c r="BT177" s="503">
        <f t="shared" ref="BT177" si="298">IF(BS177="","To be realised",IF(BS177="n/a","n/a",IF(BS177+365&lt;$E$2,"To be realised",BS177+365)))</f>
        <v>42145</v>
      </c>
      <c r="BU177" s="546">
        <v>30</v>
      </c>
      <c r="BV177" s="546">
        <v>10</v>
      </c>
      <c r="BW177" s="508">
        <f t="shared" ref="BW177" si="299">IF(BT177="n/a",0,IF(BT177="To be realised",J177,IF((J177-BU177)&lt;0,0,(J177-BU177))))</f>
        <v>0</v>
      </c>
      <c r="BX177" s="509">
        <f t="shared" ref="BX177" si="300">IF(BW177=0,1,(J177-BW177)/J177)</f>
        <v>1</v>
      </c>
      <c r="BY177" s="501">
        <f t="shared" ref="BY177" si="301">BX177*L177</f>
        <v>165</v>
      </c>
      <c r="BZ177" s="598">
        <f t="shared" ref="BZ177" si="302">IF(BS177="","Column BN to be completed", IF(BS177="n/a",0,IF(($E$2-BS177-30)/30-BV177&lt;0,0,ROUND((($E$2-BS177-30)/30-BV177),0))))</f>
        <v>0</v>
      </c>
      <c r="CA177" s="537"/>
      <c r="CB177" s="571">
        <v>0</v>
      </c>
      <c r="CC177" s="605"/>
      <c r="CD177" s="564">
        <v>0</v>
      </c>
      <c r="CE177" s="506" t="str">
        <f t="shared" ref="CE177" si="303">IF(CD177=0,"No coverage",IF(L177/CD177&gt;1000,"Low coverage",IF(L177/CD177&gt;750,"Average coverage",IF(L177/CD177&gt;500,"Good coverage","Excellent coverage"))))</f>
        <v>No coverage</v>
      </c>
      <c r="CF177" s="546">
        <v>0</v>
      </c>
      <c r="CG177" s="563" t="s">
        <v>66</v>
      </c>
      <c r="CH177" s="580"/>
    </row>
    <row r="178" spans="2:86" s="40" customFormat="1" ht="30" customHeight="1" x14ac:dyDescent="0.2">
      <c r="B178" s="527" t="s">
        <v>187</v>
      </c>
      <c r="C178" s="488" t="s">
        <v>721</v>
      </c>
      <c r="D178" s="117" t="s">
        <v>276</v>
      </c>
      <c r="E178" s="488" t="s">
        <v>705</v>
      </c>
      <c r="F178" s="117">
        <v>97.127340000000004</v>
      </c>
      <c r="G178" s="117">
        <v>23.24954</v>
      </c>
      <c r="H178" s="117" t="s">
        <v>509</v>
      </c>
      <c r="I178" s="117" t="s">
        <v>218</v>
      </c>
      <c r="J178" s="546">
        <v>39</v>
      </c>
      <c r="K178" s="546">
        <v>162</v>
      </c>
      <c r="L178" s="546">
        <v>162</v>
      </c>
      <c r="M178" s="490" t="str">
        <f t="shared" si="161"/>
        <v>1. Small</v>
      </c>
      <c r="N178" s="528" t="s">
        <v>239</v>
      </c>
      <c r="O178" s="553" t="s">
        <v>237</v>
      </c>
      <c r="P178" s="545" t="str">
        <f t="shared" si="126"/>
        <v>Covered</v>
      </c>
      <c r="Q178" s="491" t="s">
        <v>895</v>
      </c>
      <c r="R178" s="489"/>
      <c r="S178" s="491"/>
      <c r="T178" s="528" t="s">
        <v>260</v>
      </c>
      <c r="U178" s="533" t="str">
        <f t="shared" si="127"/>
        <v>Documented</v>
      </c>
      <c r="V178" s="537">
        <v>0</v>
      </c>
      <c r="W178" s="492">
        <v>0</v>
      </c>
      <c r="X178" s="538" t="s">
        <v>19</v>
      </c>
      <c r="Y178" s="564">
        <v>0</v>
      </c>
      <c r="Z178" s="546">
        <v>0</v>
      </c>
      <c r="AA178" s="563">
        <v>7000</v>
      </c>
      <c r="AB178" s="570">
        <v>1</v>
      </c>
      <c r="AC178" s="571">
        <v>0</v>
      </c>
      <c r="AD178" s="574">
        <f t="shared" si="110"/>
        <v>1</v>
      </c>
      <c r="AE178" s="495">
        <f t="shared" si="128"/>
        <v>162</v>
      </c>
      <c r="AF178" s="496">
        <f t="shared" si="162"/>
        <v>1</v>
      </c>
      <c r="AG178" s="497">
        <f t="shared" si="129"/>
        <v>162</v>
      </c>
      <c r="AH178" s="494">
        <f t="shared" si="163"/>
        <v>1</v>
      </c>
      <c r="AI178" s="497">
        <f t="shared" si="130"/>
        <v>162</v>
      </c>
      <c r="AJ178" s="498" t="str">
        <f t="shared" si="164"/>
        <v>80-100%</v>
      </c>
      <c r="AK178" s="494">
        <f t="shared" si="165"/>
        <v>0</v>
      </c>
      <c r="AL178" s="499">
        <f t="shared" si="166"/>
        <v>0</v>
      </c>
      <c r="AM178" s="497">
        <f t="shared" si="167"/>
        <v>0.40500000000000003</v>
      </c>
      <c r="AN178" s="497">
        <f t="shared" si="168"/>
        <v>0</v>
      </c>
      <c r="AO178" s="497">
        <f t="shared" si="131"/>
        <v>162</v>
      </c>
      <c r="AP178" s="571">
        <v>1</v>
      </c>
      <c r="AQ178" s="577">
        <f t="shared" si="132"/>
        <v>162</v>
      </c>
      <c r="AR178" s="581"/>
      <c r="AS178" s="537">
        <v>2</v>
      </c>
      <c r="AT178" s="492">
        <v>14</v>
      </c>
      <c r="AU178" s="492">
        <v>0</v>
      </c>
      <c r="AV178" s="492" t="s">
        <v>300</v>
      </c>
      <c r="AW178" s="500">
        <f t="shared" si="146"/>
        <v>1</v>
      </c>
      <c r="AX178" s="497">
        <f t="shared" si="147"/>
        <v>162</v>
      </c>
      <c r="AY178" s="500">
        <f t="shared" si="148"/>
        <v>1</v>
      </c>
      <c r="AZ178" s="497">
        <f t="shared" si="149"/>
        <v>162</v>
      </c>
      <c r="BA178" s="500">
        <f t="shared" si="150"/>
        <v>0</v>
      </c>
      <c r="BB178" s="497">
        <f t="shared" si="151"/>
        <v>0</v>
      </c>
      <c r="BC178" s="492">
        <v>2</v>
      </c>
      <c r="BD178" s="493">
        <v>1</v>
      </c>
      <c r="BE178" s="501">
        <f t="shared" si="169"/>
        <v>162</v>
      </c>
      <c r="BF178" s="502">
        <f t="shared" si="136"/>
        <v>10.1</v>
      </c>
      <c r="BG178" s="492">
        <v>0</v>
      </c>
      <c r="BH178" s="492" t="s">
        <v>856</v>
      </c>
      <c r="BI178" s="500">
        <f t="shared" si="152"/>
        <v>0</v>
      </c>
      <c r="BJ178" s="497">
        <f t="shared" si="153"/>
        <v>0</v>
      </c>
      <c r="BK178" s="502">
        <f t="shared" si="154"/>
        <v>1.62</v>
      </c>
      <c r="BL178" s="493">
        <v>0</v>
      </c>
      <c r="BM178" s="497">
        <f t="shared" si="155"/>
        <v>0</v>
      </c>
      <c r="BN178" s="492">
        <v>1</v>
      </c>
      <c r="BO178" s="500">
        <f t="shared" si="156"/>
        <v>0.61728395061728392</v>
      </c>
      <c r="BP178" s="502">
        <f t="shared" si="157"/>
        <v>0.62000000000000011</v>
      </c>
      <c r="BQ178" s="568">
        <v>0.8</v>
      </c>
      <c r="BR178" s="580" t="s">
        <v>732</v>
      </c>
      <c r="BS178" s="597"/>
      <c r="BT178" s="503" t="str">
        <f t="shared" si="143"/>
        <v>To be realised</v>
      </c>
      <c r="BU178" s="546">
        <v>0</v>
      </c>
      <c r="BV178" s="546">
        <v>2</v>
      </c>
      <c r="BW178" s="508">
        <f t="shared" si="158"/>
        <v>39</v>
      </c>
      <c r="BX178" s="509">
        <f t="shared" si="159"/>
        <v>0</v>
      </c>
      <c r="BY178" s="501">
        <f t="shared" si="160"/>
        <v>0</v>
      </c>
      <c r="BZ178" s="598" t="str">
        <f t="shared" si="145"/>
        <v>Column BN to be completed</v>
      </c>
      <c r="CA178" s="537"/>
      <c r="CB178" s="571">
        <v>0</v>
      </c>
      <c r="CC178" s="605">
        <f t="shared" si="141"/>
        <v>0</v>
      </c>
      <c r="CD178" s="564">
        <v>0</v>
      </c>
      <c r="CE178" s="506" t="str">
        <f t="shared" si="142"/>
        <v>No coverage</v>
      </c>
      <c r="CF178" s="546">
        <v>0</v>
      </c>
      <c r="CG178" s="563" t="s">
        <v>65</v>
      </c>
      <c r="CH178" s="580"/>
    </row>
    <row r="179" spans="2:86" s="40" customFormat="1" ht="30" customHeight="1" thickBot="1" x14ac:dyDescent="0.25">
      <c r="B179" s="611" t="s">
        <v>187</v>
      </c>
      <c r="C179" s="612" t="s">
        <v>805</v>
      </c>
      <c r="D179" s="444" t="s">
        <v>276</v>
      </c>
      <c r="E179" s="612" t="s">
        <v>706</v>
      </c>
      <c r="F179" s="444">
        <v>97.123440000000002</v>
      </c>
      <c r="G179" s="444">
        <v>23.24568</v>
      </c>
      <c r="H179" s="444" t="s">
        <v>509</v>
      </c>
      <c r="I179" s="444" t="s">
        <v>218</v>
      </c>
      <c r="J179" s="560">
        <v>31</v>
      </c>
      <c r="K179" s="560">
        <v>182</v>
      </c>
      <c r="L179" s="560">
        <v>182</v>
      </c>
      <c r="M179" s="511" t="str">
        <f t="shared" si="161"/>
        <v>1. Small</v>
      </c>
      <c r="N179" s="550" t="s">
        <v>235</v>
      </c>
      <c r="O179" s="555" t="s">
        <v>235</v>
      </c>
      <c r="P179" s="556" t="str">
        <f t="shared" si="126"/>
        <v>Covered</v>
      </c>
      <c r="Q179" s="557" t="s">
        <v>708</v>
      </c>
      <c r="R179" s="549"/>
      <c r="S179" s="557"/>
      <c r="T179" s="550" t="s">
        <v>260</v>
      </c>
      <c r="U179" s="534" t="str">
        <f t="shared" si="127"/>
        <v>Documented</v>
      </c>
      <c r="V179" s="562">
        <v>0</v>
      </c>
      <c r="W179" s="518">
        <v>0</v>
      </c>
      <c r="X179" s="540" t="s">
        <v>19</v>
      </c>
      <c r="Y179" s="608">
        <v>0</v>
      </c>
      <c r="Z179" s="560">
        <v>0</v>
      </c>
      <c r="AA179" s="609">
        <v>28800</v>
      </c>
      <c r="AB179" s="613">
        <v>0.8</v>
      </c>
      <c r="AC179" s="603">
        <v>0</v>
      </c>
      <c r="AD179" s="575">
        <f t="shared" si="110"/>
        <v>1</v>
      </c>
      <c r="AE179" s="513">
        <f t="shared" si="128"/>
        <v>182</v>
      </c>
      <c r="AF179" s="514">
        <f t="shared" si="162"/>
        <v>1</v>
      </c>
      <c r="AG179" s="515">
        <f t="shared" si="129"/>
        <v>182</v>
      </c>
      <c r="AH179" s="512">
        <f t="shared" si="163"/>
        <v>1</v>
      </c>
      <c r="AI179" s="515">
        <f t="shared" si="130"/>
        <v>182</v>
      </c>
      <c r="AJ179" s="516" t="str">
        <f t="shared" si="164"/>
        <v>80-100%</v>
      </c>
      <c r="AK179" s="512">
        <f t="shared" si="165"/>
        <v>0</v>
      </c>
      <c r="AL179" s="517">
        <f t="shared" si="166"/>
        <v>0</v>
      </c>
      <c r="AM179" s="515">
        <f t="shared" si="167"/>
        <v>0.45500000000000002</v>
      </c>
      <c r="AN179" s="515">
        <f t="shared" si="168"/>
        <v>0</v>
      </c>
      <c r="AO179" s="515">
        <f t="shared" si="131"/>
        <v>145.6</v>
      </c>
      <c r="AP179" s="603">
        <v>1</v>
      </c>
      <c r="AQ179" s="578">
        <f t="shared" si="132"/>
        <v>182</v>
      </c>
      <c r="AR179" s="584"/>
      <c r="AS179" s="562">
        <v>16</v>
      </c>
      <c r="AT179" s="518">
        <v>6</v>
      </c>
      <c r="AU179" s="518">
        <v>6</v>
      </c>
      <c r="AV179" s="518" t="s">
        <v>300</v>
      </c>
      <c r="AW179" s="519">
        <f t="shared" si="146"/>
        <v>1</v>
      </c>
      <c r="AX179" s="515">
        <f t="shared" si="147"/>
        <v>182</v>
      </c>
      <c r="AY179" s="519">
        <f t="shared" si="148"/>
        <v>0.34065934065934067</v>
      </c>
      <c r="AZ179" s="515">
        <f t="shared" si="149"/>
        <v>62</v>
      </c>
      <c r="BA179" s="519">
        <f t="shared" si="150"/>
        <v>0.65934065934065933</v>
      </c>
      <c r="BB179" s="515">
        <f t="shared" si="151"/>
        <v>120</v>
      </c>
      <c r="BC179" s="518">
        <v>2</v>
      </c>
      <c r="BD179" s="589">
        <v>1</v>
      </c>
      <c r="BE179" s="520">
        <f t="shared" si="169"/>
        <v>182</v>
      </c>
      <c r="BF179" s="521">
        <f t="shared" si="136"/>
        <v>5.0999999999999996</v>
      </c>
      <c r="BG179" s="518">
        <v>2</v>
      </c>
      <c r="BH179" s="518" t="s">
        <v>300</v>
      </c>
      <c r="BI179" s="519">
        <f t="shared" si="152"/>
        <v>1</v>
      </c>
      <c r="BJ179" s="515">
        <f t="shared" si="153"/>
        <v>182</v>
      </c>
      <c r="BK179" s="521">
        <f t="shared" si="154"/>
        <v>0</v>
      </c>
      <c r="BL179" s="589">
        <v>1</v>
      </c>
      <c r="BM179" s="515">
        <f t="shared" si="155"/>
        <v>182</v>
      </c>
      <c r="BN179" s="518">
        <v>0</v>
      </c>
      <c r="BO179" s="519">
        <f t="shared" si="156"/>
        <v>0</v>
      </c>
      <c r="BP179" s="521">
        <f t="shared" si="157"/>
        <v>1.82</v>
      </c>
      <c r="BQ179" s="572">
        <v>0</v>
      </c>
      <c r="BR179" s="591"/>
      <c r="BS179" s="614">
        <v>41183</v>
      </c>
      <c r="BT179" s="599" t="str">
        <f t="shared" si="143"/>
        <v>To be realised</v>
      </c>
      <c r="BU179" s="560">
        <v>30</v>
      </c>
      <c r="BV179" s="560">
        <v>3</v>
      </c>
      <c r="BW179" s="522">
        <f t="shared" si="158"/>
        <v>31</v>
      </c>
      <c r="BX179" s="523">
        <f t="shared" si="159"/>
        <v>0</v>
      </c>
      <c r="BY179" s="520">
        <f t="shared" si="160"/>
        <v>0</v>
      </c>
      <c r="BZ179" s="600">
        <f t="shared" si="145"/>
        <v>27</v>
      </c>
      <c r="CA179" s="562" t="s">
        <v>884</v>
      </c>
      <c r="CB179" s="603">
        <v>0</v>
      </c>
      <c r="CC179" s="606">
        <f t="shared" si="141"/>
        <v>0</v>
      </c>
      <c r="CD179" s="608">
        <v>2</v>
      </c>
      <c r="CE179" s="524" t="str">
        <f t="shared" si="142"/>
        <v>Excellent coverage</v>
      </c>
      <c r="CF179" s="560">
        <v>0</v>
      </c>
      <c r="CG179" s="609" t="s">
        <v>302</v>
      </c>
      <c r="CH179" s="591"/>
    </row>
  </sheetData>
  <sheetProtection formatCells="0" formatRows="0" insertRows="0" sort="0" autoFilter="0" pivotTables="0"/>
  <dataConsolidate/>
  <mergeCells count="13">
    <mergeCell ref="BS3:BZ3"/>
    <mergeCell ref="CD3:CG3"/>
    <mergeCell ref="F2:L2"/>
    <mergeCell ref="F3:I3"/>
    <mergeCell ref="O3:T3"/>
    <mergeCell ref="V3:X3"/>
    <mergeCell ref="Y3:AA3"/>
    <mergeCell ref="AB3:AC3"/>
    <mergeCell ref="AS3:BQ3"/>
    <mergeCell ref="AD3:AR3"/>
    <mergeCell ref="V2:AR2"/>
    <mergeCell ref="AS2:BR2"/>
    <mergeCell ref="CA3:CC3"/>
  </mergeCells>
  <dataValidations count="17">
    <dataValidation type="whole" allowBlank="1" showInputMessage="1" showErrorMessage="1" sqref="AS65473:AU65479 KT65473:KV65479 UP65473:UR65479 AEL65473:AEN65479 AOH65473:AOJ65479 AYD65473:AYF65479 BHZ65473:BIB65479 BRV65473:BRX65479 CBR65473:CBT65479 CLN65473:CLP65479 CVJ65473:CVL65479 DFF65473:DFH65479 DPB65473:DPD65479 DYX65473:DYZ65479 EIT65473:EIV65479 ESP65473:ESR65479 FCL65473:FCN65479 FMH65473:FMJ65479 FWD65473:FWF65479 GFZ65473:GGB65479 GPV65473:GPX65479 GZR65473:GZT65479 HJN65473:HJP65479 HTJ65473:HTL65479 IDF65473:IDH65479 INB65473:IND65479 IWX65473:IWZ65479 JGT65473:JGV65479 JQP65473:JQR65479 KAL65473:KAN65479 KKH65473:KKJ65479 KUD65473:KUF65479 LDZ65473:LEB65479 LNV65473:LNX65479 LXR65473:LXT65479 MHN65473:MHP65479 MRJ65473:MRL65479 NBF65473:NBH65479 NLB65473:NLD65479 NUX65473:NUZ65479 OET65473:OEV65479 OOP65473:OOR65479 OYL65473:OYN65479 PIH65473:PIJ65479 PSD65473:PSF65479 QBZ65473:QCB65479 QLV65473:QLX65479 QVR65473:QVT65479 RFN65473:RFP65479 RPJ65473:RPL65479 RZF65473:RZH65479 SJB65473:SJD65479 SSX65473:SSZ65479 TCT65473:TCV65479 TMP65473:TMR65479 TWL65473:TWN65479 UGH65473:UGJ65479 UQD65473:UQF65479 UZZ65473:VAB65479 VJV65473:VJX65479 VTR65473:VTT65479 WDN65473:WDP65479 WNJ65473:WNL65479 WXF65473:WXH65479 AS131009:AU131015 KT131009:KV131015 UP131009:UR131015 AEL131009:AEN131015 AOH131009:AOJ131015 AYD131009:AYF131015 BHZ131009:BIB131015 BRV131009:BRX131015 CBR131009:CBT131015 CLN131009:CLP131015 CVJ131009:CVL131015 DFF131009:DFH131015 DPB131009:DPD131015 DYX131009:DYZ131015 EIT131009:EIV131015 ESP131009:ESR131015 FCL131009:FCN131015 FMH131009:FMJ131015 FWD131009:FWF131015 GFZ131009:GGB131015 GPV131009:GPX131015 GZR131009:GZT131015 HJN131009:HJP131015 HTJ131009:HTL131015 IDF131009:IDH131015 INB131009:IND131015 IWX131009:IWZ131015 JGT131009:JGV131015 JQP131009:JQR131015 KAL131009:KAN131015 KKH131009:KKJ131015 KUD131009:KUF131015 LDZ131009:LEB131015 LNV131009:LNX131015 LXR131009:LXT131015 MHN131009:MHP131015 MRJ131009:MRL131015 NBF131009:NBH131015 NLB131009:NLD131015 NUX131009:NUZ131015 OET131009:OEV131015 OOP131009:OOR131015 OYL131009:OYN131015 PIH131009:PIJ131015 PSD131009:PSF131015 QBZ131009:QCB131015 QLV131009:QLX131015 QVR131009:QVT131015 RFN131009:RFP131015 RPJ131009:RPL131015 RZF131009:RZH131015 SJB131009:SJD131015 SSX131009:SSZ131015 TCT131009:TCV131015 TMP131009:TMR131015 TWL131009:TWN131015 UGH131009:UGJ131015 UQD131009:UQF131015 UZZ131009:VAB131015 VJV131009:VJX131015 VTR131009:VTT131015 WDN131009:WDP131015 WNJ131009:WNL131015 WXF131009:WXH131015 AS196545:AU196551 KT196545:KV196551 UP196545:UR196551 AEL196545:AEN196551 AOH196545:AOJ196551 AYD196545:AYF196551 BHZ196545:BIB196551 BRV196545:BRX196551 CBR196545:CBT196551 CLN196545:CLP196551 CVJ196545:CVL196551 DFF196545:DFH196551 DPB196545:DPD196551 DYX196545:DYZ196551 EIT196545:EIV196551 ESP196545:ESR196551 FCL196545:FCN196551 FMH196545:FMJ196551 FWD196545:FWF196551 GFZ196545:GGB196551 GPV196545:GPX196551 GZR196545:GZT196551 HJN196545:HJP196551 HTJ196545:HTL196551 IDF196545:IDH196551 INB196545:IND196551 IWX196545:IWZ196551 JGT196545:JGV196551 JQP196545:JQR196551 KAL196545:KAN196551 KKH196545:KKJ196551 KUD196545:KUF196551 LDZ196545:LEB196551 LNV196545:LNX196551 LXR196545:LXT196551 MHN196545:MHP196551 MRJ196545:MRL196551 NBF196545:NBH196551 NLB196545:NLD196551 NUX196545:NUZ196551 OET196545:OEV196551 OOP196545:OOR196551 OYL196545:OYN196551 PIH196545:PIJ196551 PSD196545:PSF196551 QBZ196545:QCB196551 QLV196545:QLX196551 QVR196545:QVT196551 RFN196545:RFP196551 RPJ196545:RPL196551 RZF196545:RZH196551 SJB196545:SJD196551 SSX196545:SSZ196551 TCT196545:TCV196551 TMP196545:TMR196551 TWL196545:TWN196551 UGH196545:UGJ196551 UQD196545:UQF196551 UZZ196545:VAB196551 VJV196545:VJX196551 VTR196545:VTT196551 WDN196545:WDP196551 WNJ196545:WNL196551 WXF196545:WXH196551 AS262081:AU262087 KT262081:KV262087 UP262081:UR262087 AEL262081:AEN262087 AOH262081:AOJ262087 AYD262081:AYF262087 BHZ262081:BIB262087 BRV262081:BRX262087 CBR262081:CBT262087 CLN262081:CLP262087 CVJ262081:CVL262087 DFF262081:DFH262087 DPB262081:DPD262087 DYX262081:DYZ262087 EIT262081:EIV262087 ESP262081:ESR262087 FCL262081:FCN262087 FMH262081:FMJ262087 FWD262081:FWF262087 GFZ262081:GGB262087 GPV262081:GPX262087 GZR262081:GZT262087 HJN262081:HJP262087 HTJ262081:HTL262087 IDF262081:IDH262087 INB262081:IND262087 IWX262081:IWZ262087 JGT262081:JGV262087 JQP262081:JQR262087 KAL262081:KAN262087 KKH262081:KKJ262087 KUD262081:KUF262087 LDZ262081:LEB262087 LNV262081:LNX262087 LXR262081:LXT262087 MHN262081:MHP262087 MRJ262081:MRL262087 NBF262081:NBH262087 NLB262081:NLD262087 NUX262081:NUZ262087 OET262081:OEV262087 OOP262081:OOR262087 OYL262081:OYN262087 PIH262081:PIJ262087 PSD262081:PSF262087 QBZ262081:QCB262087 QLV262081:QLX262087 QVR262081:QVT262087 RFN262081:RFP262087 RPJ262081:RPL262087 RZF262081:RZH262087 SJB262081:SJD262087 SSX262081:SSZ262087 TCT262081:TCV262087 TMP262081:TMR262087 TWL262081:TWN262087 UGH262081:UGJ262087 UQD262081:UQF262087 UZZ262081:VAB262087 VJV262081:VJX262087 VTR262081:VTT262087 WDN262081:WDP262087 WNJ262081:WNL262087 WXF262081:WXH262087 AS327617:AU327623 KT327617:KV327623 UP327617:UR327623 AEL327617:AEN327623 AOH327617:AOJ327623 AYD327617:AYF327623 BHZ327617:BIB327623 BRV327617:BRX327623 CBR327617:CBT327623 CLN327617:CLP327623 CVJ327617:CVL327623 DFF327617:DFH327623 DPB327617:DPD327623 DYX327617:DYZ327623 EIT327617:EIV327623 ESP327617:ESR327623 FCL327617:FCN327623 FMH327617:FMJ327623 FWD327617:FWF327623 GFZ327617:GGB327623 GPV327617:GPX327623 GZR327617:GZT327623 HJN327617:HJP327623 HTJ327617:HTL327623 IDF327617:IDH327623 INB327617:IND327623 IWX327617:IWZ327623 JGT327617:JGV327623 JQP327617:JQR327623 KAL327617:KAN327623 KKH327617:KKJ327623 KUD327617:KUF327623 LDZ327617:LEB327623 LNV327617:LNX327623 LXR327617:LXT327623 MHN327617:MHP327623 MRJ327617:MRL327623 NBF327617:NBH327623 NLB327617:NLD327623 NUX327617:NUZ327623 OET327617:OEV327623 OOP327617:OOR327623 OYL327617:OYN327623 PIH327617:PIJ327623 PSD327617:PSF327623 QBZ327617:QCB327623 QLV327617:QLX327623 QVR327617:QVT327623 RFN327617:RFP327623 RPJ327617:RPL327623 RZF327617:RZH327623 SJB327617:SJD327623 SSX327617:SSZ327623 TCT327617:TCV327623 TMP327617:TMR327623 TWL327617:TWN327623 UGH327617:UGJ327623 UQD327617:UQF327623 UZZ327617:VAB327623 VJV327617:VJX327623 VTR327617:VTT327623 WDN327617:WDP327623 WNJ327617:WNL327623 WXF327617:WXH327623 AS393153:AU393159 KT393153:KV393159 UP393153:UR393159 AEL393153:AEN393159 AOH393153:AOJ393159 AYD393153:AYF393159 BHZ393153:BIB393159 BRV393153:BRX393159 CBR393153:CBT393159 CLN393153:CLP393159 CVJ393153:CVL393159 DFF393153:DFH393159 DPB393153:DPD393159 DYX393153:DYZ393159 EIT393153:EIV393159 ESP393153:ESR393159 FCL393153:FCN393159 FMH393153:FMJ393159 FWD393153:FWF393159 GFZ393153:GGB393159 GPV393153:GPX393159 GZR393153:GZT393159 HJN393153:HJP393159 HTJ393153:HTL393159 IDF393153:IDH393159 INB393153:IND393159 IWX393153:IWZ393159 JGT393153:JGV393159 JQP393153:JQR393159 KAL393153:KAN393159 KKH393153:KKJ393159 KUD393153:KUF393159 LDZ393153:LEB393159 LNV393153:LNX393159 LXR393153:LXT393159 MHN393153:MHP393159 MRJ393153:MRL393159 NBF393153:NBH393159 NLB393153:NLD393159 NUX393153:NUZ393159 OET393153:OEV393159 OOP393153:OOR393159 OYL393153:OYN393159 PIH393153:PIJ393159 PSD393153:PSF393159 QBZ393153:QCB393159 QLV393153:QLX393159 QVR393153:QVT393159 RFN393153:RFP393159 RPJ393153:RPL393159 RZF393153:RZH393159 SJB393153:SJD393159 SSX393153:SSZ393159 TCT393153:TCV393159 TMP393153:TMR393159 TWL393153:TWN393159 UGH393153:UGJ393159 UQD393153:UQF393159 UZZ393153:VAB393159 VJV393153:VJX393159 VTR393153:VTT393159 WDN393153:WDP393159 WNJ393153:WNL393159 WXF393153:WXH393159 AS458689:AU458695 KT458689:KV458695 UP458689:UR458695 AEL458689:AEN458695 AOH458689:AOJ458695 AYD458689:AYF458695 BHZ458689:BIB458695 BRV458689:BRX458695 CBR458689:CBT458695 CLN458689:CLP458695 CVJ458689:CVL458695 DFF458689:DFH458695 DPB458689:DPD458695 DYX458689:DYZ458695 EIT458689:EIV458695 ESP458689:ESR458695 FCL458689:FCN458695 FMH458689:FMJ458695 FWD458689:FWF458695 GFZ458689:GGB458695 GPV458689:GPX458695 GZR458689:GZT458695 HJN458689:HJP458695 HTJ458689:HTL458695 IDF458689:IDH458695 INB458689:IND458695 IWX458689:IWZ458695 JGT458689:JGV458695 JQP458689:JQR458695 KAL458689:KAN458695 KKH458689:KKJ458695 KUD458689:KUF458695 LDZ458689:LEB458695 LNV458689:LNX458695 LXR458689:LXT458695 MHN458689:MHP458695 MRJ458689:MRL458695 NBF458689:NBH458695 NLB458689:NLD458695 NUX458689:NUZ458695 OET458689:OEV458695 OOP458689:OOR458695 OYL458689:OYN458695 PIH458689:PIJ458695 PSD458689:PSF458695 QBZ458689:QCB458695 QLV458689:QLX458695 QVR458689:QVT458695 RFN458689:RFP458695 RPJ458689:RPL458695 RZF458689:RZH458695 SJB458689:SJD458695 SSX458689:SSZ458695 TCT458689:TCV458695 TMP458689:TMR458695 TWL458689:TWN458695 UGH458689:UGJ458695 UQD458689:UQF458695 UZZ458689:VAB458695 VJV458689:VJX458695 VTR458689:VTT458695 WDN458689:WDP458695 WNJ458689:WNL458695 WXF458689:WXH458695 AS524225:AU524231 KT524225:KV524231 UP524225:UR524231 AEL524225:AEN524231 AOH524225:AOJ524231 AYD524225:AYF524231 BHZ524225:BIB524231 BRV524225:BRX524231 CBR524225:CBT524231 CLN524225:CLP524231 CVJ524225:CVL524231 DFF524225:DFH524231 DPB524225:DPD524231 DYX524225:DYZ524231 EIT524225:EIV524231 ESP524225:ESR524231 FCL524225:FCN524231 FMH524225:FMJ524231 FWD524225:FWF524231 GFZ524225:GGB524231 GPV524225:GPX524231 GZR524225:GZT524231 HJN524225:HJP524231 HTJ524225:HTL524231 IDF524225:IDH524231 INB524225:IND524231 IWX524225:IWZ524231 JGT524225:JGV524231 JQP524225:JQR524231 KAL524225:KAN524231 KKH524225:KKJ524231 KUD524225:KUF524231 LDZ524225:LEB524231 LNV524225:LNX524231 LXR524225:LXT524231 MHN524225:MHP524231 MRJ524225:MRL524231 NBF524225:NBH524231 NLB524225:NLD524231 NUX524225:NUZ524231 OET524225:OEV524231 OOP524225:OOR524231 OYL524225:OYN524231 PIH524225:PIJ524231 PSD524225:PSF524231 QBZ524225:QCB524231 QLV524225:QLX524231 QVR524225:QVT524231 RFN524225:RFP524231 RPJ524225:RPL524231 RZF524225:RZH524231 SJB524225:SJD524231 SSX524225:SSZ524231 TCT524225:TCV524231 TMP524225:TMR524231 TWL524225:TWN524231 UGH524225:UGJ524231 UQD524225:UQF524231 UZZ524225:VAB524231 VJV524225:VJX524231 VTR524225:VTT524231 WDN524225:WDP524231 WNJ524225:WNL524231 WXF524225:WXH524231 AS589761:AU589767 KT589761:KV589767 UP589761:UR589767 AEL589761:AEN589767 AOH589761:AOJ589767 AYD589761:AYF589767 BHZ589761:BIB589767 BRV589761:BRX589767 CBR589761:CBT589767 CLN589761:CLP589767 CVJ589761:CVL589767 DFF589761:DFH589767 DPB589761:DPD589767 DYX589761:DYZ589767 EIT589761:EIV589767 ESP589761:ESR589767 FCL589761:FCN589767 FMH589761:FMJ589767 FWD589761:FWF589767 GFZ589761:GGB589767 GPV589761:GPX589767 GZR589761:GZT589767 HJN589761:HJP589767 HTJ589761:HTL589767 IDF589761:IDH589767 INB589761:IND589767 IWX589761:IWZ589767 JGT589761:JGV589767 JQP589761:JQR589767 KAL589761:KAN589767 KKH589761:KKJ589767 KUD589761:KUF589767 LDZ589761:LEB589767 LNV589761:LNX589767 LXR589761:LXT589767 MHN589761:MHP589767 MRJ589761:MRL589767 NBF589761:NBH589767 NLB589761:NLD589767 NUX589761:NUZ589767 OET589761:OEV589767 OOP589761:OOR589767 OYL589761:OYN589767 PIH589761:PIJ589767 PSD589761:PSF589767 QBZ589761:QCB589767 QLV589761:QLX589767 QVR589761:QVT589767 RFN589761:RFP589767 RPJ589761:RPL589767 RZF589761:RZH589767 SJB589761:SJD589767 SSX589761:SSZ589767 TCT589761:TCV589767 TMP589761:TMR589767 TWL589761:TWN589767 UGH589761:UGJ589767 UQD589761:UQF589767 UZZ589761:VAB589767 VJV589761:VJX589767 VTR589761:VTT589767 WDN589761:WDP589767 WNJ589761:WNL589767 WXF589761:WXH589767 AS655297:AU655303 KT655297:KV655303 UP655297:UR655303 AEL655297:AEN655303 AOH655297:AOJ655303 AYD655297:AYF655303 BHZ655297:BIB655303 BRV655297:BRX655303 CBR655297:CBT655303 CLN655297:CLP655303 CVJ655297:CVL655303 DFF655297:DFH655303 DPB655297:DPD655303 DYX655297:DYZ655303 EIT655297:EIV655303 ESP655297:ESR655303 FCL655297:FCN655303 FMH655297:FMJ655303 FWD655297:FWF655303 GFZ655297:GGB655303 GPV655297:GPX655303 GZR655297:GZT655303 HJN655297:HJP655303 HTJ655297:HTL655303 IDF655297:IDH655303 INB655297:IND655303 IWX655297:IWZ655303 JGT655297:JGV655303 JQP655297:JQR655303 KAL655297:KAN655303 KKH655297:KKJ655303 KUD655297:KUF655303 LDZ655297:LEB655303 LNV655297:LNX655303 LXR655297:LXT655303 MHN655297:MHP655303 MRJ655297:MRL655303 NBF655297:NBH655303 NLB655297:NLD655303 NUX655297:NUZ655303 OET655297:OEV655303 OOP655297:OOR655303 OYL655297:OYN655303 PIH655297:PIJ655303 PSD655297:PSF655303 QBZ655297:QCB655303 QLV655297:QLX655303 QVR655297:QVT655303 RFN655297:RFP655303 RPJ655297:RPL655303 RZF655297:RZH655303 SJB655297:SJD655303 SSX655297:SSZ655303 TCT655297:TCV655303 TMP655297:TMR655303 TWL655297:TWN655303 UGH655297:UGJ655303 UQD655297:UQF655303 UZZ655297:VAB655303 VJV655297:VJX655303 VTR655297:VTT655303 WDN655297:WDP655303 WNJ655297:WNL655303 WXF655297:WXH655303 AS720833:AU720839 KT720833:KV720839 UP720833:UR720839 AEL720833:AEN720839 AOH720833:AOJ720839 AYD720833:AYF720839 BHZ720833:BIB720839 BRV720833:BRX720839 CBR720833:CBT720839 CLN720833:CLP720839 CVJ720833:CVL720839 DFF720833:DFH720839 DPB720833:DPD720839 DYX720833:DYZ720839 EIT720833:EIV720839 ESP720833:ESR720839 FCL720833:FCN720839 FMH720833:FMJ720839 FWD720833:FWF720839 GFZ720833:GGB720839 GPV720833:GPX720839 GZR720833:GZT720839 HJN720833:HJP720839 HTJ720833:HTL720839 IDF720833:IDH720839 INB720833:IND720839 IWX720833:IWZ720839 JGT720833:JGV720839 JQP720833:JQR720839 KAL720833:KAN720839 KKH720833:KKJ720839 KUD720833:KUF720839 LDZ720833:LEB720839 LNV720833:LNX720839 LXR720833:LXT720839 MHN720833:MHP720839 MRJ720833:MRL720839 NBF720833:NBH720839 NLB720833:NLD720839 NUX720833:NUZ720839 OET720833:OEV720839 OOP720833:OOR720839 OYL720833:OYN720839 PIH720833:PIJ720839 PSD720833:PSF720839 QBZ720833:QCB720839 QLV720833:QLX720839 QVR720833:QVT720839 RFN720833:RFP720839 RPJ720833:RPL720839 RZF720833:RZH720839 SJB720833:SJD720839 SSX720833:SSZ720839 TCT720833:TCV720839 TMP720833:TMR720839 TWL720833:TWN720839 UGH720833:UGJ720839 UQD720833:UQF720839 UZZ720833:VAB720839 VJV720833:VJX720839 VTR720833:VTT720839 WDN720833:WDP720839 WNJ720833:WNL720839 WXF720833:WXH720839 AS786369:AU786375 KT786369:KV786375 UP786369:UR786375 AEL786369:AEN786375 AOH786369:AOJ786375 AYD786369:AYF786375 BHZ786369:BIB786375 BRV786369:BRX786375 CBR786369:CBT786375 CLN786369:CLP786375 CVJ786369:CVL786375 DFF786369:DFH786375 DPB786369:DPD786375 DYX786369:DYZ786375 EIT786369:EIV786375 ESP786369:ESR786375 FCL786369:FCN786375 FMH786369:FMJ786375 FWD786369:FWF786375 GFZ786369:GGB786375 GPV786369:GPX786375 GZR786369:GZT786375 HJN786369:HJP786375 HTJ786369:HTL786375 IDF786369:IDH786375 INB786369:IND786375 IWX786369:IWZ786375 JGT786369:JGV786375 JQP786369:JQR786375 KAL786369:KAN786375 KKH786369:KKJ786375 KUD786369:KUF786375 LDZ786369:LEB786375 LNV786369:LNX786375 LXR786369:LXT786375 MHN786369:MHP786375 MRJ786369:MRL786375 NBF786369:NBH786375 NLB786369:NLD786375 NUX786369:NUZ786375 OET786369:OEV786375 OOP786369:OOR786375 OYL786369:OYN786375 PIH786369:PIJ786375 PSD786369:PSF786375 QBZ786369:QCB786375 QLV786369:QLX786375 QVR786369:QVT786375 RFN786369:RFP786375 RPJ786369:RPL786375 RZF786369:RZH786375 SJB786369:SJD786375 SSX786369:SSZ786375 TCT786369:TCV786375 TMP786369:TMR786375 TWL786369:TWN786375 UGH786369:UGJ786375 UQD786369:UQF786375 UZZ786369:VAB786375 VJV786369:VJX786375 VTR786369:VTT786375 WDN786369:WDP786375 WNJ786369:WNL786375 WXF786369:WXH786375 AS851905:AU851911 KT851905:KV851911 UP851905:UR851911 AEL851905:AEN851911 AOH851905:AOJ851911 AYD851905:AYF851911 BHZ851905:BIB851911 BRV851905:BRX851911 CBR851905:CBT851911 CLN851905:CLP851911 CVJ851905:CVL851911 DFF851905:DFH851911 DPB851905:DPD851911 DYX851905:DYZ851911 EIT851905:EIV851911 ESP851905:ESR851911 FCL851905:FCN851911 FMH851905:FMJ851911 FWD851905:FWF851911 GFZ851905:GGB851911 GPV851905:GPX851911 GZR851905:GZT851911 HJN851905:HJP851911 HTJ851905:HTL851911 IDF851905:IDH851911 INB851905:IND851911 IWX851905:IWZ851911 JGT851905:JGV851911 JQP851905:JQR851911 KAL851905:KAN851911 KKH851905:KKJ851911 KUD851905:KUF851911 LDZ851905:LEB851911 LNV851905:LNX851911 LXR851905:LXT851911 MHN851905:MHP851911 MRJ851905:MRL851911 NBF851905:NBH851911 NLB851905:NLD851911 NUX851905:NUZ851911 OET851905:OEV851911 OOP851905:OOR851911 OYL851905:OYN851911 PIH851905:PIJ851911 PSD851905:PSF851911 QBZ851905:QCB851911 QLV851905:QLX851911 QVR851905:QVT851911 RFN851905:RFP851911 RPJ851905:RPL851911 RZF851905:RZH851911 SJB851905:SJD851911 SSX851905:SSZ851911 TCT851905:TCV851911 TMP851905:TMR851911 TWL851905:TWN851911 UGH851905:UGJ851911 UQD851905:UQF851911 UZZ851905:VAB851911 VJV851905:VJX851911 VTR851905:VTT851911 WDN851905:WDP851911 WNJ851905:WNL851911 WXF851905:WXH851911 AS917441:AU917447 KT917441:KV917447 UP917441:UR917447 AEL917441:AEN917447 AOH917441:AOJ917447 AYD917441:AYF917447 BHZ917441:BIB917447 BRV917441:BRX917447 CBR917441:CBT917447 CLN917441:CLP917447 CVJ917441:CVL917447 DFF917441:DFH917447 DPB917441:DPD917447 DYX917441:DYZ917447 EIT917441:EIV917447 ESP917441:ESR917447 FCL917441:FCN917447 FMH917441:FMJ917447 FWD917441:FWF917447 GFZ917441:GGB917447 GPV917441:GPX917447 GZR917441:GZT917447 HJN917441:HJP917447 HTJ917441:HTL917447 IDF917441:IDH917447 INB917441:IND917447 IWX917441:IWZ917447 JGT917441:JGV917447 JQP917441:JQR917447 KAL917441:KAN917447 KKH917441:KKJ917447 KUD917441:KUF917447 LDZ917441:LEB917447 LNV917441:LNX917447 LXR917441:LXT917447 MHN917441:MHP917447 MRJ917441:MRL917447 NBF917441:NBH917447 NLB917441:NLD917447 NUX917441:NUZ917447 OET917441:OEV917447 OOP917441:OOR917447 OYL917441:OYN917447 PIH917441:PIJ917447 PSD917441:PSF917447 QBZ917441:QCB917447 QLV917441:QLX917447 QVR917441:QVT917447 RFN917441:RFP917447 RPJ917441:RPL917447 RZF917441:RZH917447 SJB917441:SJD917447 SSX917441:SSZ917447 TCT917441:TCV917447 TMP917441:TMR917447 TWL917441:TWN917447 UGH917441:UGJ917447 UQD917441:UQF917447 UZZ917441:VAB917447 VJV917441:VJX917447 VTR917441:VTT917447 WDN917441:WDP917447 WNJ917441:WNL917447 WXF917441:WXH917447 AS982977:AU982983 KT982977:KV982983 UP982977:UR982983 AEL982977:AEN982983 AOH982977:AOJ982983 AYD982977:AYF982983 BHZ982977:BIB982983 BRV982977:BRX982983 CBR982977:CBT982983 CLN982977:CLP982983 CVJ982977:CVL982983 DFF982977:DFH982983 DPB982977:DPD982983 DYX982977:DYZ982983 EIT982977:EIV982983 ESP982977:ESR982983 FCL982977:FCN982983 FMH982977:FMJ982983 FWD982977:FWF982983 GFZ982977:GGB982983 GPV982977:GPX982983 GZR982977:GZT982983 HJN982977:HJP982983 HTJ982977:HTL982983 IDF982977:IDH982983 INB982977:IND982983 IWX982977:IWZ982983 JGT982977:JGV982983 JQP982977:JQR982983 KAL982977:KAN982983 KKH982977:KKJ982983 KUD982977:KUF982983 LDZ982977:LEB982983 LNV982977:LNX982983 LXR982977:LXT982983 MHN982977:MHP982983 MRJ982977:MRL982983 NBF982977:NBH982983 NLB982977:NLD982983 NUX982977:NUZ982983 OET982977:OEV982983 OOP982977:OOR982983 OYL982977:OYN982983 PIH982977:PIJ982983 PSD982977:PSF982983 QBZ982977:QCB982983 QLV982977:QLX982983 QVR982977:QVT982983 RFN982977:RFP982983 RPJ982977:RPL982983 RZF982977:RZH982983 SJB982977:SJD982983 SSX982977:SSZ982983 TCT982977:TCV982983 TMP982977:TMR982983 TWL982977:TWN982983 UGH982977:UGJ982983 UQD982977:UQF982983 UZZ982977:VAB982983 VJV982977:VJX982983 VTR982977:VTT982983 WDN982977:WDP982983 WNJ982977:WNL982983 WXF982977:WXH982983 AS65455:AU65456 KT65455:KV65456 UP65455:UR65456 AEL65455:AEN65456 AOH65455:AOJ65456 AYD65455:AYF65456 BHZ65455:BIB65456 BRV65455:BRX65456 CBR65455:CBT65456 CLN65455:CLP65456 CVJ65455:CVL65456 DFF65455:DFH65456 DPB65455:DPD65456 DYX65455:DYZ65456 EIT65455:EIV65456 ESP65455:ESR65456 FCL65455:FCN65456 FMH65455:FMJ65456 FWD65455:FWF65456 GFZ65455:GGB65456 GPV65455:GPX65456 GZR65455:GZT65456 HJN65455:HJP65456 HTJ65455:HTL65456 IDF65455:IDH65456 INB65455:IND65456 IWX65455:IWZ65456 JGT65455:JGV65456 JQP65455:JQR65456 KAL65455:KAN65456 KKH65455:KKJ65456 KUD65455:KUF65456 LDZ65455:LEB65456 LNV65455:LNX65456 LXR65455:LXT65456 MHN65455:MHP65456 MRJ65455:MRL65456 NBF65455:NBH65456 NLB65455:NLD65456 NUX65455:NUZ65456 OET65455:OEV65456 OOP65455:OOR65456 OYL65455:OYN65456 PIH65455:PIJ65456 PSD65455:PSF65456 QBZ65455:QCB65456 QLV65455:QLX65456 QVR65455:QVT65456 RFN65455:RFP65456 RPJ65455:RPL65456 RZF65455:RZH65456 SJB65455:SJD65456 SSX65455:SSZ65456 TCT65455:TCV65456 TMP65455:TMR65456 TWL65455:TWN65456 UGH65455:UGJ65456 UQD65455:UQF65456 UZZ65455:VAB65456 VJV65455:VJX65456 VTR65455:VTT65456 WDN65455:WDP65456 WNJ65455:WNL65456 WXF65455:WXH65456 AS130991:AU130992 KT130991:KV130992 UP130991:UR130992 AEL130991:AEN130992 AOH130991:AOJ130992 AYD130991:AYF130992 BHZ130991:BIB130992 BRV130991:BRX130992 CBR130991:CBT130992 CLN130991:CLP130992 CVJ130991:CVL130992 DFF130991:DFH130992 DPB130991:DPD130992 DYX130991:DYZ130992 EIT130991:EIV130992 ESP130991:ESR130992 FCL130991:FCN130992 FMH130991:FMJ130992 FWD130991:FWF130992 GFZ130991:GGB130992 GPV130991:GPX130992 GZR130991:GZT130992 HJN130991:HJP130992 HTJ130991:HTL130992 IDF130991:IDH130992 INB130991:IND130992 IWX130991:IWZ130992 JGT130991:JGV130992 JQP130991:JQR130992 KAL130991:KAN130992 KKH130991:KKJ130992 KUD130991:KUF130992 LDZ130991:LEB130992 LNV130991:LNX130992 LXR130991:LXT130992 MHN130991:MHP130992 MRJ130991:MRL130992 NBF130991:NBH130992 NLB130991:NLD130992 NUX130991:NUZ130992 OET130991:OEV130992 OOP130991:OOR130992 OYL130991:OYN130992 PIH130991:PIJ130992 PSD130991:PSF130992 QBZ130991:QCB130992 QLV130991:QLX130992 QVR130991:QVT130992 RFN130991:RFP130992 RPJ130991:RPL130992 RZF130991:RZH130992 SJB130991:SJD130992 SSX130991:SSZ130992 TCT130991:TCV130992 TMP130991:TMR130992 TWL130991:TWN130992 UGH130991:UGJ130992 UQD130991:UQF130992 UZZ130991:VAB130992 VJV130991:VJX130992 VTR130991:VTT130992 WDN130991:WDP130992 WNJ130991:WNL130992 WXF130991:WXH130992 AS196527:AU196528 KT196527:KV196528 UP196527:UR196528 AEL196527:AEN196528 AOH196527:AOJ196528 AYD196527:AYF196528 BHZ196527:BIB196528 BRV196527:BRX196528 CBR196527:CBT196528 CLN196527:CLP196528 CVJ196527:CVL196528 DFF196527:DFH196528 DPB196527:DPD196528 DYX196527:DYZ196528 EIT196527:EIV196528 ESP196527:ESR196528 FCL196527:FCN196528 FMH196527:FMJ196528 FWD196527:FWF196528 GFZ196527:GGB196528 GPV196527:GPX196528 GZR196527:GZT196528 HJN196527:HJP196528 HTJ196527:HTL196528 IDF196527:IDH196528 INB196527:IND196528 IWX196527:IWZ196528 JGT196527:JGV196528 JQP196527:JQR196528 KAL196527:KAN196528 KKH196527:KKJ196528 KUD196527:KUF196528 LDZ196527:LEB196528 LNV196527:LNX196528 LXR196527:LXT196528 MHN196527:MHP196528 MRJ196527:MRL196528 NBF196527:NBH196528 NLB196527:NLD196528 NUX196527:NUZ196528 OET196527:OEV196528 OOP196527:OOR196528 OYL196527:OYN196528 PIH196527:PIJ196528 PSD196527:PSF196528 QBZ196527:QCB196528 QLV196527:QLX196528 QVR196527:QVT196528 RFN196527:RFP196528 RPJ196527:RPL196528 RZF196527:RZH196528 SJB196527:SJD196528 SSX196527:SSZ196528 TCT196527:TCV196528 TMP196527:TMR196528 TWL196527:TWN196528 UGH196527:UGJ196528 UQD196527:UQF196528 UZZ196527:VAB196528 VJV196527:VJX196528 VTR196527:VTT196528 WDN196527:WDP196528 WNJ196527:WNL196528 WXF196527:WXH196528 AS262063:AU262064 KT262063:KV262064 UP262063:UR262064 AEL262063:AEN262064 AOH262063:AOJ262064 AYD262063:AYF262064 BHZ262063:BIB262064 BRV262063:BRX262064 CBR262063:CBT262064 CLN262063:CLP262064 CVJ262063:CVL262064 DFF262063:DFH262064 DPB262063:DPD262064 DYX262063:DYZ262064 EIT262063:EIV262064 ESP262063:ESR262064 FCL262063:FCN262064 FMH262063:FMJ262064 FWD262063:FWF262064 GFZ262063:GGB262064 GPV262063:GPX262064 GZR262063:GZT262064 HJN262063:HJP262064 HTJ262063:HTL262064 IDF262063:IDH262064 INB262063:IND262064 IWX262063:IWZ262064 JGT262063:JGV262064 JQP262063:JQR262064 KAL262063:KAN262064 KKH262063:KKJ262064 KUD262063:KUF262064 LDZ262063:LEB262064 LNV262063:LNX262064 LXR262063:LXT262064 MHN262063:MHP262064 MRJ262063:MRL262064 NBF262063:NBH262064 NLB262063:NLD262064 NUX262063:NUZ262064 OET262063:OEV262064 OOP262063:OOR262064 OYL262063:OYN262064 PIH262063:PIJ262064 PSD262063:PSF262064 QBZ262063:QCB262064 QLV262063:QLX262064 QVR262063:QVT262064 RFN262063:RFP262064 RPJ262063:RPL262064 RZF262063:RZH262064 SJB262063:SJD262064 SSX262063:SSZ262064 TCT262063:TCV262064 TMP262063:TMR262064 TWL262063:TWN262064 UGH262063:UGJ262064 UQD262063:UQF262064 UZZ262063:VAB262064 VJV262063:VJX262064 VTR262063:VTT262064 WDN262063:WDP262064 WNJ262063:WNL262064 WXF262063:WXH262064 AS327599:AU327600 KT327599:KV327600 UP327599:UR327600 AEL327599:AEN327600 AOH327599:AOJ327600 AYD327599:AYF327600 BHZ327599:BIB327600 BRV327599:BRX327600 CBR327599:CBT327600 CLN327599:CLP327600 CVJ327599:CVL327600 DFF327599:DFH327600 DPB327599:DPD327600 DYX327599:DYZ327600 EIT327599:EIV327600 ESP327599:ESR327600 FCL327599:FCN327600 FMH327599:FMJ327600 FWD327599:FWF327600 GFZ327599:GGB327600 GPV327599:GPX327600 GZR327599:GZT327600 HJN327599:HJP327600 HTJ327599:HTL327600 IDF327599:IDH327600 INB327599:IND327600 IWX327599:IWZ327600 JGT327599:JGV327600 JQP327599:JQR327600 KAL327599:KAN327600 KKH327599:KKJ327600 KUD327599:KUF327600 LDZ327599:LEB327600 LNV327599:LNX327600 LXR327599:LXT327600 MHN327599:MHP327600 MRJ327599:MRL327600 NBF327599:NBH327600 NLB327599:NLD327600 NUX327599:NUZ327600 OET327599:OEV327600 OOP327599:OOR327600 OYL327599:OYN327600 PIH327599:PIJ327600 PSD327599:PSF327600 QBZ327599:QCB327600 QLV327599:QLX327600 QVR327599:QVT327600 RFN327599:RFP327600 RPJ327599:RPL327600 RZF327599:RZH327600 SJB327599:SJD327600 SSX327599:SSZ327600 TCT327599:TCV327600 TMP327599:TMR327600 TWL327599:TWN327600 UGH327599:UGJ327600 UQD327599:UQF327600 UZZ327599:VAB327600 VJV327599:VJX327600 VTR327599:VTT327600 WDN327599:WDP327600 WNJ327599:WNL327600 WXF327599:WXH327600 AS393135:AU393136 KT393135:KV393136 UP393135:UR393136 AEL393135:AEN393136 AOH393135:AOJ393136 AYD393135:AYF393136 BHZ393135:BIB393136 BRV393135:BRX393136 CBR393135:CBT393136 CLN393135:CLP393136 CVJ393135:CVL393136 DFF393135:DFH393136 DPB393135:DPD393136 DYX393135:DYZ393136 EIT393135:EIV393136 ESP393135:ESR393136 FCL393135:FCN393136 FMH393135:FMJ393136 FWD393135:FWF393136 GFZ393135:GGB393136 GPV393135:GPX393136 GZR393135:GZT393136 HJN393135:HJP393136 HTJ393135:HTL393136 IDF393135:IDH393136 INB393135:IND393136 IWX393135:IWZ393136 JGT393135:JGV393136 JQP393135:JQR393136 KAL393135:KAN393136 KKH393135:KKJ393136 KUD393135:KUF393136 LDZ393135:LEB393136 LNV393135:LNX393136 LXR393135:LXT393136 MHN393135:MHP393136 MRJ393135:MRL393136 NBF393135:NBH393136 NLB393135:NLD393136 NUX393135:NUZ393136 OET393135:OEV393136 OOP393135:OOR393136 OYL393135:OYN393136 PIH393135:PIJ393136 PSD393135:PSF393136 QBZ393135:QCB393136 QLV393135:QLX393136 QVR393135:QVT393136 RFN393135:RFP393136 RPJ393135:RPL393136 RZF393135:RZH393136 SJB393135:SJD393136 SSX393135:SSZ393136 TCT393135:TCV393136 TMP393135:TMR393136 TWL393135:TWN393136 UGH393135:UGJ393136 UQD393135:UQF393136 UZZ393135:VAB393136 VJV393135:VJX393136 VTR393135:VTT393136 WDN393135:WDP393136 WNJ393135:WNL393136 WXF393135:WXH393136 AS458671:AU458672 KT458671:KV458672 UP458671:UR458672 AEL458671:AEN458672 AOH458671:AOJ458672 AYD458671:AYF458672 BHZ458671:BIB458672 BRV458671:BRX458672 CBR458671:CBT458672 CLN458671:CLP458672 CVJ458671:CVL458672 DFF458671:DFH458672 DPB458671:DPD458672 DYX458671:DYZ458672 EIT458671:EIV458672 ESP458671:ESR458672 FCL458671:FCN458672 FMH458671:FMJ458672 FWD458671:FWF458672 GFZ458671:GGB458672 GPV458671:GPX458672 GZR458671:GZT458672 HJN458671:HJP458672 HTJ458671:HTL458672 IDF458671:IDH458672 INB458671:IND458672 IWX458671:IWZ458672 JGT458671:JGV458672 JQP458671:JQR458672 KAL458671:KAN458672 KKH458671:KKJ458672 KUD458671:KUF458672 LDZ458671:LEB458672 LNV458671:LNX458672 LXR458671:LXT458672 MHN458671:MHP458672 MRJ458671:MRL458672 NBF458671:NBH458672 NLB458671:NLD458672 NUX458671:NUZ458672 OET458671:OEV458672 OOP458671:OOR458672 OYL458671:OYN458672 PIH458671:PIJ458672 PSD458671:PSF458672 QBZ458671:QCB458672 QLV458671:QLX458672 QVR458671:QVT458672 RFN458671:RFP458672 RPJ458671:RPL458672 RZF458671:RZH458672 SJB458671:SJD458672 SSX458671:SSZ458672 TCT458671:TCV458672 TMP458671:TMR458672 TWL458671:TWN458672 UGH458671:UGJ458672 UQD458671:UQF458672 UZZ458671:VAB458672 VJV458671:VJX458672 VTR458671:VTT458672 WDN458671:WDP458672 WNJ458671:WNL458672 WXF458671:WXH458672 AS524207:AU524208 KT524207:KV524208 UP524207:UR524208 AEL524207:AEN524208 AOH524207:AOJ524208 AYD524207:AYF524208 BHZ524207:BIB524208 BRV524207:BRX524208 CBR524207:CBT524208 CLN524207:CLP524208 CVJ524207:CVL524208 DFF524207:DFH524208 DPB524207:DPD524208 DYX524207:DYZ524208 EIT524207:EIV524208 ESP524207:ESR524208 FCL524207:FCN524208 FMH524207:FMJ524208 FWD524207:FWF524208 GFZ524207:GGB524208 GPV524207:GPX524208 GZR524207:GZT524208 HJN524207:HJP524208 HTJ524207:HTL524208 IDF524207:IDH524208 INB524207:IND524208 IWX524207:IWZ524208 JGT524207:JGV524208 JQP524207:JQR524208 KAL524207:KAN524208 KKH524207:KKJ524208 KUD524207:KUF524208 LDZ524207:LEB524208 LNV524207:LNX524208 LXR524207:LXT524208 MHN524207:MHP524208 MRJ524207:MRL524208 NBF524207:NBH524208 NLB524207:NLD524208 NUX524207:NUZ524208 OET524207:OEV524208 OOP524207:OOR524208 OYL524207:OYN524208 PIH524207:PIJ524208 PSD524207:PSF524208 QBZ524207:QCB524208 QLV524207:QLX524208 QVR524207:QVT524208 RFN524207:RFP524208 RPJ524207:RPL524208 RZF524207:RZH524208 SJB524207:SJD524208 SSX524207:SSZ524208 TCT524207:TCV524208 TMP524207:TMR524208 TWL524207:TWN524208 UGH524207:UGJ524208 UQD524207:UQF524208 UZZ524207:VAB524208 VJV524207:VJX524208 VTR524207:VTT524208 WDN524207:WDP524208 WNJ524207:WNL524208 WXF524207:WXH524208 AS589743:AU589744 KT589743:KV589744 UP589743:UR589744 AEL589743:AEN589744 AOH589743:AOJ589744 AYD589743:AYF589744 BHZ589743:BIB589744 BRV589743:BRX589744 CBR589743:CBT589744 CLN589743:CLP589744 CVJ589743:CVL589744 DFF589743:DFH589744 DPB589743:DPD589744 DYX589743:DYZ589744 EIT589743:EIV589744 ESP589743:ESR589744 FCL589743:FCN589744 FMH589743:FMJ589744 FWD589743:FWF589744 GFZ589743:GGB589744 GPV589743:GPX589744 GZR589743:GZT589744 HJN589743:HJP589744 HTJ589743:HTL589744 IDF589743:IDH589744 INB589743:IND589744 IWX589743:IWZ589744 JGT589743:JGV589744 JQP589743:JQR589744 KAL589743:KAN589744 KKH589743:KKJ589744 KUD589743:KUF589744 LDZ589743:LEB589744 LNV589743:LNX589744 LXR589743:LXT589744 MHN589743:MHP589744 MRJ589743:MRL589744 NBF589743:NBH589744 NLB589743:NLD589744 NUX589743:NUZ589744 OET589743:OEV589744 OOP589743:OOR589744 OYL589743:OYN589744 PIH589743:PIJ589744 PSD589743:PSF589744 QBZ589743:QCB589744 QLV589743:QLX589744 QVR589743:QVT589744 RFN589743:RFP589744 RPJ589743:RPL589744 RZF589743:RZH589744 SJB589743:SJD589744 SSX589743:SSZ589744 TCT589743:TCV589744 TMP589743:TMR589744 TWL589743:TWN589744 UGH589743:UGJ589744 UQD589743:UQF589744 UZZ589743:VAB589744 VJV589743:VJX589744 VTR589743:VTT589744 WDN589743:WDP589744 WNJ589743:WNL589744 WXF589743:WXH589744 AS655279:AU655280 KT655279:KV655280 UP655279:UR655280 AEL655279:AEN655280 AOH655279:AOJ655280 AYD655279:AYF655280 BHZ655279:BIB655280 BRV655279:BRX655280 CBR655279:CBT655280 CLN655279:CLP655280 CVJ655279:CVL655280 DFF655279:DFH655280 DPB655279:DPD655280 DYX655279:DYZ655280 EIT655279:EIV655280 ESP655279:ESR655280 FCL655279:FCN655280 FMH655279:FMJ655280 FWD655279:FWF655280 GFZ655279:GGB655280 GPV655279:GPX655280 GZR655279:GZT655280 HJN655279:HJP655280 HTJ655279:HTL655280 IDF655279:IDH655280 INB655279:IND655280 IWX655279:IWZ655280 JGT655279:JGV655280 JQP655279:JQR655280 KAL655279:KAN655280 KKH655279:KKJ655280 KUD655279:KUF655280 LDZ655279:LEB655280 LNV655279:LNX655280 LXR655279:LXT655280 MHN655279:MHP655280 MRJ655279:MRL655280 NBF655279:NBH655280 NLB655279:NLD655280 NUX655279:NUZ655280 OET655279:OEV655280 OOP655279:OOR655280 OYL655279:OYN655280 PIH655279:PIJ655280 PSD655279:PSF655280 QBZ655279:QCB655280 QLV655279:QLX655280 QVR655279:QVT655280 RFN655279:RFP655280 RPJ655279:RPL655280 RZF655279:RZH655280 SJB655279:SJD655280 SSX655279:SSZ655280 TCT655279:TCV655280 TMP655279:TMR655280 TWL655279:TWN655280 UGH655279:UGJ655280 UQD655279:UQF655280 UZZ655279:VAB655280 VJV655279:VJX655280 VTR655279:VTT655280 WDN655279:WDP655280 WNJ655279:WNL655280 WXF655279:WXH655280 AS720815:AU720816 KT720815:KV720816 UP720815:UR720816 AEL720815:AEN720816 AOH720815:AOJ720816 AYD720815:AYF720816 BHZ720815:BIB720816 BRV720815:BRX720816 CBR720815:CBT720816 CLN720815:CLP720816 CVJ720815:CVL720816 DFF720815:DFH720816 DPB720815:DPD720816 DYX720815:DYZ720816 EIT720815:EIV720816 ESP720815:ESR720816 FCL720815:FCN720816 FMH720815:FMJ720816 FWD720815:FWF720816 GFZ720815:GGB720816 GPV720815:GPX720816 GZR720815:GZT720816 HJN720815:HJP720816 HTJ720815:HTL720816 IDF720815:IDH720816 INB720815:IND720816 IWX720815:IWZ720816 JGT720815:JGV720816 JQP720815:JQR720816 KAL720815:KAN720816 KKH720815:KKJ720816 KUD720815:KUF720816 LDZ720815:LEB720816 LNV720815:LNX720816 LXR720815:LXT720816 MHN720815:MHP720816 MRJ720815:MRL720816 NBF720815:NBH720816 NLB720815:NLD720816 NUX720815:NUZ720816 OET720815:OEV720816 OOP720815:OOR720816 OYL720815:OYN720816 PIH720815:PIJ720816 PSD720815:PSF720816 QBZ720815:QCB720816 QLV720815:QLX720816 QVR720815:QVT720816 RFN720815:RFP720816 RPJ720815:RPL720816 RZF720815:RZH720816 SJB720815:SJD720816 SSX720815:SSZ720816 TCT720815:TCV720816 TMP720815:TMR720816 TWL720815:TWN720816 UGH720815:UGJ720816 UQD720815:UQF720816 UZZ720815:VAB720816 VJV720815:VJX720816 VTR720815:VTT720816 WDN720815:WDP720816 WNJ720815:WNL720816 WXF720815:WXH720816 AS786351:AU786352 KT786351:KV786352 UP786351:UR786352 AEL786351:AEN786352 AOH786351:AOJ786352 AYD786351:AYF786352 BHZ786351:BIB786352 BRV786351:BRX786352 CBR786351:CBT786352 CLN786351:CLP786352 CVJ786351:CVL786352 DFF786351:DFH786352 DPB786351:DPD786352 DYX786351:DYZ786352 EIT786351:EIV786352 ESP786351:ESR786352 FCL786351:FCN786352 FMH786351:FMJ786352 FWD786351:FWF786352 GFZ786351:GGB786352 GPV786351:GPX786352 GZR786351:GZT786352 HJN786351:HJP786352 HTJ786351:HTL786352 IDF786351:IDH786352 INB786351:IND786352 IWX786351:IWZ786352 JGT786351:JGV786352 JQP786351:JQR786352 KAL786351:KAN786352 KKH786351:KKJ786352 KUD786351:KUF786352 LDZ786351:LEB786352 LNV786351:LNX786352 LXR786351:LXT786352 MHN786351:MHP786352 MRJ786351:MRL786352 NBF786351:NBH786352 NLB786351:NLD786352 NUX786351:NUZ786352 OET786351:OEV786352 OOP786351:OOR786352 OYL786351:OYN786352 PIH786351:PIJ786352 PSD786351:PSF786352 QBZ786351:QCB786352 QLV786351:QLX786352 QVR786351:QVT786352 RFN786351:RFP786352 RPJ786351:RPL786352 RZF786351:RZH786352 SJB786351:SJD786352 SSX786351:SSZ786352 TCT786351:TCV786352 TMP786351:TMR786352 TWL786351:TWN786352 UGH786351:UGJ786352 UQD786351:UQF786352 UZZ786351:VAB786352 VJV786351:VJX786352 VTR786351:VTT786352 WDN786351:WDP786352 WNJ786351:WNL786352 WXF786351:WXH786352 AS851887:AU851888 KT851887:KV851888 UP851887:UR851888 AEL851887:AEN851888 AOH851887:AOJ851888 AYD851887:AYF851888 BHZ851887:BIB851888 BRV851887:BRX851888 CBR851887:CBT851888 CLN851887:CLP851888 CVJ851887:CVL851888 DFF851887:DFH851888 DPB851887:DPD851888 DYX851887:DYZ851888 EIT851887:EIV851888 ESP851887:ESR851888 FCL851887:FCN851888 FMH851887:FMJ851888 FWD851887:FWF851888 GFZ851887:GGB851888 GPV851887:GPX851888 GZR851887:GZT851888 HJN851887:HJP851888 HTJ851887:HTL851888 IDF851887:IDH851888 INB851887:IND851888 IWX851887:IWZ851888 JGT851887:JGV851888 JQP851887:JQR851888 KAL851887:KAN851888 KKH851887:KKJ851888 KUD851887:KUF851888 LDZ851887:LEB851888 LNV851887:LNX851888 LXR851887:LXT851888 MHN851887:MHP851888 MRJ851887:MRL851888 NBF851887:NBH851888 NLB851887:NLD851888 NUX851887:NUZ851888 OET851887:OEV851888 OOP851887:OOR851888 OYL851887:OYN851888 PIH851887:PIJ851888 PSD851887:PSF851888 QBZ851887:QCB851888 QLV851887:QLX851888 QVR851887:QVT851888 RFN851887:RFP851888 RPJ851887:RPL851888 RZF851887:RZH851888 SJB851887:SJD851888 SSX851887:SSZ851888 TCT851887:TCV851888 TMP851887:TMR851888 TWL851887:TWN851888 UGH851887:UGJ851888 UQD851887:UQF851888 UZZ851887:VAB851888 VJV851887:VJX851888 VTR851887:VTT851888 WDN851887:WDP851888 WNJ851887:WNL851888 WXF851887:WXH851888 AS917423:AU917424 KT917423:KV917424 UP917423:UR917424 AEL917423:AEN917424 AOH917423:AOJ917424 AYD917423:AYF917424 BHZ917423:BIB917424 BRV917423:BRX917424 CBR917423:CBT917424 CLN917423:CLP917424 CVJ917423:CVL917424 DFF917423:DFH917424 DPB917423:DPD917424 DYX917423:DYZ917424 EIT917423:EIV917424 ESP917423:ESR917424 FCL917423:FCN917424 FMH917423:FMJ917424 FWD917423:FWF917424 GFZ917423:GGB917424 GPV917423:GPX917424 GZR917423:GZT917424 HJN917423:HJP917424 HTJ917423:HTL917424 IDF917423:IDH917424 INB917423:IND917424 IWX917423:IWZ917424 JGT917423:JGV917424 JQP917423:JQR917424 KAL917423:KAN917424 KKH917423:KKJ917424 KUD917423:KUF917424 LDZ917423:LEB917424 LNV917423:LNX917424 LXR917423:LXT917424 MHN917423:MHP917424 MRJ917423:MRL917424 NBF917423:NBH917424 NLB917423:NLD917424 NUX917423:NUZ917424 OET917423:OEV917424 OOP917423:OOR917424 OYL917423:OYN917424 PIH917423:PIJ917424 PSD917423:PSF917424 QBZ917423:QCB917424 QLV917423:QLX917424 QVR917423:QVT917424 RFN917423:RFP917424 RPJ917423:RPL917424 RZF917423:RZH917424 SJB917423:SJD917424 SSX917423:SSZ917424 TCT917423:TCV917424 TMP917423:TMR917424 TWL917423:TWN917424 UGH917423:UGJ917424 UQD917423:UQF917424 UZZ917423:VAB917424 VJV917423:VJX917424 VTR917423:VTT917424 WDN917423:WDP917424 WNJ917423:WNL917424 WXF917423:WXH917424 AS982959:AU982960 KT982959:KV982960 UP982959:UR982960 AEL982959:AEN982960 AOH982959:AOJ982960 AYD982959:AYF982960 BHZ982959:BIB982960 BRV982959:BRX982960 CBR982959:CBT982960 CLN982959:CLP982960 CVJ982959:CVL982960 DFF982959:DFH982960 DPB982959:DPD982960 DYX982959:DYZ982960 EIT982959:EIV982960 ESP982959:ESR982960 FCL982959:FCN982960 FMH982959:FMJ982960 FWD982959:FWF982960 GFZ982959:GGB982960 GPV982959:GPX982960 GZR982959:GZT982960 HJN982959:HJP982960 HTJ982959:HTL982960 IDF982959:IDH982960 INB982959:IND982960 IWX982959:IWZ982960 JGT982959:JGV982960 JQP982959:JQR982960 KAL982959:KAN982960 KKH982959:KKJ982960 KUD982959:KUF982960 LDZ982959:LEB982960 LNV982959:LNX982960 LXR982959:LXT982960 MHN982959:MHP982960 MRJ982959:MRL982960 NBF982959:NBH982960 NLB982959:NLD982960 NUX982959:NUZ982960 OET982959:OEV982960 OOP982959:OOR982960 OYL982959:OYN982960 PIH982959:PIJ982960 PSD982959:PSF982960 QBZ982959:QCB982960 QLV982959:QLX982960 QVR982959:QVT982960 RFN982959:RFP982960 RPJ982959:RPL982960 RZF982959:RZH982960 SJB982959:SJD982960 SSX982959:SSZ982960 TCT982959:TCV982960 TMP982959:TMR982960 TWL982959:TWN982960 UGH982959:UGJ982960 UQD982959:UQF982960 UZZ982959:VAB982960 VJV982959:VJX982960 VTR982959:VTT982960 WDN982959:WDP982960 WNJ982959:WNL982960 WXF982959:WXH982960 AS65375:AU65424 KT65375:KV65424 UP65375:UR65424 AEL65375:AEN65424 AOH65375:AOJ65424 AYD65375:AYF65424 BHZ65375:BIB65424 BRV65375:BRX65424 CBR65375:CBT65424 CLN65375:CLP65424 CVJ65375:CVL65424 DFF65375:DFH65424 DPB65375:DPD65424 DYX65375:DYZ65424 EIT65375:EIV65424 ESP65375:ESR65424 FCL65375:FCN65424 FMH65375:FMJ65424 FWD65375:FWF65424 GFZ65375:GGB65424 GPV65375:GPX65424 GZR65375:GZT65424 HJN65375:HJP65424 HTJ65375:HTL65424 IDF65375:IDH65424 INB65375:IND65424 IWX65375:IWZ65424 JGT65375:JGV65424 JQP65375:JQR65424 KAL65375:KAN65424 KKH65375:KKJ65424 KUD65375:KUF65424 LDZ65375:LEB65424 LNV65375:LNX65424 LXR65375:LXT65424 MHN65375:MHP65424 MRJ65375:MRL65424 NBF65375:NBH65424 NLB65375:NLD65424 NUX65375:NUZ65424 OET65375:OEV65424 OOP65375:OOR65424 OYL65375:OYN65424 PIH65375:PIJ65424 PSD65375:PSF65424 QBZ65375:QCB65424 QLV65375:QLX65424 QVR65375:QVT65424 RFN65375:RFP65424 RPJ65375:RPL65424 RZF65375:RZH65424 SJB65375:SJD65424 SSX65375:SSZ65424 TCT65375:TCV65424 TMP65375:TMR65424 TWL65375:TWN65424 UGH65375:UGJ65424 UQD65375:UQF65424 UZZ65375:VAB65424 VJV65375:VJX65424 VTR65375:VTT65424 WDN65375:WDP65424 WNJ65375:WNL65424 WXF65375:WXH65424 AS130911:AU130960 KT130911:KV130960 UP130911:UR130960 AEL130911:AEN130960 AOH130911:AOJ130960 AYD130911:AYF130960 BHZ130911:BIB130960 BRV130911:BRX130960 CBR130911:CBT130960 CLN130911:CLP130960 CVJ130911:CVL130960 DFF130911:DFH130960 DPB130911:DPD130960 DYX130911:DYZ130960 EIT130911:EIV130960 ESP130911:ESR130960 FCL130911:FCN130960 FMH130911:FMJ130960 FWD130911:FWF130960 GFZ130911:GGB130960 GPV130911:GPX130960 GZR130911:GZT130960 HJN130911:HJP130960 HTJ130911:HTL130960 IDF130911:IDH130960 INB130911:IND130960 IWX130911:IWZ130960 JGT130911:JGV130960 JQP130911:JQR130960 KAL130911:KAN130960 KKH130911:KKJ130960 KUD130911:KUF130960 LDZ130911:LEB130960 LNV130911:LNX130960 LXR130911:LXT130960 MHN130911:MHP130960 MRJ130911:MRL130960 NBF130911:NBH130960 NLB130911:NLD130960 NUX130911:NUZ130960 OET130911:OEV130960 OOP130911:OOR130960 OYL130911:OYN130960 PIH130911:PIJ130960 PSD130911:PSF130960 QBZ130911:QCB130960 QLV130911:QLX130960 QVR130911:QVT130960 RFN130911:RFP130960 RPJ130911:RPL130960 RZF130911:RZH130960 SJB130911:SJD130960 SSX130911:SSZ130960 TCT130911:TCV130960 TMP130911:TMR130960 TWL130911:TWN130960 UGH130911:UGJ130960 UQD130911:UQF130960 UZZ130911:VAB130960 VJV130911:VJX130960 VTR130911:VTT130960 WDN130911:WDP130960 WNJ130911:WNL130960 WXF130911:WXH130960 AS196447:AU196496 KT196447:KV196496 UP196447:UR196496 AEL196447:AEN196496 AOH196447:AOJ196496 AYD196447:AYF196496 BHZ196447:BIB196496 BRV196447:BRX196496 CBR196447:CBT196496 CLN196447:CLP196496 CVJ196447:CVL196496 DFF196447:DFH196496 DPB196447:DPD196496 DYX196447:DYZ196496 EIT196447:EIV196496 ESP196447:ESR196496 FCL196447:FCN196496 FMH196447:FMJ196496 FWD196447:FWF196496 GFZ196447:GGB196496 GPV196447:GPX196496 GZR196447:GZT196496 HJN196447:HJP196496 HTJ196447:HTL196496 IDF196447:IDH196496 INB196447:IND196496 IWX196447:IWZ196496 JGT196447:JGV196496 JQP196447:JQR196496 KAL196447:KAN196496 KKH196447:KKJ196496 KUD196447:KUF196496 LDZ196447:LEB196496 LNV196447:LNX196496 LXR196447:LXT196496 MHN196447:MHP196496 MRJ196447:MRL196496 NBF196447:NBH196496 NLB196447:NLD196496 NUX196447:NUZ196496 OET196447:OEV196496 OOP196447:OOR196496 OYL196447:OYN196496 PIH196447:PIJ196496 PSD196447:PSF196496 QBZ196447:QCB196496 QLV196447:QLX196496 QVR196447:QVT196496 RFN196447:RFP196496 RPJ196447:RPL196496 RZF196447:RZH196496 SJB196447:SJD196496 SSX196447:SSZ196496 TCT196447:TCV196496 TMP196447:TMR196496 TWL196447:TWN196496 UGH196447:UGJ196496 UQD196447:UQF196496 UZZ196447:VAB196496 VJV196447:VJX196496 VTR196447:VTT196496 WDN196447:WDP196496 WNJ196447:WNL196496 WXF196447:WXH196496 AS261983:AU262032 KT261983:KV262032 UP261983:UR262032 AEL261983:AEN262032 AOH261983:AOJ262032 AYD261983:AYF262032 BHZ261983:BIB262032 BRV261983:BRX262032 CBR261983:CBT262032 CLN261983:CLP262032 CVJ261983:CVL262032 DFF261983:DFH262032 DPB261983:DPD262032 DYX261983:DYZ262032 EIT261983:EIV262032 ESP261983:ESR262032 FCL261983:FCN262032 FMH261983:FMJ262032 FWD261983:FWF262032 GFZ261983:GGB262032 GPV261983:GPX262032 GZR261983:GZT262032 HJN261983:HJP262032 HTJ261983:HTL262032 IDF261983:IDH262032 INB261983:IND262032 IWX261983:IWZ262032 JGT261983:JGV262032 JQP261983:JQR262032 KAL261983:KAN262032 KKH261983:KKJ262032 KUD261983:KUF262032 LDZ261983:LEB262032 LNV261983:LNX262032 LXR261983:LXT262032 MHN261983:MHP262032 MRJ261983:MRL262032 NBF261983:NBH262032 NLB261983:NLD262032 NUX261983:NUZ262032 OET261983:OEV262032 OOP261983:OOR262032 OYL261983:OYN262032 PIH261983:PIJ262032 PSD261983:PSF262032 QBZ261983:QCB262032 QLV261983:QLX262032 QVR261983:QVT262032 RFN261983:RFP262032 RPJ261983:RPL262032 RZF261983:RZH262032 SJB261983:SJD262032 SSX261983:SSZ262032 TCT261983:TCV262032 TMP261983:TMR262032 TWL261983:TWN262032 UGH261983:UGJ262032 UQD261983:UQF262032 UZZ261983:VAB262032 VJV261983:VJX262032 VTR261983:VTT262032 WDN261983:WDP262032 WNJ261983:WNL262032 WXF261983:WXH262032 AS327519:AU327568 KT327519:KV327568 UP327519:UR327568 AEL327519:AEN327568 AOH327519:AOJ327568 AYD327519:AYF327568 BHZ327519:BIB327568 BRV327519:BRX327568 CBR327519:CBT327568 CLN327519:CLP327568 CVJ327519:CVL327568 DFF327519:DFH327568 DPB327519:DPD327568 DYX327519:DYZ327568 EIT327519:EIV327568 ESP327519:ESR327568 FCL327519:FCN327568 FMH327519:FMJ327568 FWD327519:FWF327568 GFZ327519:GGB327568 GPV327519:GPX327568 GZR327519:GZT327568 HJN327519:HJP327568 HTJ327519:HTL327568 IDF327519:IDH327568 INB327519:IND327568 IWX327519:IWZ327568 JGT327519:JGV327568 JQP327519:JQR327568 KAL327519:KAN327568 KKH327519:KKJ327568 KUD327519:KUF327568 LDZ327519:LEB327568 LNV327519:LNX327568 LXR327519:LXT327568 MHN327519:MHP327568 MRJ327519:MRL327568 NBF327519:NBH327568 NLB327519:NLD327568 NUX327519:NUZ327568 OET327519:OEV327568 OOP327519:OOR327568 OYL327519:OYN327568 PIH327519:PIJ327568 PSD327519:PSF327568 QBZ327519:QCB327568 QLV327519:QLX327568 QVR327519:QVT327568 RFN327519:RFP327568 RPJ327519:RPL327568 RZF327519:RZH327568 SJB327519:SJD327568 SSX327519:SSZ327568 TCT327519:TCV327568 TMP327519:TMR327568 TWL327519:TWN327568 UGH327519:UGJ327568 UQD327519:UQF327568 UZZ327519:VAB327568 VJV327519:VJX327568 VTR327519:VTT327568 WDN327519:WDP327568 WNJ327519:WNL327568 WXF327519:WXH327568 AS393055:AU393104 KT393055:KV393104 UP393055:UR393104 AEL393055:AEN393104 AOH393055:AOJ393104 AYD393055:AYF393104 BHZ393055:BIB393104 BRV393055:BRX393104 CBR393055:CBT393104 CLN393055:CLP393104 CVJ393055:CVL393104 DFF393055:DFH393104 DPB393055:DPD393104 DYX393055:DYZ393104 EIT393055:EIV393104 ESP393055:ESR393104 FCL393055:FCN393104 FMH393055:FMJ393104 FWD393055:FWF393104 GFZ393055:GGB393104 GPV393055:GPX393104 GZR393055:GZT393104 HJN393055:HJP393104 HTJ393055:HTL393104 IDF393055:IDH393104 INB393055:IND393104 IWX393055:IWZ393104 JGT393055:JGV393104 JQP393055:JQR393104 KAL393055:KAN393104 KKH393055:KKJ393104 KUD393055:KUF393104 LDZ393055:LEB393104 LNV393055:LNX393104 LXR393055:LXT393104 MHN393055:MHP393104 MRJ393055:MRL393104 NBF393055:NBH393104 NLB393055:NLD393104 NUX393055:NUZ393104 OET393055:OEV393104 OOP393055:OOR393104 OYL393055:OYN393104 PIH393055:PIJ393104 PSD393055:PSF393104 QBZ393055:QCB393104 QLV393055:QLX393104 QVR393055:QVT393104 RFN393055:RFP393104 RPJ393055:RPL393104 RZF393055:RZH393104 SJB393055:SJD393104 SSX393055:SSZ393104 TCT393055:TCV393104 TMP393055:TMR393104 TWL393055:TWN393104 UGH393055:UGJ393104 UQD393055:UQF393104 UZZ393055:VAB393104 VJV393055:VJX393104 VTR393055:VTT393104 WDN393055:WDP393104 WNJ393055:WNL393104 WXF393055:WXH393104 AS458591:AU458640 KT458591:KV458640 UP458591:UR458640 AEL458591:AEN458640 AOH458591:AOJ458640 AYD458591:AYF458640 BHZ458591:BIB458640 BRV458591:BRX458640 CBR458591:CBT458640 CLN458591:CLP458640 CVJ458591:CVL458640 DFF458591:DFH458640 DPB458591:DPD458640 DYX458591:DYZ458640 EIT458591:EIV458640 ESP458591:ESR458640 FCL458591:FCN458640 FMH458591:FMJ458640 FWD458591:FWF458640 GFZ458591:GGB458640 GPV458591:GPX458640 GZR458591:GZT458640 HJN458591:HJP458640 HTJ458591:HTL458640 IDF458591:IDH458640 INB458591:IND458640 IWX458591:IWZ458640 JGT458591:JGV458640 JQP458591:JQR458640 KAL458591:KAN458640 KKH458591:KKJ458640 KUD458591:KUF458640 LDZ458591:LEB458640 LNV458591:LNX458640 LXR458591:LXT458640 MHN458591:MHP458640 MRJ458591:MRL458640 NBF458591:NBH458640 NLB458591:NLD458640 NUX458591:NUZ458640 OET458591:OEV458640 OOP458591:OOR458640 OYL458591:OYN458640 PIH458591:PIJ458640 PSD458591:PSF458640 QBZ458591:QCB458640 QLV458591:QLX458640 QVR458591:QVT458640 RFN458591:RFP458640 RPJ458591:RPL458640 RZF458591:RZH458640 SJB458591:SJD458640 SSX458591:SSZ458640 TCT458591:TCV458640 TMP458591:TMR458640 TWL458591:TWN458640 UGH458591:UGJ458640 UQD458591:UQF458640 UZZ458591:VAB458640 VJV458591:VJX458640 VTR458591:VTT458640 WDN458591:WDP458640 WNJ458591:WNL458640 WXF458591:WXH458640 AS524127:AU524176 KT524127:KV524176 UP524127:UR524176 AEL524127:AEN524176 AOH524127:AOJ524176 AYD524127:AYF524176 BHZ524127:BIB524176 BRV524127:BRX524176 CBR524127:CBT524176 CLN524127:CLP524176 CVJ524127:CVL524176 DFF524127:DFH524176 DPB524127:DPD524176 DYX524127:DYZ524176 EIT524127:EIV524176 ESP524127:ESR524176 FCL524127:FCN524176 FMH524127:FMJ524176 FWD524127:FWF524176 GFZ524127:GGB524176 GPV524127:GPX524176 GZR524127:GZT524176 HJN524127:HJP524176 HTJ524127:HTL524176 IDF524127:IDH524176 INB524127:IND524176 IWX524127:IWZ524176 JGT524127:JGV524176 JQP524127:JQR524176 KAL524127:KAN524176 KKH524127:KKJ524176 KUD524127:KUF524176 LDZ524127:LEB524176 LNV524127:LNX524176 LXR524127:LXT524176 MHN524127:MHP524176 MRJ524127:MRL524176 NBF524127:NBH524176 NLB524127:NLD524176 NUX524127:NUZ524176 OET524127:OEV524176 OOP524127:OOR524176 OYL524127:OYN524176 PIH524127:PIJ524176 PSD524127:PSF524176 QBZ524127:QCB524176 QLV524127:QLX524176 QVR524127:QVT524176 RFN524127:RFP524176 RPJ524127:RPL524176 RZF524127:RZH524176 SJB524127:SJD524176 SSX524127:SSZ524176 TCT524127:TCV524176 TMP524127:TMR524176 TWL524127:TWN524176 UGH524127:UGJ524176 UQD524127:UQF524176 UZZ524127:VAB524176 VJV524127:VJX524176 VTR524127:VTT524176 WDN524127:WDP524176 WNJ524127:WNL524176 WXF524127:WXH524176 AS589663:AU589712 KT589663:KV589712 UP589663:UR589712 AEL589663:AEN589712 AOH589663:AOJ589712 AYD589663:AYF589712 BHZ589663:BIB589712 BRV589663:BRX589712 CBR589663:CBT589712 CLN589663:CLP589712 CVJ589663:CVL589712 DFF589663:DFH589712 DPB589663:DPD589712 DYX589663:DYZ589712 EIT589663:EIV589712 ESP589663:ESR589712 FCL589663:FCN589712 FMH589663:FMJ589712 FWD589663:FWF589712 GFZ589663:GGB589712 GPV589663:GPX589712 GZR589663:GZT589712 HJN589663:HJP589712 HTJ589663:HTL589712 IDF589663:IDH589712 INB589663:IND589712 IWX589663:IWZ589712 JGT589663:JGV589712 JQP589663:JQR589712 KAL589663:KAN589712 KKH589663:KKJ589712 KUD589663:KUF589712 LDZ589663:LEB589712 LNV589663:LNX589712 LXR589663:LXT589712 MHN589663:MHP589712 MRJ589663:MRL589712 NBF589663:NBH589712 NLB589663:NLD589712 NUX589663:NUZ589712 OET589663:OEV589712 OOP589663:OOR589712 OYL589663:OYN589712 PIH589663:PIJ589712 PSD589663:PSF589712 QBZ589663:QCB589712 QLV589663:QLX589712 QVR589663:QVT589712 RFN589663:RFP589712 RPJ589663:RPL589712 RZF589663:RZH589712 SJB589663:SJD589712 SSX589663:SSZ589712 TCT589663:TCV589712 TMP589663:TMR589712 TWL589663:TWN589712 UGH589663:UGJ589712 UQD589663:UQF589712 UZZ589663:VAB589712 VJV589663:VJX589712 VTR589663:VTT589712 WDN589663:WDP589712 WNJ589663:WNL589712 WXF589663:WXH589712 AS655199:AU655248 KT655199:KV655248 UP655199:UR655248 AEL655199:AEN655248 AOH655199:AOJ655248 AYD655199:AYF655248 BHZ655199:BIB655248 BRV655199:BRX655248 CBR655199:CBT655248 CLN655199:CLP655248 CVJ655199:CVL655248 DFF655199:DFH655248 DPB655199:DPD655248 DYX655199:DYZ655248 EIT655199:EIV655248 ESP655199:ESR655248 FCL655199:FCN655248 FMH655199:FMJ655248 FWD655199:FWF655248 GFZ655199:GGB655248 GPV655199:GPX655248 GZR655199:GZT655248 HJN655199:HJP655248 HTJ655199:HTL655248 IDF655199:IDH655248 INB655199:IND655248 IWX655199:IWZ655248 JGT655199:JGV655248 JQP655199:JQR655248 KAL655199:KAN655248 KKH655199:KKJ655248 KUD655199:KUF655248 LDZ655199:LEB655248 LNV655199:LNX655248 LXR655199:LXT655248 MHN655199:MHP655248 MRJ655199:MRL655248 NBF655199:NBH655248 NLB655199:NLD655248 NUX655199:NUZ655248 OET655199:OEV655248 OOP655199:OOR655248 OYL655199:OYN655248 PIH655199:PIJ655248 PSD655199:PSF655248 QBZ655199:QCB655248 QLV655199:QLX655248 QVR655199:QVT655248 RFN655199:RFP655248 RPJ655199:RPL655248 RZF655199:RZH655248 SJB655199:SJD655248 SSX655199:SSZ655248 TCT655199:TCV655248 TMP655199:TMR655248 TWL655199:TWN655248 UGH655199:UGJ655248 UQD655199:UQF655248 UZZ655199:VAB655248 VJV655199:VJX655248 VTR655199:VTT655248 WDN655199:WDP655248 WNJ655199:WNL655248 WXF655199:WXH655248 AS720735:AU720784 KT720735:KV720784 UP720735:UR720784 AEL720735:AEN720784 AOH720735:AOJ720784 AYD720735:AYF720784 BHZ720735:BIB720784 BRV720735:BRX720784 CBR720735:CBT720784 CLN720735:CLP720784 CVJ720735:CVL720784 DFF720735:DFH720784 DPB720735:DPD720784 DYX720735:DYZ720784 EIT720735:EIV720784 ESP720735:ESR720784 FCL720735:FCN720784 FMH720735:FMJ720784 FWD720735:FWF720784 GFZ720735:GGB720784 GPV720735:GPX720784 GZR720735:GZT720784 HJN720735:HJP720784 HTJ720735:HTL720784 IDF720735:IDH720784 INB720735:IND720784 IWX720735:IWZ720784 JGT720735:JGV720784 JQP720735:JQR720784 KAL720735:KAN720784 KKH720735:KKJ720784 KUD720735:KUF720784 LDZ720735:LEB720784 LNV720735:LNX720784 LXR720735:LXT720784 MHN720735:MHP720784 MRJ720735:MRL720784 NBF720735:NBH720784 NLB720735:NLD720784 NUX720735:NUZ720784 OET720735:OEV720784 OOP720735:OOR720784 OYL720735:OYN720784 PIH720735:PIJ720784 PSD720735:PSF720784 QBZ720735:QCB720784 QLV720735:QLX720784 QVR720735:QVT720784 RFN720735:RFP720784 RPJ720735:RPL720784 RZF720735:RZH720784 SJB720735:SJD720784 SSX720735:SSZ720784 TCT720735:TCV720784 TMP720735:TMR720784 TWL720735:TWN720784 UGH720735:UGJ720784 UQD720735:UQF720784 UZZ720735:VAB720784 VJV720735:VJX720784 VTR720735:VTT720784 WDN720735:WDP720784 WNJ720735:WNL720784 WXF720735:WXH720784 AS786271:AU786320 KT786271:KV786320 UP786271:UR786320 AEL786271:AEN786320 AOH786271:AOJ786320 AYD786271:AYF786320 BHZ786271:BIB786320 BRV786271:BRX786320 CBR786271:CBT786320 CLN786271:CLP786320 CVJ786271:CVL786320 DFF786271:DFH786320 DPB786271:DPD786320 DYX786271:DYZ786320 EIT786271:EIV786320 ESP786271:ESR786320 FCL786271:FCN786320 FMH786271:FMJ786320 FWD786271:FWF786320 GFZ786271:GGB786320 GPV786271:GPX786320 GZR786271:GZT786320 HJN786271:HJP786320 HTJ786271:HTL786320 IDF786271:IDH786320 INB786271:IND786320 IWX786271:IWZ786320 JGT786271:JGV786320 JQP786271:JQR786320 KAL786271:KAN786320 KKH786271:KKJ786320 KUD786271:KUF786320 LDZ786271:LEB786320 LNV786271:LNX786320 LXR786271:LXT786320 MHN786271:MHP786320 MRJ786271:MRL786320 NBF786271:NBH786320 NLB786271:NLD786320 NUX786271:NUZ786320 OET786271:OEV786320 OOP786271:OOR786320 OYL786271:OYN786320 PIH786271:PIJ786320 PSD786271:PSF786320 QBZ786271:QCB786320 QLV786271:QLX786320 QVR786271:QVT786320 RFN786271:RFP786320 RPJ786271:RPL786320 RZF786271:RZH786320 SJB786271:SJD786320 SSX786271:SSZ786320 TCT786271:TCV786320 TMP786271:TMR786320 TWL786271:TWN786320 UGH786271:UGJ786320 UQD786271:UQF786320 UZZ786271:VAB786320 VJV786271:VJX786320 VTR786271:VTT786320 WDN786271:WDP786320 WNJ786271:WNL786320 WXF786271:WXH786320 AS851807:AU851856 KT851807:KV851856 UP851807:UR851856 AEL851807:AEN851856 AOH851807:AOJ851856 AYD851807:AYF851856 BHZ851807:BIB851856 BRV851807:BRX851856 CBR851807:CBT851856 CLN851807:CLP851856 CVJ851807:CVL851856 DFF851807:DFH851856 DPB851807:DPD851856 DYX851807:DYZ851856 EIT851807:EIV851856 ESP851807:ESR851856 FCL851807:FCN851856 FMH851807:FMJ851856 FWD851807:FWF851856 GFZ851807:GGB851856 GPV851807:GPX851856 GZR851807:GZT851856 HJN851807:HJP851856 HTJ851807:HTL851856 IDF851807:IDH851856 INB851807:IND851856 IWX851807:IWZ851856 JGT851807:JGV851856 JQP851807:JQR851856 KAL851807:KAN851856 KKH851807:KKJ851856 KUD851807:KUF851856 LDZ851807:LEB851856 LNV851807:LNX851856 LXR851807:LXT851856 MHN851807:MHP851856 MRJ851807:MRL851856 NBF851807:NBH851856 NLB851807:NLD851856 NUX851807:NUZ851856 OET851807:OEV851856 OOP851807:OOR851856 OYL851807:OYN851856 PIH851807:PIJ851856 PSD851807:PSF851856 QBZ851807:QCB851856 QLV851807:QLX851856 QVR851807:QVT851856 RFN851807:RFP851856 RPJ851807:RPL851856 RZF851807:RZH851856 SJB851807:SJD851856 SSX851807:SSZ851856 TCT851807:TCV851856 TMP851807:TMR851856 TWL851807:TWN851856 UGH851807:UGJ851856 UQD851807:UQF851856 UZZ851807:VAB851856 VJV851807:VJX851856 VTR851807:VTT851856 WDN851807:WDP851856 WNJ851807:WNL851856 WXF851807:WXH851856 AS917343:AU917392 KT917343:KV917392 UP917343:UR917392 AEL917343:AEN917392 AOH917343:AOJ917392 AYD917343:AYF917392 BHZ917343:BIB917392 BRV917343:BRX917392 CBR917343:CBT917392 CLN917343:CLP917392 CVJ917343:CVL917392 DFF917343:DFH917392 DPB917343:DPD917392 DYX917343:DYZ917392 EIT917343:EIV917392 ESP917343:ESR917392 FCL917343:FCN917392 FMH917343:FMJ917392 FWD917343:FWF917392 GFZ917343:GGB917392 GPV917343:GPX917392 GZR917343:GZT917392 HJN917343:HJP917392 HTJ917343:HTL917392 IDF917343:IDH917392 INB917343:IND917392 IWX917343:IWZ917392 JGT917343:JGV917392 JQP917343:JQR917392 KAL917343:KAN917392 KKH917343:KKJ917392 KUD917343:KUF917392 LDZ917343:LEB917392 LNV917343:LNX917392 LXR917343:LXT917392 MHN917343:MHP917392 MRJ917343:MRL917392 NBF917343:NBH917392 NLB917343:NLD917392 NUX917343:NUZ917392 OET917343:OEV917392 OOP917343:OOR917392 OYL917343:OYN917392 PIH917343:PIJ917392 PSD917343:PSF917392 QBZ917343:QCB917392 QLV917343:QLX917392 QVR917343:QVT917392 RFN917343:RFP917392 RPJ917343:RPL917392 RZF917343:RZH917392 SJB917343:SJD917392 SSX917343:SSZ917392 TCT917343:TCV917392 TMP917343:TMR917392 TWL917343:TWN917392 UGH917343:UGJ917392 UQD917343:UQF917392 UZZ917343:VAB917392 VJV917343:VJX917392 VTR917343:VTT917392 WDN917343:WDP917392 WNJ917343:WNL917392 WXF917343:WXH917392 AS982879:AU982928 KT982879:KV982928 UP982879:UR982928 AEL982879:AEN982928 AOH982879:AOJ982928 AYD982879:AYF982928 BHZ982879:BIB982928 BRV982879:BRX982928 CBR982879:CBT982928 CLN982879:CLP982928 CVJ982879:CVL982928 DFF982879:DFH982928 DPB982879:DPD982928 DYX982879:DYZ982928 EIT982879:EIV982928 ESP982879:ESR982928 FCL982879:FCN982928 FMH982879:FMJ982928 FWD982879:FWF982928 GFZ982879:GGB982928 GPV982879:GPX982928 GZR982879:GZT982928 HJN982879:HJP982928 HTJ982879:HTL982928 IDF982879:IDH982928 INB982879:IND982928 IWX982879:IWZ982928 JGT982879:JGV982928 JQP982879:JQR982928 KAL982879:KAN982928 KKH982879:KKJ982928 KUD982879:KUF982928 LDZ982879:LEB982928 LNV982879:LNX982928 LXR982879:LXT982928 MHN982879:MHP982928 MRJ982879:MRL982928 NBF982879:NBH982928 NLB982879:NLD982928 NUX982879:NUZ982928 OET982879:OEV982928 OOP982879:OOR982928 OYL982879:OYN982928 PIH982879:PIJ982928 PSD982879:PSF982928 QBZ982879:QCB982928 QLV982879:QLX982928 QVR982879:QVT982928 RFN982879:RFP982928 RPJ982879:RPL982928 RZF982879:RZH982928 SJB982879:SJD982928 SSX982879:SSZ982928 TCT982879:TCV982928 TMP982879:TMR982928 TWL982879:TWN982928 UGH982879:UGJ982928 UQD982879:UQF982928 UZZ982879:VAB982928 VJV982879:VJX982928 VTR982879:VTT982928 WDN982879:WDP982928 WNJ982879:WNL982928 WXF982879:WXH982928 WXF7:WXH7 WNJ7:WNL7 WDN7:WDP7 VTR7:VTT7 VJV7:VJX7 UZZ7:VAB7 UQD7:UQF7 UGH7:UGJ7 TWL7:TWN7 TMP7:TMR7 TCT7:TCV7 SSX7:SSZ7 SJB7:SJD7 RZF7:RZH7 RPJ7:RPL7 RFN7:RFP7 QVR7:QVT7 QLV7:QLX7 QBZ7:QCB7 PSD7:PSF7 PIH7:PIJ7 OYL7:OYN7 OOP7:OOR7 OET7:OEV7 NUX7:NUZ7 NLB7:NLD7 NBF7:NBH7 MRJ7:MRL7 MHN7:MHP7 LXR7:LXT7 LNV7:LNX7 LDZ7:LEB7 KUD7:KUF7 KKH7:KKJ7 KAL7:KAN7 JQP7:JQR7 JGT7:JGV7 IWX7:IWZ7 INB7:IND7 IDF7:IDH7 HTJ7:HTL7 HJN7:HJP7 GZR7:GZT7 GPV7:GPX7 GFZ7:GGB7 FWD7:FWF7 FMH7:FMJ7 FCL7:FCN7 ESP7:ESR7 EIT7:EIV7 DYX7:DYZ7 DPB7:DPD7 DFF7:DFH7 CVJ7:CVL7 CLN7:CLP7 CBR7:CBT7 BRV7:BRX7 BHZ7:BIB7 AYD7:AYF7 AOH7:AOJ7 AEL7:AEN7 UP7:UR7 KT7:KV7">
      <formula1>0</formula1>
      <formula2>10000000000000</formula2>
    </dataValidation>
    <dataValidation type="whole" allowBlank="1" showInputMessage="1" showErrorMessage="1" sqref="KE65273:KG65479 UA65273:UC65479 ADW65273:ADY65479 ANS65273:ANU65479 AXO65273:AXQ65479 BHK65273:BHM65479 BRG65273:BRI65479 CBC65273:CBE65479 CKY65273:CLA65479 CUU65273:CUW65479 DEQ65273:DES65479 DOM65273:DOO65479 DYI65273:DYK65479 EIE65273:EIG65479 ESA65273:ESC65479 FBW65273:FBY65479 FLS65273:FLU65479 FVO65273:FVQ65479 GFK65273:GFM65479 GPG65273:GPI65479 GZC65273:GZE65479 HIY65273:HJA65479 HSU65273:HSW65479 ICQ65273:ICS65479 IMM65273:IMO65479 IWI65273:IWK65479 JGE65273:JGG65479 JQA65273:JQC65479 JZW65273:JZY65479 KJS65273:KJU65479 KTO65273:KTQ65479 LDK65273:LDM65479 LNG65273:LNI65479 LXC65273:LXE65479 MGY65273:MHA65479 MQU65273:MQW65479 NAQ65273:NAS65479 NKM65273:NKO65479 NUI65273:NUK65479 OEE65273:OEG65479 OOA65273:OOC65479 OXW65273:OXY65479 PHS65273:PHU65479 PRO65273:PRQ65479 QBK65273:QBM65479 QLG65273:QLI65479 QVC65273:QVE65479 REY65273:RFA65479 ROU65273:ROW65479 RYQ65273:RYS65479 SIM65273:SIO65479 SSI65273:SSK65479 TCE65273:TCG65479 TMA65273:TMC65479 TVW65273:TVY65479 UFS65273:UFU65479 UPO65273:UPQ65479 UZK65273:UZM65479 VJG65273:VJI65479 VTC65273:VTE65479 WCY65273:WDA65479 WMU65273:WMW65479 WWQ65273:WWS65479 KE130809:KG131015 UA130809:UC131015 ADW130809:ADY131015 ANS130809:ANU131015 AXO130809:AXQ131015 BHK130809:BHM131015 BRG130809:BRI131015 CBC130809:CBE131015 CKY130809:CLA131015 CUU130809:CUW131015 DEQ130809:DES131015 DOM130809:DOO131015 DYI130809:DYK131015 EIE130809:EIG131015 ESA130809:ESC131015 FBW130809:FBY131015 FLS130809:FLU131015 FVO130809:FVQ131015 GFK130809:GFM131015 GPG130809:GPI131015 GZC130809:GZE131015 HIY130809:HJA131015 HSU130809:HSW131015 ICQ130809:ICS131015 IMM130809:IMO131015 IWI130809:IWK131015 JGE130809:JGG131015 JQA130809:JQC131015 JZW130809:JZY131015 KJS130809:KJU131015 KTO130809:KTQ131015 LDK130809:LDM131015 LNG130809:LNI131015 LXC130809:LXE131015 MGY130809:MHA131015 MQU130809:MQW131015 NAQ130809:NAS131015 NKM130809:NKO131015 NUI130809:NUK131015 OEE130809:OEG131015 OOA130809:OOC131015 OXW130809:OXY131015 PHS130809:PHU131015 PRO130809:PRQ131015 QBK130809:QBM131015 QLG130809:QLI131015 QVC130809:QVE131015 REY130809:RFA131015 ROU130809:ROW131015 RYQ130809:RYS131015 SIM130809:SIO131015 SSI130809:SSK131015 TCE130809:TCG131015 TMA130809:TMC131015 TVW130809:TVY131015 UFS130809:UFU131015 UPO130809:UPQ131015 UZK130809:UZM131015 VJG130809:VJI131015 VTC130809:VTE131015 WCY130809:WDA131015 WMU130809:WMW131015 WWQ130809:WWS131015 KE196345:KG196551 UA196345:UC196551 ADW196345:ADY196551 ANS196345:ANU196551 AXO196345:AXQ196551 BHK196345:BHM196551 BRG196345:BRI196551 CBC196345:CBE196551 CKY196345:CLA196551 CUU196345:CUW196551 DEQ196345:DES196551 DOM196345:DOO196551 DYI196345:DYK196551 EIE196345:EIG196551 ESA196345:ESC196551 FBW196345:FBY196551 FLS196345:FLU196551 FVO196345:FVQ196551 GFK196345:GFM196551 GPG196345:GPI196551 GZC196345:GZE196551 HIY196345:HJA196551 HSU196345:HSW196551 ICQ196345:ICS196551 IMM196345:IMO196551 IWI196345:IWK196551 JGE196345:JGG196551 JQA196345:JQC196551 JZW196345:JZY196551 KJS196345:KJU196551 KTO196345:KTQ196551 LDK196345:LDM196551 LNG196345:LNI196551 LXC196345:LXE196551 MGY196345:MHA196551 MQU196345:MQW196551 NAQ196345:NAS196551 NKM196345:NKO196551 NUI196345:NUK196551 OEE196345:OEG196551 OOA196345:OOC196551 OXW196345:OXY196551 PHS196345:PHU196551 PRO196345:PRQ196551 QBK196345:QBM196551 QLG196345:QLI196551 QVC196345:QVE196551 REY196345:RFA196551 ROU196345:ROW196551 RYQ196345:RYS196551 SIM196345:SIO196551 SSI196345:SSK196551 TCE196345:TCG196551 TMA196345:TMC196551 TVW196345:TVY196551 UFS196345:UFU196551 UPO196345:UPQ196551 UZK196345:UZM196551 VJG196345:VJI196551 VTC196345:VTE196551 WCY196345:WDA196551 WMU196345:WMW196551 WWQ196345:WWS196551 KE261881:KG262087 UA261881:UC262087 ADW261881:ADY262087 ANS261881:ANU262087 AXO261881:AXQ262087 BHK261881:BHM262087 BRG261881:BRI262087 CBC261881:CBE262087 CKY261881:CLA262087 CUU261881:CUW262087 DEQ261881:DES262087 DOM261881:DOO262087 DYI261881:DYK262087 EIE261881:EIG262087 ESA261881:ESC262087 FBW261881:FBY262087 FLS261881:FLU262087 FVO261881:FVQ262087 GFK261881:GFM262087 GPG261881:GPI262087 GZC261881:GZE262087 HIY261881:HJA262087 HSU261881:HSW262087 ICQ261881:ICS262087 IMM261881:IMO262087 IWI261881:IWK262087 JGE261881:JGG262087 JQA261881:JQC262087 JZW261881:JZY262087 KJS261881:KJU262087 KTO261881:KTQ262087 LDK261881:LDM262087 LNG261881:LNI262087 LXC261881:LXE262087 MGY261881:MHA262087 MQU261881:MQW262087 NAQ261881:NAS262087 NKM261881:NKO262087 NUI261881:NUK262087 OEE261881:OEG262087 OOA261881:OOC262087 OXW261881:OXY262087 PHS261881:PHU262087 PRO261881:PRQ262087 QBK261881:QBM262087 QLG261881:QLI262087 QVC261881:QVE262087 REY261881:RFA262087 ROU261881:ROW262087 RYQ261881:RYS262087 SIM261881:SIO262087 SSI261881:SSK262087 TCE261881:TCG262087 TMA261881:TMC262087 TVW261881:TVY262087 UFS261881:UFU262087 UPO261881:UPQ262087 UZK261881:UZM262087 VJG261881:VJI262087 VTC261881:VTE262087 WCY261881:WDA262087 WMU261881:WMW262087 WWQ261881:WWS262087 KE327417:KG327623 UA327417:UC327623 ADW327417:ADY327623 ANS327417:ANU327623 AXO327417:AXQ327623 BHK327417:BHM327623 BRG327417:BRI327623 CBC327417:CBE327623 CKY327417:CLA327623 CUU327417:CUW327623 DEQ327417:DES327623 DOM327417:DOO327623 DYI327417:DYK327623 EIE327417:EIG327623 ESA327417:ESC327623 FBW327417:FBY327623 FLS327417:FLU327623 FVO327417:FVQ327623 GFK327417:GFM327623 GPG327417:GPI327623 GZC327417:GZE327623 HIY327417:HJA327623 HSU327417:HSW327623 ICQ327417:ICS327623 IMM327417:IMO327623 IWI327417:IWK327623 JGE327417:JGG327623 JQA327417:JQC327623 JZW327417:JZY327623 KJS327417:KJU327623 KTO327417:KTQ327623 LDK327417:LDM327623 LNG327417:LNI327623 LXC327417:LXE327623 MGY327417:MHA327623 MQU327417:MQW327623 NAQ327417:NAS327623 NKM327417:NKO327623 NUI327417:NUK327623 OEE327417:OEG327623 OOA327417:OOC327623 OXW327417:OXY327623 PHS327417:PHU327623 PRO327417:PRQ327623 QBK327417:QBM327623 QLG327417:QLI327623 QVC327417:QVE327623 REY327417:RFA327623 ROU327417:ROW327623 RYQ327417:RYS327623 SIM327417:SIO327623 SSI327417:SSK327623 TCE327417:TCG327623 TMA327417:TMC327623 TVW327417:TVY327623 UFS327417:UFU327623 UPO327417:UPQ327623 UZK327417:UZM327623 VJG327417:VJI327623 VTC327417:VTE327623 WCY327417:WDA327623 WMU327417:WMW327623 WWQ327417:WWS327623 KE392953:KG393159 UA392953:UC393159 ADW392953:ADY393159 ANS392953:ANU393159 AXO392953:AXQ393159 BHK392953:BHM393159 BRG392953:BRI393159 CBC392953:CBE393159 CKY392953:CLA393159 CUU392953:CUW393159 DEQ392953:DES393159 DOM392953:DOO393159 DYI392953:DYK393159 EIE392953:EIG393159 ESA392953:ESC393159 FBW392953:FBY393159 FLS392953:FLU393159 FVO392953:FVQ393159 GFK392953:GFM393159 GPG392953:GPI393159 GZC392953:GZE393159 HIY392953:HJA393159 HSU392953:HSW393159 ICQ392953:ICS393159 IMM392953:IMO393159 IWI392953:IWK393159 JGE392953:JGG393159 JQA392953:JQC393159 JZW392953:JZY393159 KJS392953:KJU393159 KTO392953:KTQ393159 LDK392953:LDM393159 LNG392953:LNI393159 LXC392953:LXE393159 MGY392953:MHA393159 MQU392953:MQW393159 NAQ392953:NAS393159 NKM392953:NKO393159 NUI392953:NUK393159 OEE392953:OEG393159 OOA392953:OOC393159 OXW392953:OXY393159 PHS392953:PHU393159 PRO392953:PRQ393159 QBK392953:QBM393159 QLG392953:QLI393159 QVC392953:QVE393159 REY392953:RFA393159 ROU392953:ROW393159 RYQ392953:RYS393159 SIM392953:SIO393159 SSI392953:SSK393159 TCE392953:TCG393159 TMA392953:TMC393159 TVW392953:TVY393159 UFS392953:UFU393159 UPO392953:UPQ393159 UZK392953:UZM393159 VJG392953:VJI393159 VTC392953:VTE393159 WCY392953:WDA393159 WMU392953:WMW393159 WWQ392953:WWS393159 KE458489:KG458695 UA458489:UC458695 ADW458489:ADY458695 ANS458489:ANU458695 AXO458489:AXQ458695 BHK458489:BHM458695 BRG458489:BRI458695 CBC458489:CBE458695 CKY458489:CLA458695 CUU458489:CUW458695 DEQ458489:DES458695 DOM458489:DOO458695 DYI458489:DYK458695 EIE458489:EIG458695 ESA458489:ESC458695 FBW458489:FBY458695 FLS458489:FLU458695 FVO458489:FVQ458695 GFK458489:GFM458695 GPG458489:GPI458695 GZC458489:GZE458695 HIY458489:HJA458695 HSU458489:HSW458695 ICQ458489:ICS458695 IMM458489:IMO458695 IWI458489:IWK458695 JGE458489:JGG458695 JQA458489:JQC458695 JZW458489:JZY458695 KJS458489:KJU458695 KTO458489:KTQ458695 LDK458489:LDM458695 LNG458489:LNI458695 LXC458489:LXE458695 MGY458489:MHA458695 MQU458489:MQW458695 NAQ458489:NAS458695 NKM458489:NKO458695 NUI458489:NUK458695 OEE458489:OEG458695 OOA458489:OOC458695 OXW458489:OXY458695 PHS458489:PHU458695 PRO458489:PRQ458695 QBK458489:QBM458695 QLG458489:QLI458695 QVC458489:QVE458695 REY458489:RFA458695 ROU458489:ROW458695 RYQ458489:RYS458695 SIM458489:SIO458695 SSI458489:SSK458695 TCE458489:TCG458695 TMA458489:TMC458695 TVW458489:TVY458695 UFS458489:UFU458695 UPO458489:UPQ458695 UZK458489:UZM458695 VJG458489:VJI458695 VTC458489:VTE458695 WCY458489:WDA458695 WMU458489:WMW458695 WWQ458489:WWS458695 KE524025:KG524231 UA524025:UC524231 ADW524025:ADY524231 ANS524025:ANU524231 AXO524025:AXQ524231 BHK524025:BHM524231 BRG524025:BRI524231 CBC524025:CBE524231 CKY524025:CLA524231 CUU524025:CUW524231 DEQ524025:DES524231 DOM524025:DOO524231 DYI524025:DYK524231 EIE524025:EIG524231 ESA524025:ESC524231 FBW524025:FBY524231 FLS524025:FLU524231 FVO524025:FVQ524231 GFK524025:GFM524231 GPG524025:GPI524231 GZC524025:GZE524231 HIY524025:HJA524231 HSU524025:HSW524231 ICQ524025:ICS524231 IMM524025:IMO524231 IWI524025:IWK524231 JGE524025:JGG524231 JQA524025:JQC524231 JZW524025:JZY524231 KJS524025:KJU524231 KTO524025:KTQ524231 LDK524025:LDM524231 LNG524025:LNI524231 LXC524025:LXE524231 MGY524025:MHA524231 MQU524025:MQW524231 NAQ524025:NAS524231 NKM524025:NKO524231 NUI524025:NUK524231 OEE524025:OEG524231 OOA524025:OOC524231 OXW524025:OXY524231 PHS524025:PHU524231 PRO524025:PRQ524231 QBK524025:QBM524231 QLG524025:QLI524231 QVC524025:QVE524231 REY524025:RFA524231 ROU524025:ROW524231 RYQ524025:RYS524231 SIM524025:SIO524231 SSI524025:SSK524231 TCE524025:TCG524231 TMA524025:TMC524231 TVW524025:TVY524231 UFS524025:UFU524231 UPO524025:UPQ524231 UZK524025:UZM524231 VJG524025:VJI524231 VTC524025:VTE524231 WCY524025:WDA524231 WMU524025:WMW524231 WWQ524025:WWS524231 KE589561:KG589767 UA589561:UC589767 ADW589561:ADY589767 ANS589561:ANU589767 AXO589561:AXQ589767 BHK589561:BHM589767 BRG589561:BRI589767 CBC589561:CBE589767 CKY589561:CLA589767 CUU589561:CUW589767 DEQ589561:DES589767 DOM589561:DOO589767 DYI589561:DYK589767 EIE589561:EIG589767 ESA589561:ESC589767 FBW589561:FBY589767 FLS589561:FLU589767 FVO589561:FVQ589767 GFK589561:GFM589767 GPG589561:GPI589767 GZC589561:GZE589767 HIY589561:HJA589767 HSU589561:HSW589767 ICQ589561:ICS589767 IMM589561:IMO589767 IWI589561:IWK589767 JGE589561:JGG589767 JQA589561:JQC589767 JZW589561:JZY589767 KJS589561:KJU589767 KTO589561:KTQ589767 LDK589561:LDM589767 LNG589561:LNI589767 LXC589561:LXE589767 MGY589561:MHA589767 MQU589561:MQW589767 NAQ589561:NAS589767 NKM589561:NKO589767 NUI589561:NUK589767 OEE589561:OEG589767 OOA589561:OOC589767 OXW589561:OXY589767 PHS589561:PHU589767 PRO589561:PRQ589767 QBK589561:QBM589767 QLG589561:QLI589767 QVC589561:QVE589767 REY589561:RFA589767 ROU589561:ROW589767 RYQ589561:RYS589767 SIM589561:SIO589767 SSI589561:SSK589767 TCE589561:TCG589767 TMA589561:TMC589767 TVW589561:TVY589767 UFS589561:UFU589767 UPO589561:UPQ589767 UZK589561:UZM589767 VJG589561:VJI589767 VTC589561:VTE589767 WCY589561:WDA589767 WMU589561:WMW589767 WWQ589561:WWS589767 KE655097:KG655303 UA655097:UC655303 ADW655097:ADY655303 ANS655097:ANU655303 AXO655097:AXQ655303 BHK655097:BHM655303 BRG655097:BRI655303 CBC655097:CBE655303 CKY655097:CLA655303 CUU655097:CUW655303 DEQ655097:DES655303 DOM655097:DOO655303 DYI655097:DYK655303 EIE655097:EIG655303 ESA655097:ESC655303 FBW655097:FBY655303 FLS655097:FLU655303 FVO655097:FVQ655303 GFK655097:GFM655303 GPG655097:GPI655303 GZC655097:GZE655303 HIY655097:HJA655303 HSU655097:HSW655303 ICQ655097:ICS655303 IMM655097:IMO655303 IWI655097:IWK655303 JGE655097:JGG655303 JQA655097:JQC655303 JZW655097:JZY655303 KJS655097:KJU655303 KTO655097:KTQ655303 LDK655097:LDM655303 LNG655097:LNI655303 LXC655097:LXE655303 MGY655097:MHA655303 MQU655097:MQW655303 NAQ655097:NAS655303 NKM655097:NKO655303 NUI655097:NUK655303 OEE655097:OEG655303 OOA655097:OOC655303 OXW655097:OXY655303 PHS655097:PHU655303 PRO655097:PRQ655303 QBK655097:QBM655303 QLG655097:QLI655303 QVC655097:QVE655303 REY655097:RFA655303 ROU655097:ROW655303 RYQ655097:RYS655303 SIM655097:SIO655303 SSI655097:SSK655303 TCE655097:TCG655303 TMA655097:TMC655303 TVW655097:TVY655303 UFS655097:UFU655303 UPO655097:UPQ655303 UZK655097:UZM655303 VJG655097:VJI655303 VTC655097:VTE655303 WCY655097:WDA655303 WMU655097:WMW655303 WWQ655097:WWS655303 KE720633:KG720839 UA720633:UC720839 ADW720633:ADY720839 ANS720633:ANU720839 AXO720633:AXQ720839 BHK720633:BHM720839 BRG720633:BRI720839 CBC720633:CBE720839 CKY720633:CLA720839 CUU720633:CUW720839 DEQ720633:DES720839 DOM720633:DOO720839 DYI720633:DYK720839 EIE720633:EIG720839 ESA720633:ESC720839 FBW720633:FBY720839 FLS720633:FLU720839 FVO720633:FVQ720839 GFK720633:GFM720839 GPG720633:GPI720839 GZC720633:GZE720839 HIY720633:HJA720839 HSU720633:HSW720839 ICQ720633:ICS720839 IMM720633:IMO720839 IWI720633:IWK720839 JGE720633:JGG720839 JQA720633:JQC720839 JZW720633:JZY720839 KJS720633:KJU720839 KTO720633:KTQ720839 LDK720633:LDM720839 LNG720633:LNI720839 LXC720633:LXE720839 MGY720633:MHA720839 MQU720633:MQW720839 NAQ720633:NAS720839 NKM720633:NKO720839 NUI720633:NUK720839 OEE720633:OEG720839 OOA720633:OOC720839 OXW720633:OXY720839 PHS720633:PHU720839 PRO720633:PRQ720839 QBK720633:QBM720839 QLG720633:QLI720839 QVC720633:QVE720839 REY720633:RFA720839 ROU720633:ROW720839 RYQ720633:RYS720839 SIM720633:SIO720839 SSI720633:SSK720839 TCE720633:TCG720839 TMA720633:TMC720839 TVW720633:TVY720839 UFS720633:UFU720839 UPO720633:UPQ720839 UZK720633:UZM720839 VJG720633:VJI720839 VTC720633:VTE720839 WCY720633:WDA720839 WMU720633:WMW720839 WWQ720633:WWS720839 KE786169:KG786375 UA786169:UC786375 ADW786169:ADY786375 ANS786169:ANU786375 AXO786169:AXQ786375 BHK786169:BHM786375 BRG786169:BRI786375 CBC786169:CBE786375 CKY786169:CLA786375 CUU786169:CUW786375 DEQ786169:DES786375 DOM786169:DOO786375 DYI786169:DYK786375 EIE786169:EIG786375 ESA786169:ESC786375 FBW786169:FBY786375 FLS786169:FLU786375 FVO786169:FVQ786375 GFK786169:GFM786375 GPG786169:GPI786375 GZC786169:GZE786375 HIY786169:HJA786375 HSU786169:HSW786375 ICQ786169:ICS786375 IMM786169:IMO786375 IWI786169:IWK786375 JGE786169:JGG786375 JQA786169:JQC786375 JZW786169:JZY786375 KJS786169:KJU786375 KTO786169:KTQ786375 LDK786169:LDM786375 LNG786169:LNI786375 LXC786169:LXE786375 MGY786169:MHA786375 MQU786169:MQW786375 NAQ786169:NAS786375 NKM786169:NKO786375 NUI786169:NUK786375 OEE786169:OEG786375 OOA786169:OOC786375 OXW786169:OXY786375 PHS786169:PHU786375 PRO786169:PRQ786375 QBK786169:QBM786375 QLG786169:QLI786375 QVC786169:QVE786375 REY786169:RFA786375 ROU786169:ROW786375 RYQ786169:RYS786375 SIM786169:SIO786375 SSI786169:SSK786375 TCE786169:TCG786375 TMA786169:TMC786375 TVW786169:TVY786375 UFS786169:UFU786375 UPO786169:UPQ786375 UZK786169:UZM786375 VJG786169:VJI786375 VTC786169:VTE786375 WCY786169:WDA786375 WMU786169:WMW786375 WWQ786169:WWS786375 KE851705:KG851911 UA851705:UC851911 ADW851705:ADY851911 ANS851705:ANU851911 AXO851705:AXQ851911 BHK851705:BHM851911 BRG851705:BRI851911 CBC851705:CBE851911 CKY851705:CLA851911 CUU851705:CUW851911 DEQ851705:DES851911 DOM851705:DOO851911 DYI851705:DYK851911 EIE851705:EIG851911 ESA851705:ESC851911 FBW851705:FBY851911 FLS851705:FLU851911 FVO851705:FVQ851911 GFK851705:GFM851911 GPG851705:GPI851911 GZC851705:GZE851911 HIY851705:HJA851911 HSU851705:HSW851911 ICQ851705:ICS851911 IMM851705:IMO851911 IWI851705:IWK851911 JGE851705:JGG851911 JQA851705:JQC851911 JZW851705:JZY851911 KJS851705:KJU851911 KTO851705:KTQ851911 LDK851705:LDM851911 LNG851705:LNI851911 LXC851705:LXE851911 MGY851705:MHA851911 MQU851705:MQW851911 NAQ851705:NAS851911 NKM851705:NKO851911 NUI851705:NUK851911 OEE851705:OEG851911 OOA851705:OOC851911 OXW851705:OXY851911 PHS851705:PHU851911 PRO851705:PRQ851911 QBK851705:QBM851911 QLG851705:QLI851911 QVC851705:QVE851911 REY851705:RFA851911 ROU851705:ROW851911 RYQ851705:RYS851911 SIM851705:SIO851911 SSI851705:SSK851911 TCE851705:TCG851911 TMA851705:TMC851911 TVW851705:TVY851911 UFS851705:UFU851911 UPO851705:UPQ851911 UZK851705:UZM851911 VJG851705:VJI851911 VTC851705:VTE851911 WCY851705:WDA851911 WMU851705:WMW851911 WWQ851705:WWS851911 KE917241:KG917447 UA917241:UC917447 ADW917241:ADY917447 ANS917241:ANU917447 AXO917241:AXQ917447 BHK917241:BHM917447 BRG917241:BRI917447 CBC917241:CBE917447 CKY917241:CLA917447 CUU917241:CUW917447 DEQ917241:DES917447 DOM917241:DOO917447 DYI917241:DYK917447 EIE917241:EIG917447 ESA917241:ESC917447 FBW917241:FBY917447 FLS917241:FLU917447 FVO917241:FVQ917447 GFK917241:GFM917447 GPG917241:GPI917447 GZC917241:GZE917447 HIY917241:HJA917447 HSU917241:HSW917447 ICQ917241:ICS917447 IMM917241:IMO917447 IWI917241:IWK917447 JGE917241:JGG917447 JQA917241:JQC917447 JZW917241:JZY917447 KJS917241:KJU917447 KTO917241:KTQ917447 LDK917241:LDM917447 LNG917241:LNI917447 LXC917241:LXE917447 MGY917241:MHA917447 MQU917241:MQW917447 NAQ917241:NAS917447 NKM917241:NKO917447 NUI917241:NUK917447 OEE917241:OEG917447 OOA917241:OOC917447 OXW917241:OXY917447 PHS917241:PHU917447 PRO917241:PRQ917447 QBK917241:QBM917447 QLG917241:QLI917447 QVC917241:QVE917447 REY917241:RFA917447 ROU917241:ROW917447 RYQ917241:RYS917447 SIM917241:SIO917447 SSI917241:SSK917447 TCE917241:TCG917447 TMA917241:TMC917447 TVW917241:TVY917447 UFS917241:UFU917447 UPO917241:UPQ917447 UZK917241:UZM917447 VJG917241:VJI917447 VTC917241:VTE917447 WCY917241:WDA917447 WMU917241:WMW917447 WWQ917241:WWS917447 KE982777:KG982983 UA982777:UC982983 ADW982777:ADY982983 ANS982777:ANU982983 AXO982777:AXQ982983 BHK982777:BHM982983 BRG982777:BRI982983 CBC982777:CBE982983 CKY982777:CLA982983 CUU982777:CUW982983 DEQ982777:DES982983 DOM982777:DOO982983 DYI982777:DYK982983 EIE982777:EIG982983 ESA982777:ESC982983 FBW982777:FBY982983 FLS982777:FLU982983 FVO982777:FVQ982983 GFK982777:GFM982983 GPG982777:GPI982983 GZC982777:GZE982983 HIY982777:HJA982983 HSU982777:HSW982983 ICQ982777:ICS982983 IMM982777:IMO982983 IWI982777:IWK982983 JGE982777:JGG982983 JQA982777:JQC982983 JZW982777:JZY982983 KJS982777:KJU982983 KTO982777:KTQ982983 LDK982777:LDM982983 LNG982777:LNI982983 LXC982777:LXE982983 MGY982777:MHA982983 MQU982777:MQW982983 NAQ982777:NAS982983 NKM982777:NKO982983 NUI982777:NUK982983 OEE982777:OEG982983 OOA982777:OOC982983 OXW982777:OXY982983 PHS982777:PHU982983 PRO982777:PRQ982983 QBK982777:QBM982983 QLG982777:QLI982983 QVC982777:QVE982983 REY982777:RFA982983 ROU982777:ROW982983 RYQ982777:RYS982983 SIM982777:SIO982983 SSI982777:SSK982983 TCE982777:TCG982983 TMA982777:TMC982983 TVW982777:TVY982983 UFS982777:UFU982983 UPO982777:UPQ982983 UZK982777:UZM982983 VJG982777:VJI982983 VTC982777:VTE982983 WCY982777:WDA982983 WMU982777:WMW982983 WWQ982777:WWS982983 Y982777:AA982983 Y917241:AA917447 Y851705:AA851911 Y786169:AA786375 Y720633:AA720839 Y655097:AA655303 Y589561:AA589767 Y524025:AA524231 Y458489:AA458695 Y392953:AA393159 Y327417:AA327623 Y261881:AA262087 Y196345:AA196551 Y130809:AA131015 Y65273:AA65479 WWQ5:WWS11 KE5:KG11 UA5:UC11 ADW5:ADY11 ANS5:ANU11 AXO5:AXQ11 BHK5:BHM11 BRG5:BRI11 CBC5:CBE11 CKY5:CLA11 CUU5:CUW11 DEQ5:DES11 DOM5:DOO11 DYI5:DYK11 EIE5:EIG11 ESA5:ESC11 FBW5:FBY11 FLS5:FLU11 FVO5:FVQ11 GFK5:GFM11 GPG5:GPI11 GZC5:GZE11 HIY5:HJA11 HSU5:HSW11 ICQ5:ICS11 IMM5:IMO11 IWI5:IWK11 JGE5:JGG11 JQA5:JQC11 JZW5:JZY11 KJS5:KJU11 KTO5:KTQ11 LDK5:LDM11 LNG5:LNI11 LXC5:LXE11 MGY5:MHA11 MQU5:MQW11 NAQ5:NAS11 NKM5:NKO11 NUI5:NUK11 OEE5:OEG11 OOA5:OOC11 OXW5:OXY11 PHS5:PHU11 PRO5:PRQ11 QBK5:QBM11 QLG5:QLI11 QVC5:QVE11 REY5:RFA11 ROU5:ROW11 RYQ5:RYS11 SIM5:SIO11 SSI5:SSK11 TCE5:TCG11 TMA5:TMC11 TVW5:TVY11 UFS5:UFU11 UPO5:UPQ11 UZK5:UZM11 VJG5:VJI11 VTC5:VTE11 WCY5:WDA11 WMU5:WMW11">
      <formula1>0</formula1>
      <formula2>10000000000000000</formula2>
    </dataValidation>
    <dataValidation type="whole" allowBlank="1" showInputMessage="1" showErrorMessage="1" sqref="AB65273:AC65479 KH65273:KI65479 UD65273:UE65479 ADZ65273:AEA65479 ANV65273:ANW65479 AXR65273:AXS65479 BHN65273:BHO65479 BRJ65273:BRK65479 CBF65273:CBG65479 CLB65273:CLC65479 CUX65273:CUY65479 DET65273:DEU65479 DOP65273:DOQ65479 DYL65273:DYM65479 EIH65273:EII65479 ESD65273:ESE65479 FBZ65273:FCA65479 FLV65273:FLW65479 FVR65273:FVS65479 GFN65273:GFO65479 GPJ65273:GPK65479 GZF65273:GZG65479 HJB65273:HJC65479 HSX65273:HSY65479 ICT65273:ICU65479 IMP65273:IMQ65479 IWL65273:IWM65479 JGH65273:JGI65479 JQD65273:JQE65479 JZZ65273:KAA65479 KJV65273:KJW65479 KTR65273:KTS65479 LDN65273:LDO65479 LNJ65273:LNK65479 LXF65273:LXG65479 MHB65273:MHC65479 MQX65273:MQY65479 NAT65273:NAU65479 NKP65273:NKQ65479 NUL65273:NUM65479 OEH65273:OEI65479 OOD65273:OOE65479 OXZ65273:OYA65479 PHV65273:PHW65479 PRR65273:PRS65479 QBN65273:QBO65479 QLJ65273:QLK65479 QVF65273:QVG65479 RFB65273:RFC65479 ROX65273:ROY65479 RYT65273:RYU65479 SIP65273:SIQ65479 SSL65273:SSM65479 TCH65273:TCI65479 TMD65273:TME65479 TVZ65273:TWA65479 UFV65273:UFW65479 UPR65273:UPS65479 UZN65273:UZO65479 VJJ65273:VJK65479 VTF65273:VTG65479 WDB65273:WDC65479 WMX65273:WMY65479 WWT65273:WWU65479 AB130809:AC131015 KH130809:KI131015 UD130809:UE131015 ADZ130809:AEA131015 ANV130809:ANW131015 AXR130809:AXS131015 BHN130809:BHO131015 BRJ130809:BRK131015 CBF130809:CBG131015 CLB130809:CLC131015 CUX130809:CUY131015 DET130809:DEU131015 DOP130809:DOQ131015 DYL130809:DYM131015 EIH130809:EII131015 ESD130809:ESE131015 FBZ130809:FCA131015 FLV130809:FLW131015 FVR130809:FVS131015 GFN130809:GFO131015 GPJ130809:GPK131015 GZF130809:GZG131015 HJB130809:HJC131015 HSX130809:HSY131015 ICT130809:ICU131015 IMP130809:IMQ131015 IWL130809:IWM131015 JGH130809:JGI131015 JQD130809:JQE131015 JZZ130809:KAA131015 KJV130809:KJW131015 KTR130809:KTS131015 LDN130809:LDO131015 LNJ130809:LNK131015 LXF130809:LXG131015 MHB130809:MHC131015 MQX130809:MQY131015 NAT130809:NAU131015 NKP130809:NKQ131015 NUL130809:NUM131015 OEH130809:OEI131015 OOD130809:OOE131015 OXZ130809:OYA131015 PHV130809:PHW131015 PRR130809:PRS131015 QBN130809:QBO131015 QLJ130809:QLK131015 QVF130809:QVG131015 RFB130809:RFC131015 ROX130809:ROY131015 RYT130809:RYU131015 SIP130809:SIQ131015 SSL130809:SSM131015 TCH130809:TCI131015 TMD130809:TME131015 TVZ130809:TWA131015 UFV130809:UFW131015 UPR130809:UPS131015 UZN130809:UZO131015 VJJ130809:VJK131015 VTF130809:VTG131015 WDB130809:WDC131015 WMX130809:WMY131015 WWT130809:WWU131015 AB196345:AC196551 KH196345:KI196551 UD196345:UE196551 ADZ196345:AEA196551 ANV196345:ANW196551 AXR196345:AXS196551 BHN196345:BHO196551 BRJ196345:BRK196551 CBF196345:CBG196551 CLB196345:CLC196551 CUX196345:CUY196551 DET196345:DEU196551 DOP196345:DOQ196551 DYL196345:DYM196551 EIH196345:EII196551 ESD196345:ESE196551 FBZ196345:FCA196551 FLV196345:FLW196551 FVR196345:FVS196551 GFN196345:GFO196551 GPJ196345:GPK196551 GZF196345:GZG196551 HJB196345:HJC196551 HSX196345:HSY196551 ICT196345:ICU196551 IMP196345:IMQ196551 IWL196345:IWM196551 JGH196345:JGI196551 JQD196345:JQE196551 JZZ196345:KAA196551 KJV196345:KJW196551 KTR196345:KTS196551 LDN196345:LDO196551 LNJ196345:LNK196551 LXF196345:LXG196551 MHB196345:MHC196551 MQX196345:MQY196551 NAT196345:NAU196551 NKP196345:NKQ196551 NUL196345:NUM196551 OEH196345:OEI196551 OOD196345:OOE196551 OXZ196345:OYA196551 PHV196345:PHW196551 PRR196345:PRS196551 QBN196345:QBO196551 QLJ196345:QLK196551 QVF196345:QVG196551 RFB196345:RFC196551 ROX196345:ROY196551 RYT196345:RYU196551 SIP196345:SIQ196551 SSL196345:SSM196551 TCH196345:TCI196551 TMD196345:TME196551 TVZ196345:TWA196551 UFV196345:UFW196551 UPR196345:UPS196551 UZN196345:UZO196551 VJJ196345:VJK196551 VTF196345:VTG196551 WDB196345:WDC196551 WMX196345:WMY196551 WWT196345:WWU196551 AB261881:AC262087 KH261881:KI262087 UD261881:UE262087 ADZ261881:AEA262087 ANV261881:ANW262087 AXR261881:AXS262087 BHN261881:BHO262087 BRJ261881:BRK262087 CBF261881:CBG262087 CLB261881:CLC262087 CUX261881:CUY262087 DET261881:DEU262087 DOP261881:DOQ262087 DYL261881:DYM262087 EIH261881:EII262087 ESD261881:ESE262087 FBZ261881:FCA262087 FLV261881:FLW262087 FVR261881:FVS262087 GFN261881:GFO262087 GPJ261881:GPK262087 GZF261881:GZG262087 HJB261881:HJC262087 HSX261881:HSY262087 ICT261881:ICU262087 IMP261881:IMQ262087 IWL261881:IWM262087 JGH261881:JGI262087 JQD261881:JQE262087 JZZ261881:KAA262087 KJV261881:KJW262087 KTR261881:KTS262087 LDN261881:LDO262087 LNJ261881:LNK262087 LXF261881:LXG262087 MHB261881:MHC262087 MQX261881:MQY262087 NAT261881:NAU262087 NKP261881:NKQ262087 NUL261881:NUM262087 OEH261881:OEI262087 OOD261881:OOE262087 OXZ261881:OYA262087 PHV261881:PHW262087 PRR261881:PRS262087 QBN261881:QBO262087 QLJ261881:QLK262087 QVF261881:QVG262087 RFB261881:RFC262087 ROX261881:ROY262087 RYT261881:RYU262087 SIP261881:SIQ262087 SSL261881:SSM262087 TCH261881:TCI262087 TMD261881:TME262087 TVZ261881:TWA262087 UFV261881:UFW262087 UPR261881:UPS262087 UZN261881:UZO262087 VJJ261881:VJK262087 VTF261881:VTG262087 WDB261881:WDC262087 WMX261881:WMY262087 WWT261881:WWU262087 AB327417:AC327623 KH327417:KI327623 UD327417:UE327623 ADZ327417:AEA327623 ANV327417:ANW327623 AXR327417:AXS327623 BHN327417:BHO327623 BRJ327417:BRK327623 CBF327417:CBG327623 CLB327417:CLC327623 CUX327417:CUY327623 DET327417:DEU327623 DOP327417:DOQ327623 DYL327417:DYM327623 EIH327417:EII327623 ESD327417:ESE327623 FBZ327417:FCA327623 FLV327417:FLW327623 FVR327417:FVS327623 GFN327417:GFO327623 GPJ327417:GPK327623 GZF327417:GZG327623 HJB327417:HJC327623 HSX327417:HSY327623 ICT327417:ICU327623 IMP327417:IMQ327623 IWL327417:IWM327623 JGH327417:JGI327623 JQD327417:JQE327623 JZZ327417:KAA327623 KJV327417:KJW327623 KTR327417:KTS327623 LDN327417:LDO327623 LNJ327417:LNK327623 LXF327417:LXG327623 MHB327417:MHC327623 MQX327417:MQY327623 NAT327417:NAU327623 NKP327417:NKQ327623 NUL327417:NUM327623 OEH327417:OEI327623 OOD327417:OOE327623 OXZ327417:OYA327623 PHV327417:PHW327623 PRR327417:PRS327623 QBN327417:QBO327623 QLJ327417:QLK327623 QVF327417:QVG327623 RFB327417:RFC327623 ROX327417:ROY327623 RYT327417:RYU327623 SIP327417:SIQ327623 SSL327417:SSM327623 TCH327417:TCI327623 TMD327417:TME327623 TVZ327417:TWA327623 UFV327417:UFW327623 UPR327417:UPS327623 UZN327417:UZO327623 VJJ327417:VJK327623 VTF327417:VTG327623 WDB327417:WDC327623 WMX327417:WMY327623 WWT327417:WWU327623 AB392953:AC393159 KH392953:KI393159 UD392953:UE393159 ADZ392953:AEA393159 ANV392953:ANW393159 AXR392953:AXS393159 BHN392953:BHO393159 BRJ392953:BRK393159 CBF392953:CBG393159 CLB392953:CLC393159 CUX392953:CUY393159 DET392953:DEU393159 DOP392953:DOQ393159 DYL392953:DYM393159 EIH392953:EII393159 ESD392953:ESE393159 FBZ392953:FCA393159 FLV392953:FLW393159 FVR392953:FVS393159 GFN392953:GFO393159 GPJ392953:GPK393159 GZF392953:GZG393159 HJB392953:HJC393159 HSX392953:HSY393159 ICT392953:ICU393159 IMP392953:IMQ393159 IWL392953:IWM393159 JGH392953:JGI393159 JQD392953:JQE393159 JZZ392953:KAA393159 KJV392953:KJW393159 KTR392953:KTS393159 LDN392953:LDO393159 LNJ392953:LNK393159 LXF392953:LXG393159 MHB392953:MHC393159 MQX392953:MQY393159 NAT392953:NAU393159 NKP392953:NKQ393159 NUL392953:NUM393159 OEH392953:OEI393159 OOD392953:OOE393159 OXZ392953:OYA393159 PHV392953:PHW393159 PRR392953:PRS393159 QBN392953:QBO393159 QLJ392953:QLK393159 QVF392953:QVG393159 RFB392953:RFC393159 ROX392953:ROY393159 RYT392953:RYU393159 SIP392953:SIQ393159 SSL392953:SSM393159 TCH392953:TCI393159 TMD392953:TME393159 TVZ392953:TWA393159 UFV392953:UFW393159 UPR392953:UPS393159 UZN392953:UZO393159 VJJ392953:VJK393159 VTF392953:VTG393159 WDB392953:WDC393159 WMX392953:WMY393159 WWT392953:WWU393159 AB458489:AC458695 KH458489:KI458695 UD458489:UE458695 ADZ458489:AEA458695 ANV458489:ANW458695 AXR458489:AXS458695 BHN458489:BHO458695 BRJ458489:BRK458695 CBF458489:CBG458695 CLB458489:CLC458695 CUX458489:CUY458695 DET458489:DEU458695 DOP458489:DOQ458695 DYL458489:DYM458695 EIH458489:EII458695 ESD458489:ESE458695 FBZ458489:FCA458695 FLV458489:FLW458695 FVR458489:FVS458695 GFN458489:GFO458695 GPJ458489:GPK458695 GZF458489:GZG458695 HJB458489:HJC458695 HSX458489:HSY458695 ICT458489:ICU458695 IMP458489:IMQ458695 IWL458489:IWM458695 JGH458489:JGI458695 JQD458489:JQE458695 JZZ458489:KAA458695 KJV458489:KJW458695 KTR458489:KTS458695 LDN458489:LDO458695 LNJ458489:LNK458695 LXF458489:LXG458695 MHB458489:MHC458695 MQX458489:MQY458695 NAT458489:NAU458695 NKP458489:NKQ458695 NUL458489:NUM458695 OEH458489:OEI458695 OOD458489:OOE458695 OXZ458489:OYA458695 PHV458489:PHW458695 PRR458489:PRS458695 QBN458489:QBO458695 QLJ458489:QLK458695 QVF458489:QVG458695 RFB458489:RFC458695 ROX458489:ROY458695 RYT458489:RYU458695 SIP458489:SIQ458695 SSL458489:SSM458695 TCH458489:TCI458695 TMD458489:TME458695 TVZ458489:TWA458695 UFV458489:UFW458695 UPR458489:UPS458695 UZN458489:UZO458695 VJJ458489:VJK458695 VTF458489:VTG458695 WDB458489:WDC458695 WMX458489:WMY458695 WWT458489:WWU458695 AB524025:AC524231 KH524025:KI524231 UD524025:UE524231 ADZ524025:AEA524231 ANV524025:ANW524231 AXR524025:AXS524231 BHN524025:BHO524231 BRJ524025:BRK524231 CBF524025:CBG524231 CLB524025:CLC524231 CUX524025:CUY524231 DET524025:DEU524231 DOP524025:DOQ524231 DYL524025:DYM524231 EIH524025:EII524231 ESD524025:ESE524231 FBZ524025:FCA524231 FLV524025:FLW524231 FVR524025:FVS524231 GFN524025:GFO524231 GPJ524025:GPK524231 GZF524025:GZG524231 HJB524025:HJC524231 HSX524025:HSY524231 ICT524025:ICU524231 IMP524025:IMQ524231 IWL524025:IWM524231 JGH524025:JGI524231 JQD524025:JQE524231 JZZ524025:KAA524231 KJV524025:KJW524231 KTR524025:KTS524231 LDN524025:LDO524231 LNJ524025:LNK524231 LXF524025:LXG524231 MHB524025:MHC524231 MQX524025:MQY524231 NAT524025:NAU524231 NKP524025:NKQ524231 NUL524025:NUM524231 OEH524025:OEI524231 OOD524025:OOE524231 OXZ524025:OYA524231 PHV524025:PHW524231 PRR524025:PRS524231 QBN524025:QBO524231 QLJ524025:QLK524231 QVF524025:QVG524231 RFB524025:RFC524231 ROX524025:ROY524231 RYT524025:RYU524231 SIP524025:SIQ524231 SSL524025:SSM524231 TCH524025:TCI524231 TMD524025:TME524231 TVZ524025:TWA524231 UFV524025:UFW524231 UPR524025:UPS524231 UZN524025:UZO524231 VJJ524025:VJK524231 VTF524025:VTG524231 WDB524025:WDC524231 WMX524025:WMY524231 WWT524025:WWU524231 AB589561:AC589767 KH589561:KI589767 UD589561:UE589767 ADZ589561:AEA589767 ANV589561:ANW589767 AXR589561:AXS589767 BHN589561:BHO589767 BRJ589561:BRK589767 CBF589561:CBG589767 CLB589561:CLC589767 CUX589561:CUY589767 DET589561:DEU589767 DOP589561:DOQ589767 DYL589561:DYM589767 EIH589561:EII589767 ESD589561:ESE589767 FBZ589561:FCA589767 FLV589561:FLW589767 FVR589561:FVS589767 GFN589561:GFO589767 GPJ589561:GPK589767 GZF589561:GZG589767 HJB589561:HJC589767 HSX589561:HSY589767 ICT589561:ICU589767 IMP589561:IMQ589767 IWL589561:IWM589767 JGH589561:JGI589767 JQD589561:JQE589767 JZZ589561:KAA589767 KJV589561:KJW589767 KTR589561:KTS589767 LDN589561:LDO589767 LNJ589561:LNK589767 LXF589561:LXG589767 MHB589561:MHC589767 MQX589561:MQY589767 NAT589561:NAU589767 NKP589561:NKQ589767 NUL589561:NUM589767 OEH589561:OEI589767 OOD589561:OOE589767 OXZ589561:OYA589767 PHV589561:PHW589767 PRR589561:PRS589767 QBN589561:QBO589767 QLJ589561:QLK589767 QVF589561:QVG589767 RFB589561:RFC589767 ROX589561:ROY589767 RYT589561:RYU589767 SIP589561:SIQ589767 SSL589561:SSM589767 TCH589561:TCI589767 TMD589561:TME589767 TVZ589561:TWA589767 UFV589561:UFW589767 UPR589561:UPS589767 UZN589561:UZO589767 VJJ589561:VJK589767 VTF589561:VTG589767 WDB589561:WDC589767 WMX589561:WMY589767 WWT589561:WWU589767 AB655097:AC655303 KH655097:KI655303 UD655097:UE655303 ADZ655097:AEA655303 ANV655097:ANW655303 AXR655097:AXS655303 BHN655097:BHO655303 BRJ655097:BRK655303 CBF655097:CBG655303 CLB655097:CLC655303 CUX655097:CUY655303 DET655097:DEU655303 DOP655097:DOQ655303 DYL655097:DYM655303 EIH655097:EII655303 ESD655097:ESE655303 FBZ655097:FCA655303 FLV655097:FLW655303 FVR655097:FVS655303 GFN655097:GFO655303 GPJ655097:GPK655303 GZF655097:GZG655303 HJB655097:HJC655303 HSX655097:HSY655303 ICT655097:ICU655303 IMP655097:IMQ655303 IWL655097:IWM655303 JGH655097:JGI655303 JQD655097:JQE655303 JZZ655097:KAA655303 KJV655097:KJW655303 KTR655097:KTS655303 LDN655097:LDO655303 LNJ655097:LNK655303 LXF655097:LXG655303 MHB655097:MHC655303 MQX655097:MQY655303 NAT655097:NAU655303 NKP655097:NKQ655303 NUL655097:NUM655303 OEH655097:OEI655303 OOD655097:OOE655303 OXZ655097:OYA655303 PHV655097:PHW655303 PRR655097:PRS655303 QBN655097:QBO655303 QLJ655097:QLK655303 QVF655097:QVG655303 RFB655097:RFC655303 ROX655097:ROY655303 RYT655097:RYU655303 SIP655097:SIQ655303 SSL655097:SSM655303 TCH655097:TCI655303 TMD655097:TME655303 TVZ655097:TWA655303 UFV655097:UFW655303 UPR655097:UPS655303 UZN655097:UZO655303 VJJ655097:VJK655303 VTF655097:VTG655303 WDB655097:WDC655303 WMX655097:WMY655303 WWT655097:WWU655303 AB720633:AC720839 KH720633:KI720839 UD720633:UE720839 ADZ720633:AEA720839 ANV720633:ANW720839 AXR720633:AXS720839 BHN720633:BHO720839 BRJ720633:BRK720839 CBF720633:CBG720839 CLB720633:CLC720839 CUX720633:CUY720839 DET720633:DEU720839 DOP720633:DOQ720839 DYL720633:DYM720839 EIH720633:EII720839 ESD720633:ESE720839 FBZ720633:FCA720839 FLV720633:FLW720839 FVR720633:FVS720839 GFN720633:GFO720839 GPJ720633:GPK720839 GZF720633:GZG720839 HJB720633:HJC720839 HSX720633:HSY720839 ICT720633:ICU720839 IMP720633:IMQ720839 IWL720633:IWM720839 JGH720633:JGI720839 JQD720633:JQE720839 JZZ720633:KAA720839 KJV720633:KJW720839 KTR720633:KTS720839 LDN720633:LDO720839 LNJ720633:LNK720839 LXF720633:LXG720839 MHB720633:MHC720839 MQX720633:MQY720839 NAT720633:NAU720839 NKP720633:NKQ720839 NUL720633:NUM720839 OEH720633:OEI720839 OOD720633:OOE720839 OXZ720633:OYA720839 PHV720633:PHW720839 PRR720633:PRS720839 QBN720633:QBO720839 QLJ720633:QLK720839 QVF720633:QVG720839 RFB720633:RFC720839 ROX720633:ROY720839 RYT720633:RYU720839 SIP720633:SIQ720839 SSL720633:SSM720839 TCH720633:TCI720839 TMD720633:TME720839 TVZ720633:TWA720839 UFV720633:UFW720839 UPR720633:UPS720839 UZN720633:UZO720839 VJJ720633:VJK720839 VTF720633:VTG720839 WDB720633:WDC720839 WMX720633:WMY720839 WWT720633:WWU720839 AB786169:AC786375 KH786169:KI786375 UD786169:UE786375 ADZ786169:AEA786375 ANV786169:ANW786375 AXR786169:AXS786375 BHN786169:BHO786375 BRJ786169:BRK786375 CBF786169:CBG786375 CLB786169:CLC786375 CUX786169:CUY786375 DET786169:DEU786375 DOP786169:DOQ786375 DYL786169:DYM786375 EIH786169:EII786375 ESD786169:ESE786375 FBZ786169:FCA786375 FLV786169:FLW786375 FVR786169:FVS786375 GFN786169:GFO786375 GPJ786169:GPK786375 GZF786169:GZG786375 HJB786169:HJC786375 HSX786169:HSY786375 ICT786169:ICU786375 IMP786169:IMQ786375 IWL786169:IWM786375 JGH786169:JGI786375 JQD786169:JQE786375 JZZ786169:KAA786375 KJV786169:KJW786375 KTR786169:KTS786375 LDN786169:LDO786375 LNJ786169:LNK786375 LXF786169:LXG786375 MHB786169:MHC786375 MQX786169:MQY786375 NAT786169:NAU786375 NKP786169:NKQ786375 NUL786169:NUM786375 OEH786169:OEI786375 OOD786169:OOE786375 OXZ786169:OYA786375 PHV786169:PHW786375 PRR786169:PRS786375 QBN786169:QBO786375 QLJ786169:QLK786375 QVF786169:QVG786375 RFB786169:RFC786375 ROX786169:ROY786375 RYT786169:RYU786375 SIP786169:SIQ786375 SSL786169:SSM786375 TCH786169:TCI786375 TMD786169:TME786375 TVZ786169:TWA786375 UFV786169:UFW786375 UPR786169:UPS786375 UZN786169:UZO786375 VJJ786169:VJK786375 VTF786169:VTG786375 WDB786169:WDC786375 WMX786169:WMY786375 WWT786169:WWU786375 AB851705:AC851911 KH851705:KI851911 UD851705:UE851911 ADZ851705:AEA851911 ANV851705:ANW851911 AXR851705:AXS851911 BHN851705:BHO851911 BRJ851705:BRK851911 CBF851705:CBG851911 CLB851705:CLC851911 CUX851705:CUY851911 DET851705:DEU851911 DOP851705:DOQ851911 DYL851705:DYM851911 EIH851705:EII851911 ESD851705:ESE851911 FBZ851705:FCA851911 FLV851705:FLW851911 FVR851705:FVS851911 GFN851705:GFO851911 GPJ851705:GPK851911 GZF851705:GZG851911 HJB851705:HJC851911 HSX851705:HSY851911 ICT851705:ICU851911 IMP851705:IMQ851911 IWL851705:IWM851911 JGH851705:JGI851911 JQD851705:JQE851911 JZZ851705:KAA851911 KJV851705:KJW851911 KTR851705:KTS851911 LDN851705:LDO851911 LNJ851705:LNK851911 LXF851705:LXG851911 MHB851705:MHC851911 MQX851705:MQY851911 NAT851705:NAU851911 NKP851705:NKQ851911 NUL851705:NUM851911 OEH851705:OEI851911 OOD851705:OOE851911 OXZ851705:OYA851911 PHV851705:PHW851911 PRR851705:PRS851911 QBN851705:QBO851911 QLJ851705:QLK851911 QVF851705:QVG851911 RFB851705:RFC851911 ROX851705:ROY851911 RYT851705:RYU851911 SIP851705:SIQ851911 SSL851705:SSM851911 TCH851705:TCI851911 TMD851705:TME851911 TVZ851705:TWA851911 UFV851705:UFW851911 UPR851705:UPS851911 UZN851705:UZO851911 VJJ851705:VJK851911 VTF851705:VTG851911 WDB851705:WDC851911 WMX851705:WMY851911 WWT851705:WWU851911 AB917241:AC917447 KH917241:KI917447 UD917241:UE917447 ADZ917241:AEA917447 ANV917241:ANW917447 AXR917241:AXS917447 BHN917241:BHO917447 BRJ917241:BRK917447 CBF917241:CBG917447 CLB917241:CLC917447 CUX917241:CUY917447 DET917241:DEU917447 DOP917241:DOQ917447 DYL917241:DYM917447 EIH917241:EII917447 ESD917241:ESE917447 FBZ917241:FCA917447 FLV917241:FLW917447 FVR917241:FVS917447 GFN917241:GFO917447 GPJ917241:GPK917447 GZF917241:GZG917447 HJB917241:HJC917447 HSX917241:HSY917447 ICT917241:ICU917447 IMP917241:IMQ917447 IWL917241:IWM917447 JGH917241:JGI917447 JQD917241:JQE917447 JZZ917241:KAA917447 KJV917241:KJW917447 KTR917241:KTS917447 LDN917241:LDO917447 LNJ917241:LNK917447 LXF917241:LXG917447 MHB917241:MHC917447 MQX917241:MQY917447 NAT917241:NAU917447 NKP917241:NKQ917447 NUL917241:NUM917447 OEH917241:OEI917447 OOD917241:OOE917447 OXZ917241:OYA917447 PHV917241:PHW917447 PRR917241:PRS917447 QBN917241:QBO917447 QLJ917241:QLK917447 QVF917241:QVG917447 RFB917241:RFC917447 ROX917241:ROY917447 RYT917241:RYU917447 SIP917241:SIQ917447 SSL917241:SSM917447 TCH917241:TCI917447 TMD917241:TME917447 TVZ917241:TWA917447 UFV917241:UFW917447 UPR917241:UPS917447 UZN917241:UZO917447 VJJ917241:VJK917447 VTF917241:VTG917447 WDB917241:WDC917447 WMX917241:WMY917447 WWT917241:WWU917447 AB982777:AC982983 KH982777:KI982983 UD982777:UE982983 ADZ982777:AEA982983 ANV982777:ANW982983 AXR982777:AXS982983 BHN982777:BHO982983 BRJ982777:BRK982983 CBF982777:CBG982983 CLB982777:CLC982983 CUX982777:CUY982983 DET982777:DEU982983 DOP982777:DOQ982983 DYL982777:DYM982983 EIH982777:EII982983 ESD982777:ESE982983 FBZ982777:FCA982983 FLV982777:FLW982983 FVR982777:FVS982983 GFN982777:GFO982983 GPJ982777:GPK982983 GZF982777:GZG982983 HJB982777:HJC982983 HSX982777:HSY982983 ICT982777:ICU982983 IMP982777:IMQ982983 IWL982777:IWM982983 JGH982777:JGI982983 JQD982777:JQE982983 JZZ982777:KAA982983 KJV982777:KJW982983 KTR982777:KTS982983 LDN982777:LDO982983 LNJ982777:LNK982983 LXF982777:LXG982983 MHB982777:MHC982983 MQX982777:MQY982983 NAT982777:NAU982983 NKP982777:NKQ982983 NUL982777:NUM982983 OEH982777:OEI982983 OOD982777:OOE982983 OXZ982777:OYA982983 PHV982777:PHW982983 PRR982777:PRS982983 QBN982777:QBO982983 QLJ982777:QLK982983 QVF982777:QVG982983 RFB982777:RFC982983 ROX982777:ROY982983 RYT982777:RYU982983 SIP982777:SIQ982983 SSL982777:SSM982983 TCH982777:TCI982983 TMD982777:TME982983 TVZ982777:TWA982983 UFV982777:UFW982983 UPR982777:UPS982983 UZN982777:UZO982983 VJJ982777:VJK982983 VTF982777:VTG982983 WDB982777:WDC982983 WMX982777:WMY982983 WWT982777:WWU982983 WWT5:WWU11 KH5:KI11 UD5:UE11 ADZ5:AEA11 ANV5:ANW11 AXR5:AXS11 BHN5:BHO11 BRJ5:BRK11 CBF5:CBG11 CLB5:CLC11 CUX5:CUY11 DET5:DEU11 DOP5:DOQ11 DYL5:DYM11 EIH5:EII11 ESD5:ESE11 FBZ5:FCA11 FLV5:FLW11 FVR5:FVS11 GFN5:GFO11 GPJ5:GPK11 GZF5:GZG11 HJB5:HJC11 HSX5:HSY11 ICT5:ICU11 IMP5:IMQ11 IWL5:IWM11 JGH5:JGI11 JQD5:JQE11 JZZ5:KAA11 KJV5:KJW11 KTR5:KTS11 LDN5:LDO11 LNJ5:LNK11 LXF5:LXG11 MHB5:MHC11 MQX5:MQY11 NAT5:NAU11 NKP5:NKQ11 NUL5:NUM11 OEH5:OEI11 OOD5:OOE11 OXZ5:OYA11 PHV5:PHW11 PRR5:PRS11 QBN5:QBO11 QLJ5:QLK11 QVF5:QVG11 RFB5:RFC11 ROX5:ROY11 RYT5:RYU11 SIP5:SIQ11 SSL5:SSM11 TCH5:TCI11 TMD5:TME11 TVZ5:TWA11 UFV5:UFW11 UPR5:UPS11 UZN5:UZO11 VJJ5:VJK11 VTF5:VTG11 WDB5:WDC11 WMX5:WMY11">
      <formula1>0</formula1>
      <formula2>100</formula2>
    </dataValidation>
    <dataValidation type="whole" allowBlank="1" showInputMessage="1" showErrorMessage="1" sqref="BC65273:BC65479 KZ65273:KZ65479 UV65273:UV65479 AER65273:AER65479 AON65273:AON65479 AYJ65273:AYJ65479 BIF65273:BIF65479 BSB65273:BSB65479 CBX65273:CBX65479 CLT65273:CLT65479 CVP65273:CVP65479 DFL65273:DFL65479 DPH65273:DPH65479 DZD65273:DZD65479 EIZ65273:EIZ65479 ESV65273:ESV65479 FCR65273:FCR65479 FMN65273:FMN65479 FWJ65273:FWJ65479 GGF65273:GGF65479 GQB65273:GQB65479 GZX65273:GZX65479 HJT65273:HJT65479 HTP65273:HTP65479 IDL65273:IDL65479 INH65273:INH65479 IXD65273:IXD65479 JGZ65273:JGZ65479 JQV65273:JQV65479 KAR65273:KAR65479 KKN65273:KKN65479 KUJ65273:KUJ65479 LEF65273:LEF65479 LOB65273:LOB65479 LXX65273:LXX65479 MHT65273:MHT65479 MRP65273:MRP65479 NBL65273:NBL65479 NLH65273:NLH65479 NVD65273:NVD65479 OEZ65273:OEZ65479 OOV65273:OOV65479 OYR65273:OYR65479 PIN65273:PIN65479 PSJ65273:PSJ65479 QCF65273:QCF65479 QMB65273:QMB65479 QVX65273:QVX65479 RFT65273:RFT65479 RPP65273:RPP65479 RZL65273:RZL65479 SJH65273:SJH65479 STD65273:STD65479 TCZ65273:TCZ65479 TMV65273:TMV65479 TWR65273:TWR65479 UGN65273:UGN65479 UQJ65273:UQJ65479 VAF65273:VAF65479 VKB65273:VKB65479 VTX65273:VTX65479 WDT65273:WDT65479 WNP65273:WNP65479 WXL65273:WXL65479 BC130809:BC131015 KZ130809:KZ131015 UV130809:UV131015 AER130809:AER131015 AON130809:AON131015 AYJ130809:AYJ131015 BIF130809:BIF131015 BSB130809:BSB131015 CBX130809:CBX131015 CLT130809:CLT131015 CVP130809:CVP131015 DFL130809:DFL131015 DPH130809:DPH131015 DZD130809:DZD131015 EIZ130809:EIZ131015 ESV130809:ESV131015 FCR130809:FCR131015 FMN130809:FMN131015 FWJ130809:FWJ131015 GGF130809:GGF131015 GQB130809:GQB131015 GZX130809:GZX131015 HJT130809:HJT131015 HTP130809:HTP131015 IDL130809:IDL131015 INH130809:INH131015 IXD130809:IXD131015 JGZ130809:JGZ131015 JQV130809:JQV131015 KAR130809:KAR131015 KKN130809:KKN131015 KUJ130809:KUJ131015 LEF130809:LEF131015 LOB130809:LOB131015 LXX130809:LXX131015 MHT130809:MHT131015 MRP130809:MRP131015 NBL130809:NBL131015 NLH130809:NLH131015 NVD130809:NVD131015 OEZ130809:OEZ131015 OOV130809:OOV131015 OYR130809:OYR131015 PIN130809:PIN131015 PSJ130809:PSJ131015 QCF130809:QCF131015 QMB130809:QMB131015 QVX130809:QVX131015 RFT130809:RFT131015 RPP130809:RPP131015 RZL130809:RZL131015 SJH130809:SJH131015 STD130809:STD131015 TCZ130809:TCZ131015 TMV130809:TMV131015 TWR130809:TWR131015 UGN130809:UGN131015 UQJ130809:UQJ131015 VAF130809:VAF131015 VKB130809:VKB131015 VTX130809:VTX131015 WDT130809:WDT131015 WNP130809:WNP131015 WXL130809:WXL131015 BC196345:BC196551 KZ196345:KZ196551 UV196345:UV196551 AER196345:AER196551 AON196345:AON196551 AYJ196345:AYJ196551 BIF196345:BIF196551 BSB196345:BSB196551 CBX196345:CBX196551 CLT196345:CLT196551 CVP196345:CVP196551 DFL196345:DFL196551 DPH196345:DPH196551 DZD196345:DZD196551 EIZ196345:EIZ196551 ESV196345:ESV196551 FCR196345:FCR196551 FMN196345:FMN196551 FWJ196345:FWJ196551 GGF196345:GGF196551 GQB196345:GQB196551 GZX196345:GZX196551 HJT196345:HJT196551 HTP196345:HTP196551 IDL196345:IDL196551 INH196345:INH196551 IXD196345:IXD196551 JGZ196345:JGZ196551 JQV196345:JQV196551 KAR196345:KAR196551 KKN196345:KKN196551 KUJ196345:KUJ196551 LEF196345:LEF196551 LOB196345:LOB196551 LXX196345:LXX196551 MHT196345:MHT196551 MRP196345:MRP196551 NBL196345:NBL196551 NLH196345:NLH196551 NVD196345:NVD196551 OEZ196345:OEZ196551 OOV196345:OOV196551 OYR196345:OYR196551 PIN196345:PIN196551 PSJ196345:PSJ196551 QCF196345:QCF196551 QMB196345:QMB196551 QVX196345:QVX196551 RFT196345:RFT196551 RPP196345:RPP196551 RZL196345:RZL196551 SJH196345:SJH196551 STD196345:STD196551 TCZ196345:TCZ196551 TMV196345:TMV196551 TWR196345:TWR196551 UGN196345:UGN196551 UQJ196345:UQJ196551 VAF196345:VAF196551 VKB196345:VKB196551 VTX196345:VTX196551 WDT196345:WDT196551 WNP196345:WNP196551 WXL196345:WXL196551 BC261881:BC262087 KZ261881:KZ262087 UV261881:UV262087 AER261881:AER262087 AON261881:AON262087 AYJ261881:AYJ262087 BIF261881:BIF262087 BSB261881:BSB262087 CBX261881:CBX262087 CLT261881:CLT262087 CVP261881:CVP262087 DFL261881:DFL262087 DPH261881:DPH262087 DZD261881:DZD262087 EIZ261881:EIZ262087 ESV261881:ESV262087 FCR261881:FCR262087 FMN261881:FMN262087 FWJ261881:FWJ262087 GGF261881:GGF262087 GQB261881:GQB262087 GZX261881:GZX262087 HJT261881:HJT262087 HTP261881:HTP262087 IDL261881:IDL262087 INH261881:INH262087 IXD261881:IXD262087 JGZ261881:JGZ262087 JQV261881:JQV262087 KAR261881:KAR262087 KKN261881:KKN262087 KUJ261881:KUJ262087 LEF261881:LEF262087 LOB261881:LOB262087 LXX261881:LXX262087 MHT261881:MHT262087 MRP261881:MRP262087 NBL261881:NBL262087 NLH261881:NLH262087 NVD261881:NVD262087 OEZ261881:OEZ262087 OOV261881:OOV262087 OYR261881:OYR262087 PIN261881:PIN262087 PSJ261881:PSJ262087 QCF261881:QCF262087 QMB261881:QMB262087 QVX261881:QVX262087 RFT261881:RFT262087 RPP261881:RPP262087 RZL261881:RZL262087 SJH261881:SJH262087 STD261881:STD262087 TCZ261881:TCZ262087 TMV261881:TMV262087 TWR261881:TWR262087 UGN261881:UGN262087 UQJ261881:UQJ262087 VAF261881:VAF262087 VKB261881:VKB262087 VTX261881:VTX262087 WDT261881:WDT262087 WNP261881:WNP262087 WXL261881:WXL262087 BC327417:BC327623 KZ327417:KZ327623 UV327417:UV327623 AER327417:AER327623 AON327417:AON327623 AYJ327417:AYJ327623 BIF327417:BIF327623 BSB327417:BSB327623 CBX327417:CBX327623 CLT327417:CLT327623 CVP327417:CVP327623 DFL327417:DFL327623 DPH327417:DPH327623 DZD327417:DZD327623 EIZ327417:EIZ327623 ESV327417:ESV327623 FCR327417:FCR327623 FMN327417:FMN327623 FWJ327417:FWJ327623 GGF327417:GGF327623 GQB327417:GQB327623 GZX327417:GZX327623 HJT327417:HJT327623 HTP327417:HTP327623 IDL327417:IDL327623 INH327417:INH327623 IXD327417:IXD327623 JGZ327417:JGZ327623 JQV327417:JQV327623 KAR327417:KAR327623 KKN327417:KKN327623 KUJ327417:KUJ327623 LEF327417:LEF327623 LOB327417:LOB327623 LXX327417:LXX327623 MHT327417:MHT327623 MRP327417:MRP327623 NBL327417:NBL327623 NLH327417:NLH327623 NVD327417:NVD327623 OEZ327417:OEZ327623 OOV327417:OOV327623 OYR327417:OYR327623 PIN327417:PIN327623 PSJ327417:PSJ327623 QCF327417:QCF327623 QMB327417:QMB327623 QVX327417:QVX327623 RFT327417:RFT327623 RPP327417:RPP327623 RZL327417:RZL327623 SJH327417:SJH327623 STD327417:STD327623 TCZ327417:TCZ327623 TMV327417:TMV327623 TWR327417:TWR327623 UGN327417:UGN327623 UQJ327417:UQJ327623 VAF327417:VAF327623 VKB327417:VKB327623 VTX327417:VTX327623 WDT327417:WDT327623 WNP327417:WNP327623 WXL327417:WXL327623 BC392953:BC393159 KZ392953:KZ393159 UV392953:UV393159 AER392953:AER393159 AON392953:AON393159 AYJ392953:AYJ393159 BIF392953:BIF393159 BSB392953:BSB393159 CBX392953:CBX393159 CLT392953:CLT393159 CVP392953:CVP393159 DFL392953:DFL393159 DPH392953:DPH393159 DZD392953:DZD393159 EIZ392953:EIZ393159 ESV392953:ESV393159 FCR392953:FCR393159 FMN392953:FMN393159 FWJ392953:FWJ393159 GGF392953:GGF393159 GQB392953:GQB393159 GZX392953:GZX393159 HJT392953:HJT393159 HTP392953:HTP393159 IDL392953:IDL393159 INH392953:INH393159 IXD392953:IXD393159 JGZ392953:JGZ393159 JQV392953:JQV393159 KAR392953:KAR393159 KKN392953:KKN393159 KUJ392953:KUJ393159 LEF392953:LEF393159 LOB392953:LOB393159 LXX392953:LXX393159 MHT392953:MHT393159 MRP392953:MRP393159 NBL392953:NBL393159 NLH392953:NLH393159 NVD392953:NVD393159 OEZ392953:OEZ393159 OOV392953:OOV393159 OYR392953:OYR393159 PIN392953:PIN393159 PSJ392953:PSJ393159 QCF392953:QCF393159 QMB392953:QMB393159 QVX392953:QVX393159 RFT392953:RFT393159 RPP392953:RPP393159 RZL392953:RZL393159 SJH392953:SJH393159 STD392953:STD393159 TCZ392953:TCZ393159 TMV392953:TMV393159 TWR392953:TWR393159 UGN392953:UGN393159 UQJ392953:UQJ393159 VAF392953:VAF393159 VKB392953:VKB393159 VTX392953:VTX393159 WDT392953:WDT393159 WNP392953:WNP393159 WXL392953:WXL393159 BC458489:BC458695 KZ458489:KZ458695 UV458489:UV458695 AER458489:AER458695 AON458489:AON458695 AYJ458489:AYJ458695 BIF458489:BIF458695 BSB458489:BSB458695 CBX458489:CBX458695 CLT458489:CLT458695 CVP458489:CVP458695 DFL458489:DFL458695 DPH458489:DPH458695 DZD458489:DZD458695 EIZ458489:EIZ458695 ESV458489:ESV458695 FCR458489:FCR458695 FMN458489:FMN458695 FWJ458489:FWJ458695 GGF458489:GGF458695 GQB458489:GQB458695 GZX458489:GZX458695 HJT458489:HJT458695 HTP458489:HTP458695 IDL458489:IDL458695 INH458489:INH458695 IXD458489:IXD458695 JGZ458489:JGZ458695 JQV458489:JQV458695 KAR458489:KAR458695 KKN458489:KKN458695 KUJ458489:KUJ458695 LEF458489:LEF458695 LOB458489:LOB458695 LXX458489:LXX458695 MHT458489:MHT458695 MRP458489:MRP458695 NBL458489:NBL458695 NLH458489:NLH458695 NVD458489:NVD458695 OEZ458489:OEZ458695 OOV458489:OOV458695 OYR458489:OYR458695 PIN458489:PIN458695 PSJ458489:PSJ458695 QCF458489:QCF458695 QMB458489:QMB458695 QVX458489:QVX458695 RFT458489:RFT458695 RPP458489:RPP458695 RZL458489:RZL458695 SJH458489:SJH458695 STD458489:STD458695 TCZ458489:TCZ458695 TMV458489:TMV458695 TWR458489:TWR458695 UGN458489:UGN458695 UQJ458489:UQJ458695 VAF458489:VAF458695 VKB458489:VKB458695 VTX458489:VTX458695 WDT458489:WDT458695 WNP458489:WNP458695 WXL458489:WXL458695 BC524025:BC524231 KZ524025:KZ524231 UV524025:UV524231 AER524025:AER524231 AON524025:AON524231 AYJ524025:AYJ524231 BIF524025:BIF524231 BSB524025:BSB524231 CBX524025:CBX524231 CLT524025:CLT524231 CVP524025:CVP524231 DFL524025:DFL524231 DPH524025:DPH524231 DZD524025:DZD524231 EIZ524025:EIZ524231 ESV524025:ESV524231 FCR524025:FCR524231 FMN524025:FMN524231 FWJ524025:FWJ524231 GGF524025:GGF524231 GQB524025:GQB524231 GZX524025:GZX524231 HJT524025:HJT524231 HTP524025:HTP524231 IDL524025:IDL524231 INH524025:INH524231 IXD524025:IXD524231 JGZ524025:JGZ524231 JQV524025:JQV524231 KAR524025:KAR524231 KKN524025:KKN524231 KUJ524025:KUJ524231 LEF524025:LEF524231 LOB524025:LOB524231 LXX524025:LXX524231 MHT524025:MHT524231 MRP524025:MRP524231 NBL524025:NBL524231 NLH524025:NLH524231 NVD524025:NVD524231 OEZ524025:OEZ524231 OOV524025:OOV524231 OYR524025:OYR524231 PIN524025:PIN524231 PSJ524025:PSJ524231 QCF524025:QCF524231 QMB524025:QMB524231 QVX524025:QVX524231 RFT524025:RFT524231 RPP524025:RPP524231 RZL524025:RZL524231 SJH524025:SJH524231 STD524025:STD524231 TCZ524025:TCZ524231 TMV524025:TMV524231 TWR524025:TWR524231 UGN524025:UGN524231 UQJ524025:UQJ524231 VAF524025:VAF524231 VKB524025:VKB524231 VTX524025:VTX524231 WDT524025:WDT524231 WNP524025:WNP524231 WXL524025:WXL524231 BC589561:BC589767 KZ589561:KZ589767 UV589561:UV589767 AER589561:AER589767 AON589561:AON589767 AYJ589561:AYJ589767 BIF589561:BIF589767 BSB589561:BSB589767 CBX589561:CBX589767 CLT589561:CLT589767 CVP589561:CVP589767 DFL589561:DFL589767 DPH589561:DPH589767 DZD589561:DZD589767 EIZ589561:EIZ589767 ESV589561:ESV589767 FCR589561:FCR589767 FMN589561:FMN589767 FWJ589561:FWJ589767 GGF589561:GGF589767 GQB589561:GQB589767 GZX589561:GZX589767 HJT589561:HJT589767 HTP589561:HTP589767 IDL589561:IDL589767 INH589561:INH589767 IXD589561:IXD589767 JGZ589561:JGZ589767 JQV589561:JQV589767 KAR589561:KAR589767 KKN589561:KKN589767 KUJ589561:KUJ589767 LEF589561:LEF589767 LOB589561:LOB589767 LXX589561:LXX589767 MHT589561:MHT589767 MRP589561:MRP589767 NBL589561:NBL589767 NLH589561:NLH589767 NVD589561:NVD589767 OEZ589561:OEZ589767 OOV589561:OOV589767 OYR589561:OYR589767 PIN589561:PIN589767 PSJ589561:PSJ589767 QCF589561:QCF589767 QMB589561:QMB589767 QVX589561:QVX589767 RFT589561:RFT589767 RPP589561:RPP589767 RZL589561:RZL589767 SJH589561:SJH589767 STD589561:STD589767 TCZ589561:TCZ589767 TMV589561:TMV589767 TWR589561:TWR589767 UGN589561:UGN589767 UQJ589561:UQJ589767 VAF589561:VAF589767 VKB589561:VKB589767 VTX589561:VTX589767 WDT589561:WDT589767 WNP589561:WNP589767 WXL589561:WXL589767 BC655097:BC655303 KZ655097:KZ655303 UV655097:UV655303 AER655097:AER655303 AON655097:AON655303 AYJ655097:AYJ655303 BIF655097:BIF655303 BSB655097:BSB655303 CBX655097:CBX655303 CLT655097:CLT655303 CVP655097:CVP655303 DFL655097:DFL655303 DPH655097:DPH655303 DZD655097:DZD655303 EIZ655097:EIZ655303 ESV655097:ESV655303 FCR655097:FCR655303 FMN655097:FMN655303 FWJ655097:FWJ655303 GGF655097:GGF655303 GQB655097:GQB655303 GZX655097:GZX655303 HJT655097:HJT655303 HTP655097:HTP655303 IDL655097:IDL655303 INH655097:INH655303 IXD655097:IXD655303 JGZ655097:JGZ655303 JQV655097:JQV655303 KAR655097:KAR655303 KKN655097:KKN655303 KUJ655097:KUJ655303 LEF655097:LEF655303 LOB655097:LOB655303 LXX655097:LXX655303 MHT655097:MHT655303 MRP655097:MRP655303 NBL655097:NBL655303 NLH655097:NLH655303 NVD655097:NVD655303 OEZ655097:OEZ655303 OOV655097:OOV655303 OYR655097:OYR655303 PIN655097:PIN655303 PSJ655097:PSJ655303 QCF655097:QCF655303 QMB655097:QMB655303 QVX655097:QVX655303 RFT655097:RFT655303 RPP655097:RPP655303 RZL655097:RZL655303 SJH655097:SJH655303 STD655097:STD655303 TCZ655097:TCZ655303 TMV655097:TMV655303 TWR655097:TWR655303 UGN655097:UGN655303 UQJ655097:UQJ655303 VAF655097:VAF655303 VKB655097:VKB655303 VTX655097:VTX655303 WDT655097:WDT655303 WNP655097:WNP655303 WXL655097:WXL655303 BC720633:BC720839 KZ720633:KZ720839 UV720633:UV720839 AER720633:AER720839 AON720633:AON720839 AYJ720633:AYJ720839 BIF720633:BIF720839 BSB720633:BSB720839 CBX720633:CBX720839 CLT720633:CLT720839 CVP720633:CVP720839 DFL720633:DFL720839 DPH720633:DPH720839 DZD720633:DZD720839 EIZ720633:EIZ720839 ESV720633:ESV720839 FCR720633:FCR720839 FMN720633:FMN720839 FWJ720633:FWJ720839 GGF720633:GGF720839 GQB720633:GQB720839 GZX720633:GZX720839 HJT720633:HJT720839 HTP720633:HTP720839 IDL720633:IDL720839 INH720633:INH720839 IXD720633:IXD720839 JGZ720633:JGZ720839 JQV720633:JQV720839 KAR720633:KAR720839 KKN720633:KKN720839 KUJ720633:KUJ720839 LEF720633:LEF720839 LOB720633:LOB720839 LXX720633:LXX720839 MHT720633:MHT720839 MRP720633:MRP720839 NBL720633:NBL720839 NLH720633:NLH720839 NVD720633:NVD720839 OEZ720633:OEZ720839 OOV720633:OOV720839 OYR720633:OYR720839 PIN720633:PIN720839 PSJ720633:PSJ720839 QCF720633:QCF720839 QMB720633:QMB720839 QVX720633:QVX720839 RFT720633:RFT720839 RPP720633:RPP720839 RZL720633:RZL720839 SJH720633:SJH720839 STD720633:STD720839 TCZ720633:TCZ720839 TMV720633:TMV720839 TWR720633:TWR720839 UGN720633:UGN720839 UQJ720633:UQJ720839 VAF720633:VAF720839 VKB720633:VKB720839 VTX720633:VTX720839 WDT720633:WDT720839 WNP720633:WNP720839 WXL720633:WXL720839 BC786169:BC786375 KZ786169:KZ786375 UV786169:UV786375 AER786169:AER786375 AON786169:AON786375 AYJ786169:AYJ786375 BIF786169:BIF786375 BSB786169:BSB786375 CBX786169:CBX786375 CLT786169:CLT786375 CVP786169:CVP786375 DFL786169:DFL786375 DPH786169:DPH786375 DZD786169:DZD786375 EIZ786169:EIZ786375 ESV786169:ESV786375 FCR786169:FCR786375 FMN786169:FMN786375 FWJ786169:FWJ786375 GGF786169:GGF786375 GQB786169:GQB786375 GZX786169:GZX786375 HJT786169:HJT786375 HTP786169:HTP786375 IDL786169:IDL786375 INH786169:INH786375 IXD786169:IXD786375 JGZ786169:JGZ786375 JQV786169:JQV786375 KAR786169:KAR786375 KKN786169:KKN786375 KUJ786169:KUJ786375 LEF786169:LEF786375 LOB786169:LOB786375 LXX786169:LXX786375 MHT786169:MHT786375 MRP786169:MRP786375 NBL786169:NBL786375 NLH786169:NLH786375 NVD786169:NVD786375 OEZ786169:OEZ786375 OOV786169:OOV786375 OYR786169:OYR786375 PIN786169:PIN786375 PSJ786169:PSJ786375 QCF786169:QCF786375 QMB786169:QMB786375 QVX786169:QVX786375 RFT786169:RFT786375 RPP786169:RPP786375 RZL786169:RZL786375 SJH786169:SJH786375 STD786169:STD786375 TCZ786169:TCZ786375 TMV786169:TMV786375 TWR786169:TWR786375 UGN786169:UGN786375 UQJ786169:UQJ786375 VAF786169:VAF786375 VKB786169:VKB786375 VTX786169:VTX786375 WDT786169:WDT786375 WNP786169:WNP786375 WXL786169:WXL786375 BC851705:BC851911 KZ851705:KZ851911 UV851705:UV851911 AER851705:AER851911 AON851705:AON851911 AYJ851705:AYJ851911 BIF851705:BIF851911 BSB851705:BSB851911 CBX851705:CBX851911 CLT851705:CLT851911 CVP851705:CVP851911 DFL851705:DFL851911 DPH851705:DPH851911 DZD851705:DZD851911 EIZ851705:EIZ851911 ESV851705:ESV851911 FCR851705:FCR851911 FMN851705:FMN851911 FWJ851705:FWJ851911 GGF851705:GGF851911 GQB851705:GQB851911 GZX851705:GZX851911 HJT851705:HJT851911 HTP851705:HTP851911 IDL851705:IDL851911 INH851705:INH851911 IXD851705:IXD851911 JGZ851705:JGZ851911 JQV851705:JQV851911 KAR851705:KAR851911 KKN851705:KKN851911 KUJ851705:KUJ851911 LEF851705:LEF851911 LOB851705:LOB851911 LXX851705:LXX851911 MHT851705:MHT851911 MRP851705:MRP851911 NBL851705:NBL851911 NLH851705:NLH851911 NVD851705:NVD851911 OEZ851705:OEZ851911 OOV851705:OOV851911 OYR851705:OYR851911 PIN851705:PIN851911 PSJ851705:PSJ851911 QCF851705:QCF851911 QMB851705:QMB851911 QVX851705:QVX851911 RFT851705:RFT851911 RPP851705:RPP851911 RZL851705:RZL851911 SJH851705:SJH851911 STD851705:STD851911 TCZ851705:TCZ851911 TMV851705:TMV851911 TWR851705:TWR851911 UGN851705:UGN851911 UQJ851705:UQJ851911 VAF851705:VAF851911 VKB851705:VKB851911 VTX851705:VTX851911 WDT851705:WDT851911 WNP851705:WNP851911 WXL851705:WXL851911 BC917241:BC917447 KZ917241:KZ917447 UV917241:UV917447 AER917241:AER917447 AON917241:AON917447 AYJ917241:AYJ917447 BIF917241:BIF917447 BSB917241:BSB917447 CBX917241:CBX917447 CLT917241:CLT917447 CVP917241:CVP917447 DFL917241:DFL917447 DPH917241:DPH917447 DZD917241:DZD917447 EIZ917241:EIZ917447 ESV917241:ESV917447 FCR917241:FCR917447 FMN917241:FMN917447 FWJ917241:FWJ917447 GGF917241:GGF917447 GQB917241:GQB917447 GZX917241:GZX917447 HJT917241:HJT917447 HTP917241:HTP917447 IDL917241:IDL917447 INH917241:INH917447 IXD917241:IXD917447 JGZ917241:JGZ917447 JQV917241:JQV917447 KAR917241:KAR917447 KKN917241:KKN917447 KUJ917241:KUJ917447 LEF917241:LEF917447 LOB917241:LOB917447 LXX917241:LXX917447 MHT917241:MHT917447 MRP917241:MRP917447 NBL917241:NBL917447 NLH917241:NLH917447 NVD917241:NVD917447 OEZ917241:OEZ917447 OOV917241:OOV917447 OYR917241:OYR917447 PIN917241:PIN917447 PSJ917241:PSJ917447 QCF917241:QCF917447 QMB917241:QMB917447 QVX917241:QVX917447 RFT917241:RFT917447 RPP917241:RPP917447 RZL917241:RZL917447 SJH917241:SJH917447 STD917241:STD917447 TCZ917241:TCZ917447 TMV917241:TMV917447 TWR917241:TWR917447 UGN917241:UGN917447 UQJ917241:UQJ917447 VAF917241:VAF917447 VKB917241:VKB917447 VTX917241:VTX917447 WDT917241:WDT917447 WNP917241:WNP917447 WXL917241:WXL917447 BC982777:BC982983 KZ982777:KZ982983 UV982777:UV982983 AER982777:AER982983 AON982777:AON982983 AYJ982777:AYJ982983 BIF982777:BIF982983 BSB982777:BSB982983 CBX982777:CBX982983 CLT982777:CLT982983 CVP982777:CVP982983 DFL982777:DFL982983 DPH982777:DPH982983 DZD982777:DZD982983 EIZ982777:EIZ982983 ESV982777:ESV982983 FCR982777:FCR982983 FMN982777:FMN982983 FWJ982777:FWJ982983 GGF982777:GGF982983 GQB982777:GQB982983 GZX982777:GZX982983 HJT982777:HJT982983 HTP982777:HTP982983 IDL982777:IDL982983 INH982777:INH982983 IXD982777:IXD982983 JGZ982777:JGZ982983 JQV982777:JQV982983 KAR982777:KAR982983 KKN982777:KKN982983 KUJ982777:KUJ982983 LEF982777:LEF982983 LOB982777:LOB982983 LXX982777:LXX982983 MHT982777:MHT982983 MRP982777:MRP982983 NBL982777:NBL982983 NLH982777:NLH982983 NVD982777:NVD982983 OEZ982777:OEZ982983 OOV982777:OOV982983 OYR982777:OYR982983 PIN982777:PIN982983 PSJ982777:PSJ982983 QCF982777:QCF982983 QMB982777:QMB982983 QVX982777:QVX982983 RFT982777:RFT982983 RPP982777:RPP982983 RZL982777:RZL982983 SJH982777:SJH982983 STD982777:STD982983 TCZ982777:TCZ982983 TMV982777:TMV982983 TWR982777:TWR982983 UGN982777:UGN982983 UQJ982777:UQJ982983 VAF982777:VAF982983 VKB982777:VKB982983 VTX982777:VTX982983 WDT982777:WDT982983 WNP982777:WNP982983 WXL982777:WXL982983 WXL5:WXL11 KZ5:KZ11 UV5:UV11 AER5:AER11 AON5:AON11 AYJ5:AYJ11 BIF5:BIF11 BSB5:BSB11 CBX5:CBX11 CLT5:CLT11 CVP5:CVP11 DFL5:DFL11 DPH5:DPH11 DZD5:DZD11 EIZ5:EIZ11 ESV5:ESV11 FCR5:FCR11 FMN5:FMN11 FWJ5:FWJ11 GGF5:GGF11 GQB5:GQB11 GZX5:GZX11 HJT5:HJT11 HTP5:HTP11 IDL5:IDL11 INH5:INH11 IXD5:IXD11 JGZ5:JGZ11 JQV5:JQV11 KAR5:KAR11 KKN5:KKN11 KUJ5:KUJ11 LEF5:LEF11 LOB5:LOB11 LXX5:LXX11 MHT5:MHT11 MRP5:MRP11 NBL5:NBL11 NLH5:NLH11 NVD5:NVD11 OEZ5:OEZ11 OOV5:OOV11 OYR5:OYR11 PIN5:PIN11 PSJ5:PSJ11 QCF5:QCF11 QMB5:QMB11 QVX5:QVX11 RFT5:RFT11 RPP5:RPP11 RZL5:RZL11 SJH5:SJH11 STD5:STD11 TCZ5:TCZ11 TMV5:TMV11 TWR5:TWR11 UGN5:UGN11 UQJ5:UQJ11 VAF5:VAF11 VKB5:VKB11 VTX5:VTX11 WDT5:WDT11 WNP5:WNP11">
      <formula1>0</formula1>
      <formula2>100000</formula2>
    </dataValidation>
    <dataValidation type="list" allowBlank="1" showInputMessage="1" showErrorMessage="1" sqref="X65273:X65475 WWP982777:WWP982979 WMT982777:WMT982979 WCX982777:WCX982979 VTB982777:VTB982979 VJF982777:VJF982979 UZJ982777:UZJ982979 UPN982777:UPN982979 UFR982777:UFR982979 TVV982777:TVV982979 TLZ982777:TLZ982979 TCD982777:TCD982979 SSH982777:SSH982979 SIL982777:SIL982979 RYP982777:RYP982979 ROT982777:ROT982979 REX982777:REX982979 QVB982777:QVB982979 QLF982777:QLF982979 QBJ982777:QBJ982979 PRN982777:PRN982979 PHR982777:PHR982979 OXV982777:OXV982979 ONZ982777:ONZ982979 OED982777:OED982979 NUH982777:NUH982979 NKL982777:NKL982979 NAP982777:NAP982979 MQT982777:MQT982979 MGX982777:MGX982979 LXB982777:LXB982979 LNF982777:LNF982979 LDJ982777:LDJ982979 KTN982777:KTN982979 KJR982777:KJR982979 JZV982777:JZV982979 JPZ982777:JPZ982979 JGD982777:JGD982979 IWH982777:IWH982979 IML982777:IML982979 ICP982777:ICP982979 HST982777:HST982979 HIX982777:HIX982979 GZB982777:GZB982979 GPF982777:GPF982979 GFJ982777:GFJ982979 FVN982777:FVN982979 FLR982777:FLR982979 FBV982777:FBV982979 ERZ982777:ERZ982979 EID982777:EID982979 DYH982777:DYH982979 DOL982777:DOL982979 DEP982777:DEP982979 CUT982777:CUT982979 CKX982777:CKX982979 CBB982777:CBB982979 BRF982777:BRF982979 BHJ982777:BHJ982979 AXN982777:AXN982979 ANR982777:ANR982979 ADV982777:ADV982979 TZ982777:TZ982979 KD982777:KD982979 X982777:X982979 WWP917241:WWP917443 WMT917241:WMT917443 WCX917241:WCX917443 VTB917241:VTB917443 VJF917241:VJF917443 UZJ917241:UZJ917443 UPN917241:UPN917443 UFR917241:UFR917443 TVV917241:TVV917443 TLZ917241:TLZ917443 TCD917241:TCD917443 SSH917241:SSH917443 SIL917241:SIL917443 RYP917241:RYP917443 ROT917241:ROT917443 REX917241:REX917443 QVB917241:QVB917443 QLF917241:QLF917443 QBJ917241:QBJ917443 PRN917241:PRN917443 PHR917241:PHR917443 OXV917241:OXV917443 ONZ917241:ONZ917443 OED917241:OED917443 NUH917241:NUH917443 NKL917241:NKL917443 NAP917241:NAP917443 MQT917241:MQT917443 MGX917241:MGX917443 LXB917241:LXB917443 LNF917241:LNF917443 LDJ917241:LDJ917443 KTN917241:KTN917443 KJR917241:KJR917443 JZV917241:JZV917443 JPZ917241:JPZ917443 JGD917241:JGD917443 IWH917241:IWH917443 IML917241:IML917443 ICP917241:ICP917443 HST917241:HST917443 HIX917241:HIX917443 GZB917241:GZB917443 GPF917241:GPF917443 GFJ917241:GFJ917443 FVN917241:FVN917443 FLR917241:FLR917443 FBV917241:FBV917443 ERZ917241:ERZ917443 EID917241:EID917443 DYH917241:DYH917443 DOL917241:DOL917443 DEP917241:DEP917443 CUT917241:CUT917443 CKX917241:CKX917443 CBB917241:CBB917443 BRF917241:BRF917443 BHJ917241:BHJ917443 AXN917241:AXN917443 ANR917241:ANR917443 ADV917241:ADV917443 TZ917241:TZ917443 KD917241:KD917443 X917241:X917443 WWP851705:WWP851907 WMT851705:WMT851907 WCX851705:WCX851907 VTB851705:VTB851907 VJF851705:VJF851907 UZJ851705:UZJ851907 UPN851705:UPN851907 UFR851705:UFR851907 TVV851705:TVV851907 TLZ851705:TLZ851907 TCD851705:TCD851907 SSH851705:SSH851907 SIL851705:SIL851907 RYP851705:RYP851907 ROT851705:ROT851907 REX851705:REX851907 QVB851705:QVB851907 QLF851705:QLF851907 QBJ851705:QBJ851907 PRN851705:PRN851907 PHR851705:PHR851907 OXV851705:OXV851907 ONZ851705:ONZ851907 OED851705:OED851907 NUH851705:NUH851907 NKL851705:NKL851907 NAP851705:NAP851907 MQT851705:MQT851907 MGX851705:MGX851907 LXB851705:LXB851907 LNF851705:LNF851907 LDJ851705:LDJ851907 KTN851705:KTN851907 KJR851705:KJR851907 JZV851705:JZV851907 JPZ851705:JPZ851907 JGD851705:JGD851907 IWH851705:IWH851907 IML851705:IML851907 ICP851705:ICP851907 HST851705:HST851907 HIX851705:HIX851907 GZB851705:GZB851907 GPF851705:GPF851907 GFJ851705:GFJ851907 FVN851705:FVN851907 FLR851705:FLR851907 FBV851705:FBV851907 ERZ851705:ERZ851907 EID851705:EID851907 DYH851705:DYH851907 DOL851705:DOL851907 DEP851705:DEP851907 CUT851705:CUT851907 CKX851705:CKX851907 CBB851705:CBB851907 BRF851705:BRF851907 BHJ851705:BHJ851907 AXN851705:AXN851907 ANR851705:ANR851907 ADV851705:ADV851907 TZ851705:TZ851907 KD851705:KD851907 X851705:X851907 WWP786169:WWP786371 WMT786169:WMT786371 WCX786169:WCX786371 VTB786169:VTB786371 VJF786169:VJF786371 UZJ786169:UZJ786371 UPN786169:UPN786371 UFR786169:UFR786371 TVV786169:TVV786371 TLZ786169:TLZ786371 TCD786169:TCD786371 SSH786169:SSH786371 SIL786169:SIL786371 RYP786169:RYP786371 ROT786169:ROT786371 REX786169:REX786371 QVB786169:QVB786371 QLF786169:QLF786371 QBJ786169:QBJ786371 PRN786169:PRN786371 PHR786169:PHR786371 OXV786169:OXV786371 ONZ786169:ONZ786371 OED786169:OED786371 NUH786169:NUH786371 NKL786169:NKL786371 NAP786169:NAP786371 MQT786169:MQT786371 MGX786169:MGX786371 LXB786169:LXB786371 LNF786169:LNF786371 LDJ786169:LDJ786371 KTN786169:KTN786371 KJR786169:KJR786371 JZV786169:JZV786371 JPZ786169:JPZ786371 JGD786169:JGD786371 IWH786169:IWH786371 IML786169:IML786371 ICP786169:ICP786371 HST786169:HST786371 HIX786169:HIX786371 GZB786169:GZB786371 GPF786169:GPF786371 GFJ786169:GFJ786371 FVN786169:FVN786371 FLR786169:FLR786371 FBV786169:FBV786371 ERZ786169:ERZ786371 EID786169:EID786371 DYH786169:DYH786371 DOL786169:DOL786371 DEP786169:DEP786371 CUT786169:CUT786371 CKX786169:CKX786371 CBB786169:CBB786371 BRF786169:BRF786371 BHJ786169:BHJ786371 AXN786169:AXN786371 ANR786169:ANR786371 ADV786169:ADV786371 TZ786169:TZ786371 KD786169:KD786371 X786169:X786371 WWP720633:WWP720835 WMT720633:WMT720835 WCX720633:WCX720835 VTB720633:VTB720835 VJF720633:VJF720835 UZJ720633:UZJ720835 UPN720633:UPN720835 UFR720633:UFR720835 TVV720633:TVV720835 TLZ720633:TLZ720835 TCD720633:TCD720835 SSH720633:SSH720835 SIL720633:SIL720835 RYP720633:RYP720835 ROT720633:ROT720835 REX720633:REX720835 QVB720633:QVB720835 QLF720633:QLF720835 QBJ720633:QBJ720835 PRN720633:PRN720835 PHR720633:PHR720835 OXV720633:OXV720835 ONZ720633:ONZ720835 OED720633:OED720835 NUH720633:NUH720835 NKL720633:NKL720835 NAP720633:NAP720835 MQT720633:MQT720835 MGX720633:MGX720835 LXB720633:LXB720835 LNF720633:LNF720835 LDJ720633:LDJ720835 KTN720633:KTN720835 KJR720633:KJR720835 JZV720633:JZV720835 JPZ720633:JPZ720835 JGD720633:JGD720835 IWH720633:IWH720835 IML720633:IML720835 ICP720633:ICP720835 HST720633:HST720835 HIX720633:HIX720835 GZB720633:GZB720835 GPF720633:GPF720835 GFJ720633:GFJ720835 FVN720633:FVN720835 FLR720633:FLR720835 FBV720633:FBV720835 ERZ720633:ERZ720835 EID720633:EID720835 DYH720633:DYH720835 DOL720633:DOL720835 DEP720633:DEP720835 CUT720633:CUT720835 CKX720633:CKX720835 CBB720633:CBB720835 BRF720633:BRF720835 BHJ720633:BHJ720835 AXN720633:AXN720835 ANR720633:ANR720835 ADV720633:ADV720835 TZ720633:TZ720835 KD720633:KD720835 X720633:X720835 WWP655097:WWP655299 WMT655097:WMT655299 WCX655097:WCX655299 VTB655097:VTB655299 VJF655097:VJF655299 UZJ655097:UZJ655299 UPN655097:UPN655299 UFR655097:UFR655299 TVV655097:TVV655299 TLZ655097:TLZ655299 TCD655097:TCD655299 SSH655097:SSH655299 SIL655097:SIL655299 RYP655097:RYP655299 ROT655097:ROT655299 REX655097:REX655299 QVB655097:QVB655299 QLF655097:QLF655299 QBJ655097:QBJ655299 PRN655097:PRN655299 PHR655097:PHR655299 OXV655097:OXV655299 ONZ655097:ONZ655299 OED655097:OED655299 NUH655097:NUH655299 NKL655097:NKL655299 NAP655097:NAP655299 MQT655097:MQT655299 MGX655097:MGX655299 LXB655097:LXB655299 LNF655097:LNF655299 LDJ655097:LDJ655299 KTN655097:KTN655299 KJR655097:KJR655299 JZV655097:JZV655299 JPZ655097:JPZ655299 JGD655097:JGD655299 IWH655097:IWH655299 IML655097:IML655299 ICP655097:ICP655299 HST655097:HST655299 HIX655097:HIX655299 GZB655097:GZB655299 GPF655097:GPF655299 GFJ655097:GFJ655299 FVN655097:FVN655299 FLR655097:FLR655299 FBV655097:FBV655299 ERZ655097:ERZ655299 EID655097:EID655299 DYH655097:DYH655299 DOL655097:DOL655299 DEP655097:DEP655299 CUT655097:CUT655299 CKX655097:CKX655299 CBB655097:CBB655299 BRF655097:BRF655299 BHJ655097:BHJ655299 AXN655097:AXN655299 ANR655097:ANR655299 ADV655097:ADV655299 TZ655097:TZ655299 KD655097:KD655299 X655097:X655299 WWP589561:WWP589763 WMT589561:WMT589763 WCX589561:WCX589763 VTB589561:VTB589763 VJF589561:VJF589763 UZJ589561:UZJ589763 UPN589561:UPN589763 UFR589561:UFR589763 TVV589561:TVV589763 TLZ589561:TLZ589763 TCD589561:TCD589763 SSH589561:SSH589763 SIL589561:SIL589763 RYP589561:RYP589763 ROT589561:ROT589763 REX589561:REX589763 QVB589561:QVB589763 QLF589561:QLF589763 QBJ589561:QBJ589763 PRN589561:PRN589763 PHR589561:PHR589763 OXV589561:OXV589763 ONZ589561:ONZ589763 OED589561:OED589763 NUH589561:NUH589763 NKL589561:NKL589763 NAP589561:NAP589763 MQT589561:MQT589763 MGX589561:MGX589763 LXB589561:LXB589763 LNF589561:LNF589763 LDJ589561:LDJ589763 KTN589561:KTN589763 KJR589561:KJR589763 JZV589561:JZV589763 JPZ589561:JPZ589763 JGD589561:JGD589763 IWH589561:IWH589763 IML589561:IML589763 ICP589561:ICP589763 HST589561:HST589763 HIX589561:HIX589763 GZB589561:GZB589763 GPF589561:GPF589763 GFJ589561:GFJ589763 FVN589561:FVN589763 FLR589561:FLR589763 FBV589561:FBV589763 ERZ589561:ERZ589763 EID589561:EID589763 DYH589561:DYH589763 DOL589561:DOL589763 DEP589561:DEP589763 CUT589561:CUT589763 CKX589561:CKX589763 CBB589561:CBB589763 BRF589561:BRF589763 BHJ589561:BHJ589763 AXN589561:AXN589763 ANR589561:ANR589763 ADV589561:ADV589763 TZ589561:TZ589763 KD589561:KD589763 X589561:X589763 WWP524025:WWP524227 WMT524025:WMT524227 WCX524025:WCX524227 VTB524025:VTB524227 VJF524025:VJF524227 UZJ524025:UZJ524227 UPN524025:UPN524227 UFR524025:UFR524227 TVV524025:TVV524227 TLZ524025:TLZ524227 TCD524025:TCD524227 SSH524025:SSH524227 SIL524025:SIL524227 RYP524025:RYP524227 ROT524025:ROT524227 REX524025:REX524227 QVB524025:QVB524227 QLF524025:QLF524227 QBJ524025:QBJ524227 PRN524025:PRN524227 PHR524025:PHR524227 OXV524025:OXV524227 ONZ524025:ONZ524227 OED524025:OED524227 NUH524025:NUH524227 NKL524025:NKL524227 NAP524025:NAP524227 MQT524025:MQT524227 MGX524025:MGX524227 LXB524025:LXB524227 LNF524025:LNF524227 LDJ524025:LDJ524227 KTN524025:KTN524227 KJR524025:KJR524227 JZV524025:JZV524227 JPZ524025:JPZ524227 JGD524025:JGD524227 IWH524025:IWH524227 IML524025:IML524227 ICP524025:ICP524227 HST524025:HST524227 HIX524025:HIX524227 GZB524025:GZB524227 GPF524025:GPF524227 GFJ524025:GFJ524227 FVN524025:FVN524227 FLR524025:FLR524227 FBV524025:FBV524227 ERZ524025:ERZ524227 EID524025:EID524227 DYH524025:DYH524227 DOL524025:DOL524227 DEP524025:DEP524227 CUT524025:CUT524227 CKX524025:CKX524227 CBB524025:CBB524227 BRF524025:BRF524227 BHJ524025:BHJ524227 AXN524025:AXN524227 ANR524025:ANR524227 ADV524025:ADV524227 TZ524025:TZ524227 KD524025:KD524227 X524025:X524227 WWP458489:WWP458691 WMT458489:WMT458691 WCX458489:WCX458691 VTB458489:VTB458691 VJF458489:VJF458691 UZJ458489:UZJ458691 UPN458489:UPN458691 UFR458489:UFR458691 TVV458489:TVV458691 TLZ458489:TLZ458691 TCD458489:TCD458691 SSH458489:SSH458691 SIL458489:SIL458691 RYP458489:RYP458691 ROT458489:ROT458691 REX458489:REX458691 QVB458489:QVB458691 QLF458489:QLF458691 QBJ458489:QBJ458691 PRN458489:PRN458691 PHR458489:PHR458691 OXV458489:OXV458691 ONZ458489:ONZ458691 OED458489:OED458691 NUH458489:NUH458691 NKL458489:NKL458691 NAP458489:NAP458691 MQT458489:MQT458691 MGX458489:MGX458691 LXB458489:LXB458691 LNF458489:LNF458691 LDJ458489:LDJ458691 KTN458489:KTN458691 KJR458489:KJR458691 JZV458489:JZV458691 JPZ458489:JPZ458691 JGD458489:JGD458691 IWH458489:IWH458691 IML458489:IML458691 ICP458489:ICP458691 HST458489:HST458691 HIX458489:HIX458691 GZB458489:GZB458691 GPF458489:GPF458691 GFJ458489:GFJ458691 FVN458489:FVN458691 FLR458489:FLR458691 FBV458489:FBV458691 ERZ458489:ERZ458691 EID458489:EID458691 DYH458489:DYH458691 DOL458489:DOL458691 DEP458489:DEP458691 CUT458489:CUT458691 CKX458489:CKX458691 CBB458489:CBB458691 BRF458489:BRF458691 BHJ458489:BHJ458691 AXN458489:AXN458691 ANR458489:ANR458691 ADV458489:ADV458691 TZ458489:TZ458691 KD458489:KD458691 X458489:X458691 WWP392953:WWP393155 WMT392953:WMT393155 WCX392953:WCX393155 VTB392953:VTB393155 VJF392953:VJF393155 UZJ392953:UZJ393155 UPN392953:UPN393155 UFR392953:UFR393155 TVV392953:TVV393155 TLZ392953:TLZ393155 TCD392953:TCD393155 SSH392953:SSH393155 SIL392953:SIL393155 RYP392953:RYP393155 ROT392953:ROT393155 REX392953:REX393155 QVB392953:QVB393155 QLF392953:QLF393155 QBJ392953:QBJ393155 PRN392953:PRN393155 PHR392953:PHR393155 OXV392953:OXV393155 ONZ392953:ONZ393155 OED392953:OED393155 NUH392953:NUH393155 NKL392953:NKL393155 NAP392953:NAP393155 MQT392953:MQT393155 MGX392953:MGX393155 LXB392953:LXB393155 LNF392953:LNF393155 LDJ392953:LDJ393155 KTN392953:KTN393155 KJR392953:KJR393155 JZV392953:JZV393155 JPZ392953:JPZ393155 JGD392953:JGD393155 IWH392953:IWH393155 IML392953:IML393155 ICP392953:ICP393155 HST392953:HST393155 HIX392953:HIX393155 GZB392953:GZB393155 GPF392953:GPF393155 GFJ392953:GFJ393155 FVN392953:FVN393155 FLR392953:FLR393155 FBV392953:FBV393155 ERZ392953:ERZ393155 EID392953:EID393155 DYH392953:DYH393155 DOL392953:DOL393155 DEP392953:DEP393155 CUT392953:CUT393155 CKX392953:CKX393155 CBB392953:CBB393155 BRF392953:BRF393155 BHJ392953:BHJ393155 AXN392953:AXN393155 ANR392953:ANR393155 ADV392953:ADV393155 TZ392953:TZ393155 KD392953:KD393155 X392953:X393155 WWP327417:WWP327619 WMT327417:WMT327619 WCX327417:WCX327619 VTB327417:VTB327619 VJF327417:VJF327619 UZJ327417:UZJ327619 UPN327417:UPN327619 UFR327417:UFR327619 TVV327417:TVV327619 TLZ327417:TLZ327619 TCD327417:TCD327619 SSH327417:SSH327619 SIL327417:SIL327619 RYP327417:RYP327619 ROT327417:ROT327619 REX327417:REX327619 QVB327417:QVB327619 QLF327417:QLF327619 QBJ327417:QBJ327619 PRN327417:PRN327619 PHR327417:PHR327619 OXV327417:OXV327619 ONZ327417:ONZ327619 OED327417:OED327619 NUH327417:NUH327619 NKL327417:NKL327619 NAP327417:NAP327619 MQT327417:MQT327619 MGX327417:MGX327619 LXB327417:LXB327619 LNF327417:LNF327619 LDJ327417:LDJ327619 KTN327417:KTN327619 KJR327417:KJR327619 JZV327417:JZV327619 JPZ327417:JPZ327619 JGD327417:JGD327619 IWH327417:IWH327619 IML327417:IML327619 ICP327417:ICP327619 HST327417:HST327619 HIX327417:HIX327619 GZB327417:GZB327619 GPF327417:GPF327619 GFJ327417:GFJ327619 FVN327417:FVN327619 FLR327417:FLR327619 FBV327417:FBV327619 ERZ327417:ERZ327619 EID327417:EID327619 DYH327417:DYH327619 DOL327417:DOL327619 DEP327417:DEP327619 CUT327417:CUT327619 CKX327417:CKX327619 CBB327417:CBB327619 BRF327417:BRF327619 BHJ327417:BHJ327619 AXN327417:AXN327619 ANR327417:ANR327619 ADV327417:ADV327619 TZ327417:TZ327619 KD327417:KD327619 X327417:X327619 WWP261881:WWP262083 WMT261881:WMT262083 WCX261881:WCX262083 VTB261881:VTB262083 VJF261881:VJF262083 UZJ261881:UZJ262083 UPN261881:UPN262083 UFR261881:UFR262083 TVV261881:TVV262083 TLZ261881:TLZ262083 TCD261881:TCD262083 SSH261881:SSH262083 SIL261881:SIL262083 RYP261881:RYP262083 ROT261881:ROT262083 REX261881:REX262083 QVB261881:QVB262083 QLF261881:QLF262083 QBJ261881:QBJ262083 PRN261881:PRN262083 PHR261881:PHR262083 OXV261881:OXV262083 ONZ261881:ONZ262083 OED261881:OED262083 NUH261881:NUH262083 NKL261881:NKL262083 NAP261881:NAP262083 MQT261881:MQT262083 MGX261881:MGX262083 LXB261881:LXB262083 LNF261881:LNF262083 LDJ261881:LDJ262083 KTN261881:KTN262083 KJR261881:KJR262083 JZV261881:JZV262083 JPZ261881:JPZ262083 JGD261881:JGD262083 IWH261881:IWH262083 IML261881:IML262083 ICP261881:ICP262083 HST261881:HST262083 HIX261881:HIX262083 GZB261881:GZB262083 GPF261881:GPF262083 GFJ261881:GFJ262083 FVN261881:FVN262083 FLR261881:FLR262083 FBV261881:FBV262083 ERZ261881:ERZ262083 EID261881:EID262083 DYH261881:DYH262083 DOL261881:DOL262083 DEP261881:DEP262083 CUT261881:CUT262083 CKX261881:CKX262083 CBB261881:CBB262083 BRF261881:BRF262083 BHJ261881:BHJ262083 AXN261881:AXN262083 ANR261881:ANR262083 ADV261881:ADV262083 TZ261881:TZ262083 KD261881:KD262083 X261881:X262083 WWP196345:WWP196547 WMT196345:WMT196547 WCX196345:WCX196547 VTB196345:VTB196547 VJF196345:VJF196547 UZJ196345:UZJ196547 UPN196345:UPN196547 UFR196345:UFR196547 TVV196345:TVV196547 TLZ196345:TLZ196547 TCD196345:TCD196547 SSH196345:SSH196547 SIL196345:SIL196547 RYP196345:RYP196547 ROT196345:ROT196547 REX196345:REX196547 QVB196345:QVB196547 QLF196345:QLF196547 QBJ196345:QBJ196547 PRN196345:PRN196547 PHR196345:PHR196547 OXV196345:OXV196547 ONZ196345:ONZ196547 OED196345:OED196547 NUH196345:NUH196547 NKL196345:NKL196547 NAP196345:NAP196547 MQT196345:MQT196547 MGX196345:MGX196547 LXB196345:LXB196547 LNF196345:LNF196547 LDJ196345:LDJ196547 KTN196345:KTN196547 KJR196345:KJR196547 JZV196345:JZV196547 JPZ196345:JPZ196547 JGD196345:JGD196547 IWH196345:IWH196547 IML196345:IML196547 ICP196345:ICP196547 HST196345:HST196547 HIX196345:HIX196547 GZB196345:GZB196547 GPF196345:GPF196547 GFJ196345:GFJ196547 FVN196345:FVN196547 FLR196345:FLR196547 FBV196345:FBV196547 ERZ196345:ERZ196547 EID196345:EID196547 DYH196345:DYH196547 DOL196345:DOL196547 DEP196345:DEP196547 CUT196345:CUT196547 CKX196345:CKX196547 CBB196345:CBB196547 BRF196345:BRF196547 BHJ196345:BHJ196547 AXN196345:AXN196547 ANR196345:ANR196547 ADV196345:ADV196547 TZ196345:TZ196547 KD196345:KD196547 X196345:X196547 WWP130809:WWP131011 WMT130809:WMT131011 WCX130809:WCX131011 VTB130809:VTB131011 VJF130809:VJF131011 UZJ130809:UZJ131011 UPN130809:UPN131011 UFR130809:UFR131011 TVV130809:TVV131011 TLZ130809:TLZ131011 TCD130809:TCD131011 SSH130809:SSH131011 SIL130809:SIL131011 RYP130809:RYP131011 ROT130809:ROT131011 REX130809:REX131011 QVB130809:QVB131011 QLF130809:QLF131011 QBJ130809:QBJ131011 PRN130809:PRN131011 PHR130809:PHR131011 OXV130809:OXV131011 ONZ130809:ONZ131011 OED130809:OED131011 NUH130809:NUH131011 NKL130809:NKL131011 NAP130809:NAP131011 MQT130809:MQT131011 MGX130809:MGX131011 LXB130809:LXB131011 LNF130809:LNF131011 LDJ130809:LDJ131011 KTN130809:KTN131011 KJR130809:KJR131011 JZV130809:JZV131011 JPZ130809:JPZ131011 JGD130809:JGD131011 IWH130809:IWH131011 IML130809:IML131011 ICP130809:ICP131011 HST130809:HST131011 HIX130809:HIX131011 GZB130809:GZB131011 GPF130809:GPF131011 GFJ130809:GFJ131011 FVN130809:FVN131011 FLR130809:FLR131011 FBV130809:FBV131011 ERZ130809:ERZ131011 EID130809:EID131011 DYH130809:DYH131011 DOL130809:DOL131011 DEP130809:DEP131011 CUT130809:CUT131011 CKX130809:CKX131011 CBB130809:CBB131011 BRF130809:BRF131011 BHJ130809:BHJ131011 AXN130809:AXN131011 ANR130809:ANR131011 ADV130809:ADV131011 TZ130809:TZ131011 KD130809:KD131011 X130809:X131011 WWP65273:WWP65475 WMT65273:WMT65475 WCX65273:WCX65475 VTB65273:VTB65475 VJF65273:VJF65475 UZJ65273:UZJ65475 UPN65273:UPN65475 UFR65273:UFR65475 TVV65273:TVV65475 TLZ65273:TLZ65475 TCD65273:TCD65475 SSH65273:SSH65475 SIL65273:SIL65475 RYP65273:RYP65475 ROT65273:ROT65475 REX65273:REX65475 QVB65273:QVB65475 QLF65273:QLF65475 QBJ65273:QBJ65475 PRN65273:PRN65475 PHR65273:PHR65475 OXV65273:OXV65475 ONZ65273:ONZ65475 OED65273:OED65475 NUH65273:NUH65475 NKL65273:NKL65475 NAP65273:NAP65475 MQT65273:MQT65475 MGX65273:MGX65475 LXB65273:LXB65475 LNF65273:LNF65475 LDJ65273:LDJ65475 KTN65273:KTN65475 KJR65273:KJR65475 JZV65273:JZV65475 JPZ65273:JPZ65475 JGD65273:JGD65475 IWH65273:IWH65475 IML65273:IML65475 ICP65273:ICP65475 HST65273:HST65475 HIX65273:HIX65475 GZB65273:GZB65475 GPF65273:GPF65475 GFJ65273:GFJ65475 FVN65273:FVN65475 FLR65273:FLR65475 FBV65273:FBV65475 ERZ65273:ERZ65475 EID65273:EID65475 DYH65273:DYH65475 DOL65273:DOL65475 DEP65273:DEP65475 CUT65273:CUT65475 CKX65273:CKX65475 CBB65273:CBB65475 BRF65273:BRF65475 BHJ65273:BHJ65475 AXN65273:AXN65475 ANR65273:ANR65475 ADV65273:ADV65475 TZ65273:TZ65475 KD65273:KD65475 WWP5:WWP11 WMT5:WMT11 WCX5:WCX11 VTB5:VTB11 VJF5:VJF11 UZJ5:UZJ11 UPN5:UPN11 UFR5:UFR11 TVV5:TVV11 TLZ5:TLZ11 TCD5:TCD11 SSH5:SSH11 SIL5:SIL11 RYP5:RYP11 ROT5:ROT11 REX5:REX11 QVB5:QVB11 QLF5:QLF11 QBJ5:QBJ11 PRN5:PRN11 PHR5:PHR11 OXV5:OXV11 ONZ5:ONZ11 OED5:OED11 NUH5:NUH11 NKL5:NKL11 NAP5:NAP11 MQT5:MQT11 MGX5:MGX11 LXB5:LXB11 LNF5:LNF11 LDJ5:LDJ11 KTN5:KTN11 KJR5:KJR11 JZV5:JZV11 JPZ5:JPZ11 JGD5:JGD11 IWH5:IWH11 IML5:IML11 ICP5:ICP11 HST5:HST11 HIX5:HIX11 GZB5:GZB11 GPF5:GPF11 GFJ5:GFJ11 FVN5:FVN11 FLR5:FLR11 FBV5:FBV11 ERZ5:ERZ11 EID5:EID11 DYH5:DYH11 DOL5:DOL11 DEP5:DEP11 CUT5:CUT11 CKX5:CKX11 CBB5:CBB11 BRF5:BRF11 BHJ5:BHJ11 AXN5:AXN11 ANR5:ANR11 ADV5:ADV11 TZ5:TZ11 KD5:KD11">
      <formula1>$B$12:$B$12</formula1>
    </dataValidation>
    <dataValidation type="whole" allowBlank="1" showInputMessage="1" showErrorMessage="1" sqref="V65273:W65479 KA65273:KC65479 TW65273:TY65479 ADS65273:ADU65479 ANO65273:ANQ65479 AXK65273:AXM65479 BHG65273:BHI65479 BRC65273:BRE65479 CAY65273:CBA65479 CKU65273:CKW65479 CUQ65273:CUS65479 DEM65273:DEO65479 DOI65273:DOK65479 DYE65273:DYG65479 EIA65273:EIC65479 ERW65273:ERY65479 FBS65273:FBU65479 FLO65273:FLQ65479 FVK65273:FVM65479 GFG65273:GFI65479 GPC65273:GPE65479 GYY65273:GZA65479 HIU65273:HIW65479 HSQ65273:HSS65479 ICM65273:ICO65479 IMI65273:IMK65479 IWE65273:IWG65479 JGA65273:JGC65479 JPW65273:JPY65479 JZS65273:JZU65479 KJO65273:KJQ65479 KTK65273:KTM65479 LDG65273:LDI65479 LNC65273:LNE65479 LWY65273:LXA65479 MGU65273:MGW65479 MQQ65273:MQS65479 NAM65273:NAO65479 NKI65273:NKK65479 NUE65273:NUG65479 OEA65273:OEC65479 ONW65273:ONY65479 OXS65273:OXU65479 PHO65273:PHQ65479 PRK65273:PRM65479 QBG65273:QBI65479 QLC65273:QLE65479 QUY65273:QVA65479 REU65273:REW65479 ROQ65273:ROS65479 RYM65273:RYO65479 SII65273:SIK65479 SSE65273:SSG65479 TCA65273:TCC65479 TLW65273:TLY65479 TVS65273:TVU65479 UFO65273:UFQ65479 UPK65273:UPM65479 UZG65273:UZI65479 VJC65273:VJE65479 VSY65273:VTA65479 WCU65273:WCW65479 WMQ65273:WMS65479 WWM65273:WWO65479 V130809:W131015 KA130809:KC131015 TW130809:TY131015 ADS130809:ADU131015 ANO130809:ANQ131015 AXK130809:AXM131015 BHG130809:BHI131015 BRC130809:BRE131015 CAY130809:CBA131015 CKU130809:CKW131015 CUQ130809:CUS131015 DEM130809:DEO131015 DOI130809:DOK131015 DYE130809:DYG131015 EIA130809:EIC131015 ERW130809:ERY131015 FBS130809:FBU131015 FLO130809:FLQ131015 FVK130809:FVM131015 GFG130809:GFI131015 GPC130809:GPE131015 GYY130809:GZA131015 HIU130809:HIW131015 HSQ130809:HSS131015 ICM130809:ICO131015 IMI130809:IMK131015 IWE130809:IWG131015 JGA130809:JGC131015 JPW130809:JPY131015 JZS130809:JZU131015 KJO130809:KJQ131015 KTK130809:KTM131015 LDG130809:LDI131015 LNC130809:LNE131015 LWY130809:LXA131015 MGU130809:MGW131015 MQQ130809:MQS131015 NAM130809:NAO131015 NKI130809:NKK131015 NUE130809:NUG131015 OEA130809:OEC131015 ONW130809:ONY131015 OXS130809:OXU131015 PHO130809:PHQ131015 PRK130809:PRM131015 QBG130809:QBI131015 QLC130809:QLE131015 QUY130809:QVA131015 REU130809:REW131015 ROQ130809:ROS131015 RYM130809:RYO131015 SII130809:SIK131015 SSE130809:SSG131015 TCA130809:TCC131015 TLW130809:TLY131015 TVS130809:TVU131015 UFO130809:UFQ131015 UPK130809:UPM131015 UZG130809:UZI131015 VJC130809:VJE131015 VSY130809:VTA131015 WCU130809:WCW131015 WMQ130809:WMS131015 WWM130809:WWO131015 V196345:W196551 KA196345:KC196551 TW196345:TY196551 ADS196345:ADU196551 ANO196345:ANQ196551 AXK196345:AXM196551 BHG196345:BHI196551 BRC196345:BRE196551 CAY196345:CBA196551 CKU196345:CKW196551 CUQ196345:CUS196551 DEM196345:DEO196551 DOI196345:DOK196551 DYE196345:DYG196551 EIA196345:EIC196551 ERW196345:ERY196551 FBS196345:FBU196551 FLO196345:FLQ196551 FVK196345:FVM196551 GFG196345:GFI196551 GPC196345:GPE196551 GYY196345:GZA196551 HIU196345:HIW196551 HSQ196345:HSS196551 ICM196345:ICO196551 IMI196345:IMK196551 IWE196345:IWG196551 JGA196345:JGC196551 JPW196345:JPY196551 JZS196345:JZU196551 KJO196345:KJQ196551 KTK196345:KTM196551 LDG196345:LDI196551 LNC196345:LNE196551 LWY196345:LXA196551 MGU196345:MGW196551 MQQ196345:MQS196551 NAM196345:NAO196551 NKI196345:NKK196551 NUE196345:NUG196551 OEA196345:OEC196551 ONW196345:ONY196551 OXS196345:OXU196551 PHO196345:PHQ196551 PRK196345:PRM196551 QBG196345:QBI196551 QLC196345:QLE196551 QUY196345:QVA196551 REU196345:REW196551 ROQ196345:ROS196551 RYM196345:RYO196551 SII196345:SIK196551 SSE196345:SSG196551 TCA196345:TCC196551 TLW196345:TLY196551 TVS196345:TVU196551 UFO196345:UFQ196551 UPK196345:UPM196551 UZG196345:UZI196551 VJC196345:VJE196551 VSY196345:VTA196551 WCU196345:WCW196551 WMQ196345:WMS196551 WWM196345:WWO196551 V261881:W262087 KA261881:KC262087 TW261881:TY262087 ADS261881:ADU262087 ANO261881:ANQ262087 AXK261881:AXM262087 BHG261881:BHI262087 BRC261881:BRE262087 CAY261881:CBA262087 CKU261881:CKW262087 CUQ261881:CUS262087 DEM261881:DEO262087 DOI261881:DOK262087 DYE261881:DYG262087 EIA261881:EIC262087 ERW261881:ERY262087 FBS261881:FBU262087 FLO261881:FLQ262087 FVK261881:FVM262087 GFG261881:GFI262087 GPC261881:GPE262087 GYY261881:GZA262087 HIU261881:HIW262087 HSQ261881:HSS262087 ICM261881:ICO262087 IMI261881:IMK262087 IWE261881:IWG262087 JGA261881:JGC262087 JPW261881:JPY262087 JZS261881:JZU262087 KJO261881:KJQ262087 KTK261881:KTM262087 LDG261881:LDI262087 LNC261881:LNE262087 LWY261881:LXA262087 MGU261881:MGW262087 MQQ261881:MQS262087 NAM261881:NAO262087 NKI261881:NKK262087 NUE261881:NUG262087 OEA261881:OEC262087 ONW261881:ONY262087 OXS261881:OXU262087 PHO261881:PHQ262087 PRK261881:PRM262087 QBG261881:QBI262087 QLC261881:QLE262087 QUY261881:QVA262087 REU261881:REW262087 ROQ261881:ROS262087 RYM261881:RYO262087 SII261881:SIK262087 SSE261881:SSG262087 TCA261881:TCC262087 TLW261881:TLY262087 TVS261881:TVU262087 UFO261881:UFQ262087 UPK261881:UPM262087 UZG261881:UZI262087 VJC261881:VJE262087 VSY261881:VTA262087 WCU261881:WCW262087 WMQ261881:WMS262087 WWM261881:WWO262087 V327417:W327623 KA327417:KC327623 TW327417:TY327623 ADS327417:ADU327623 ANO327417:ANQ327623 AXK327417:AXM327623 BHG327417:BHI327623 BRC327417:BRE327623 CAY327417:CBA327623 CKU327417:CKW327623 CUQ327417:CUS327623 DEM327417:DEO327623 DOI327417:DOK327623 DYE327417:DYG327623 EIA327417:EIC327623 ERW327417:ERY327623 FBS327417:FBU327623 FLO327417:FLQ327623 FVK327417:FVM327623 GFG327417:GFI327623 GPC327417:GPE327623 GYY327417:GZA327623 HIU327417:HIW327623 HSQ327417:HSS327623 ICM327417:ICO327623 IMI327417:IMK327623 IWE327417:IWG327623 JGA327417:JGC327623 JPW327417:JPY327623 JZS327417:JZU327623 KJO327417:KJQ327623 KTK327417:KTM327623 LDG327417:LDI327623 LNC327417:LNE327623 LWY327417:LXA327623 MGU327417:MGW327623 MQQ327417:MQS327623 NAM327417:NAO327623 NKI327417:NKK327623 NUE327417:NUG327623 OEA327417:OEC327623 ONW327417:ONY327623 OXS327417:OXU327623 PHO327417:PHQ327623 PRK327417:PRM327623 QBG327417:QBI327623 QLC327417:QLE327623 QUY327417:QVA327623 REU327417:REW327623 ROQ327417:ROS327623 RYM327417:RYO327623 SII327417:SIK327623 SSE327417:SSG327623 TCA327417:TCC327623 TLW327417:TLY327623 TVS327417:TVU327623 UFO327417:UFQ327623 UPK327417:UPM327623 UZG327417:UZI327623 VJC327417:VJE327623 VSY327417:VTA327623 WCU327417:WCW327623 WMQ327417:WMS327623 WWM327417:WWO327623 V392953:W393159 KA392953:KC393159 TW392953:TY393159 ADS392953:ADU393159 ANO392953:ANQ393159 AXK392953:AXM393159 BHG392953:BHI393159 BRC392953:BRE393159 CAY392953:CBA393159 CKU392953:CKW393159 CUQ392953:CUS393159 DEM392953:DEO393159 DOI392953:DOK393159 DYE392953:DYG393159 EIA392953:EIC393159 ERW392953:ERY393159 FBS392953:FBU393159 FLO392953:FLQ393159 FVK392953:FVM393159 GFG392953:GFI393159 GPC392953:GPE393159 GYY392953:GZA393159 HIU392953:HIW393159 HSQ392953:HSS393159 ICM392953:ICO393159 IMI392953:IMK393159 IWE392953:IWG393159 JGA392953:JGC393159 JPW392953:JPY393159 JZS392953:JZU393159 KJO392953:KJQ393159 KTK392953:KTM393159 LDG392953:LDI393159 LNC392953:LNE393159 LWY392953:LXA393159 MGU392953:MGW393159 MQQ392953:MQS393159 NAM392953:NAO393159 NKI392953:NKK393159 NUE392953:NUG393159 OEA392953:OEC393159 ONW392953:ONY393159 OXS392953:OXU393159 PHO392953:PHQ393159 PRK392953:PRM393159 QBG392953:QBI393159 QLC392953:QLE393159 QUY392953:QVA393159 REU392953:REW393159 ROQ392953:ROS393159 RYM392953:RYO393159 SII392953:SIK393159 SSE392953:SSG393159 TCA392953:TCC393159 TLW392953:TLY393159 TVS392953:TVU393159 UFO392953:UFQ393159 UPK392953:UPM393159 UZG392953:UZI393159 VJC392953:VJE393159 VSY392953:VTA393159 WCU392953:WCW393159 WMQ392953:WMS393159 WWM392953:WWO393159 V458489:W458695 KA458489:KC458695 TW458489:TY458695 ADS458489:ADU458695 ANO458489:ANQ458695 AXK458489:AXM458695 BHG458489:BHI458695 BRC458489:BRE458695 CAY458489:CBA458695 CKU458489:CKW458695 CUQ458489:CUS458695 DEM458489:DEO458695 DOI458489:DOK458695 DYE458489:DYG458695 EIA458489:EIC458695 ERW458489:ERY458695 FBS458489:FBU458695 FLO458489:FLQ458695 FVK458489:FVM458695 GFG458489:GFI458695 GPC458489:GPE458695 GYY458489:GZA458695 HIU458489:HIW458695 HSQ458489:HSS458695 ICM458489:ICO458695 IMI458489:IMK458695 IWE458489:IWG458695 JGA458489:JGC458695 JPW458489:JPY458695 JZS458489:JZU458695 KJO458489:KJQ458695 KTK458489:KTM458695 LDG458489:LDI458695 LNC458489:LNE458695 LWY458489:LXA458695 MGU458489:MGW458695 MQQ458489:MQS458695 NAM458489:NAO458695 NKI458489:NKK458695 NUE458489:NUG458695 OEA458489:OEC458695 ONW458489:ONY458695 OXS458489:OXU458695 PHO458489:PHQ458695 PRK458489:PRM458695 QBG458489:QBI458695 QLC458489:QLE458695 QUY458489:QVA458695 REU458489:REW458695 ROQ458489:ROS458695 RYM458489:RYO458695 SII458489:SIK458695 SSE458489:SSG458695 TCA458489:TCC458695 TLW458489:TLY458695 TVS458489:TVU458695 UFO458489:UFQ458695 UPK458489:UPM458695 UZG458489:UZI458695 VJC458489:VJE458695 VSY458489:VTA458695 WCU458489:WCW458695 WMQ458489:WMS458695 WWM458489:WWO458695 V524025:W524231 KA524025:KC524231 TW524025:TY524231 ADS524025:ADU524231 ANO524025:ANQ524231 AXK524025:AXM524231 BHG524025:BHI524231 BRC524025:BRE524231 CAY524025:CBA524231 CKU524025:CKW524231 CUQ524025:CUS524231 DEM524025:DEO524231 DOI524025:DOK524231 DYE524025:DYG524231 EIA524025:EIC524231 ERW524025:ERY524231 FBS524025:FBU524231 FLO524025:FLQ524231 FVK524025:FVM524231 GFG524025:GFI524231 GPC524025:GPE524231 GYY524025:GZA524231 HIU524025:HIW524231 HSQ524025:HSS524231 ICM524025:ICO524231 IMI524025:IMK524231 IWE524025:IWG524231 JGA524025:JGC524231 JPW524025:JPY524231 JZS524025:JZU524231 KJO524025:KJQ524231 KTK524025:KTM524231 LDG524025:LDI524231 LNC524025:LNE524231 LWY524025:LXA524231 MGU524025:MGW524231 MQQ524025:MQS524231 NAM524025:NAO524231 NKI524025:NKK524231 NUE524025:NUG524231 OEA524025:OEC524231 ONW524025:ONY524231 OXS524025:OXU524231 PHO524025:PHQ524231 PRK524025:PRM524231 QBG524025:QBI524231 QLC524025:QLE524231 QUY524025:QVA524231 REU524025:REW524231 ROQ524025:ROS524231 RYM524025:RYO524231 SII524025:SIK524231 SSE524025:SSG524231 TCA524025:TCC524231 TLW524025:TLY524231 TVS524025:TVU524231 UFO524025:UFQ524231 UPK524025:UPM524231 UZG524025:UZI524231 VJC524025:VJE524231 VSY524025:VTA524231 WCU524025:WCW524231 WMQ524025:WMS524231 WWM524025:WWO524231 V589561:W589767 KA589561:KC589767 TW589561:TY589767 ADS589561:ADU589767 ANO589561:ANQ589767 AXK589561:AXM589767 BHG589561:BHI589767 BRC589561:BRE589767 CAY589561:CBA589767 CKU589561:CKW589767 CUQ589561:CUS589767 DEM589561:DEO589767 DOI589561:DOK589767 DYE589561:DYG589767 EIA589561:EIC589767 ERW589561:ERY589767 FBS589561:FBU589767 FLO589561:FLQ589767 FVK589561:FVM589767 GFG589561:GFI589767 GPC589561:GPE589767 GYY589561:GZA589767 HIU589561:HIW589767 HSQ589561:HSS589767 ICM589561:ICO589767 IMI589561:IMK589767 IWE589561:IWG589767 JGA589561:JGC589767 JPW589561:JPY589767 JZS589561:JZU589767 KJO589561:KJQ589767 KTK589561:KTM589767 LDG589561:LDI589767 LNC589561:LNE589767 LWY589561:LXA589767 MGU589561:MGW589767 MQQ589561:MQS589767 NAM589561:NAO589767 NKI589561:NKK589767 NUE589561:NUG589767 OEA589561:OEC589767 ONW589561:ONY589767 OXS589561:OXU589767 PHO589561:PHQ589767 PRK589561:PRM589767 QBG589561:QBI589767 QLC589561:QLE589767 QUY589561:QVA589767 REU589561:REW589767 ROQ589561:ROS589767 RYM589561:RYO589767 SII589561:SIK589767 SSE589561:SSG589767 TCA589561:TCC589767 TLW589561:TLY589767 TVS589561:TVU589767 UFO589561:UFQ589767 UPK589561:UPM589767 UZG589561:UZI589767 VJC589561:VJE589767 VSY589561:VTA589767 WCU589561:WCW589767 WMQ589561:WMS589767 WWM589561:WWO589767 V655097:W655303 KA655097:KC655303 TW655097:TY655303 ADS655097:ADU655303 ANO655097:ANQ655303 AXK655097:AXM655303 BHG655097:BHI655303 BRC655097:BRE655303 CAY655097:CBA655303 CKU655097:CKW655303 CUQ655097:CUS655303 DEM655097:DEO655303 DOI655097:DOK655303 DYE655097:DYG655303 EIA655097:EIC655303 ERW655097:ERY655303 FBS655097:FBU655303 FLO655097:FLQ655303 FVK655097:FVM655303 GFG655097:GFI655303 GPC655097:GPE655303 GYY655097:GZA655303 HIU655097:HIW655303 HSQ655097:HSS655303 ICM655097:ICO655303 IMI655097:IMK655303 IWE655097:IWG655303 JGA655097:JGC655303 JPW655097:JPY655303 JZS655097:JZU655303 KJO655097:KJQ655303 KTK655097:KTM655303 LDG655097:LDI655303 LNC655097:LNE655303 LWY655097:LXA655303 MGU655097:MGW655303 MQQ655097:MQS655303 NAM655097:NAO655303 NKI655097:NKK655303 NUE655097:NUG655303 OEA655097:OEC655303 ONW655097:ONY655303 OXS655097:OXU655303 PHO655097:PHQ655303 PRK655097:PRM655303 QBG655097:QBI655303 QLC655097:QLE655303 QUY655097:QVA655303 REU655097:REW655303 ROQ655097:ROS655303 RYM655097:RYO655303 SII655097:SIK655303 SSE655097:SSG655303 TCA655097:TCC655303 TLW655097:TLY655303 TVS655097:TVU655303 UFO655097:UFQ655303 UPK655097:UPM655303 UZG655097:UZI655303 VJC655097:VJE655303 VSY655097:VTA655303 WCU655097:WCW655303 WMQ655097:WMS655303 WWM655097:WWO655303 V720633:W720839 KA720633:KC720839 TW720633:TY720839 ADS720633:ADU720839 ANO720633:ANQ720839 AXK720633:AXM720839 BHG720633:BHI720839 BRC720633:BRE720839 CAY720633:CBA720839 CKU720633:CKW720839 CUQ720633:CUS720839 DEM720633:DEO720839 DOI720633:DOK720839 DYE720633:DYG720839 EIA720633:EIC720839 ERW720633:ERY720839 FBS720633:FBU720839 FLO720633:FLQ720839 FVK720633:FVM720839 GFG720633:GFI720839 GPC720633:GPE720839 GYY720633:GZA720839 HIU720633:HIW720839 HSQ720633:HSS720839 ICM720633:ICO720839 IMI720633:IMK720839 IWE720633:IWG720839 JGA720633:JGC720839 JPW720633:JPY720839 JZS720633:JZU720839 KJO720633:KJQ720839 KTK720633:KTM720839 LDG720633:LDI720839 LNC720633:LNE720839 LWY720633:LXA720839 MGU720633:MGW720839 MQQ720633:MQS720839 NAM720633:NAO720839 NKI720633:NKK720839 NUE720633:NUG720839 OEA720633:OEC720839 ONW720633:ONY720839 OXS720633:OXU720839 PHO720633:PHQ720839 PRK720633:PRM720839 QBG720633:QBI720839 QLC720633:QLE720839 QUY720633:QVA720839 REU720633:REW720839 ROQ720633:ROS720839 RYM720633:RYO720839 SII720633:SIK720839 SSE720633:SSG720839 TCA720633:TCC720839 TLW720633:TLY720839 TVS720633:TVU720839 UFO720633:UFQ720839 UPK720633:UPM720839 UZG720633:UZI720839 VJC720633:VJE720839 VSY720633:VTA720839 WCU720633:WCW720839 WMQ720633:WMS720839 WWM720633:WWO720839 V786169:W786375 KA786169:KC786375 TW786169:TY786375 ADS786169:ADU786375 ANO786169:ANQ786375 AXK786169:AXM786375 BHG786169:BHI786375 BRC786169:BRE786375 CAY786169:CBA786375 CKU786169:CKW786375 CUQ786169:CUS786375 DEM786169:DEO786375 DOI786169:DOK786375 DYE786169:DYG786375 EIA786169:EIC786375 ERW786169:ERY786375 FBS786169:FBU786375 FLO786169:FLQ786375 FVK786169:FVM786375 GFG786169:GFI786375 GPC786169:GPE786375 GYY786169:GZA786375 HIU786169:HIW786375 HSQ786169:HSS786375 ICM786169:ICO786375 IMI786169:IMK786375 IWE786169:IWG786375 JGA786169:JGC786375 JPW786169:JPY786375 JZS786169:JZU786375 KJO786169:KJQ786375 KTK786169:KTM786375 LDG786169:LDI786375 LNC786169:LNE786375 LWY786169:LXA786375 MGU786169:MGW786375 MQQ786169:MQS786375 NAM786169:NAO786375 NKI786169:NKK786375 NUE786169:NUG786375 OEA786169:OEC786375 ONW786169:ONY786375 OXS786169:OXU786375 PHO786169:PHQ786375 PRK786169:PRM786375 QBG786169:QBI786375 QLC786169:QLE786375 QUY786169:QVA786375 REU786169:REW786375 ROQ786169:ROS786375 RYM786169:RYO786375 SII786169:SIK786375 SSE786169:SSG786375 TCA786169:TCC786375 TLW786169:TLY786375 TVS786169:TVU786375 UFO786169:UFQ786375 UPK786169:UPM786375 UZG786169:UZI786375 VJC786169:VJE786375 VSY786169:VTA786375 WCU786169:WCW786375 WMQ786169:WMS786375 WWM786169:WWO786375 V851705:W851911 KA851705:KC851911 TW851705:TY851911 ADS851705:ADU851911 ANO851705:ANQ851911 AXK851705:AXM851911 BHG851705:BHI851911 BRC851705:BRE851911 CAY851705:CBA851911 CKU851705:CKW851911 CUQ851705:CUS851911 DEM851705:DEO851911 DOI851705:DOK851911 DYE851705:DYG851911 EIA851705:EIC851911 ERW851705:ERY851911 FBS851705:FBU851911 FLO851705:FLQ851911 FVK851705:FVM851911 GFG851705:GFI851911 GPC851705:GPE851911 GYY851705:GZA851911 HIU851705:HIW851911 HSQ851705:HSS851911 ICM851705:ICO851911 IMI851705:IMK851911 IWE851705:IWG851911 JGA851705:JGC851911 JPW851705:JPY851911 JZS851705:JZU851911 KJO851705:KJQ851911 KTK851705:KTM851911 LDG851705:LDI851911 LNC851705:LNE851911 LWY851705:LXA851911 MGU851705:MGW851911 MQQ851705:MQS851911 NAM851705:NAO851911 NKI851705:NKK851911 NUE851705:NUG851911 OEA851705:OEC851911 ONW851705:ONY851911 OXS851705:OXU851911 PHO851705:PHQ851911 PRK851705:PRM851911 QBG851705:QBI851911 QLC851705:QLE851911 QUY851705:QVA851911 REU851705:REW851911 ROQ851705:ROS851911 RYM851705:RYO851911 SII851705:SIK851911 SSE851705:SSG851911 TCA851705:TCC851911 TLW851705:TLY851911 TVS851705:TVU851911 UFO851705:UFQ851911 UPK851705:UPM851911 UZG851705:UZI851911 VJC851705:VJE851911 VSY851705:VTA851911 WCU851705:WCW851911 WMQ851705:WMS851911 WWM851705:WWO851911 V917241:W917447 KA917241:KC917447 TW917241:TY917447 ADS917241:ADU917447 ANO917241:ANQ917447 AXK917241:AXM917447 BHG917241:BHI917447 BRC917241:BRE917447 CAY917241:CBA917447 CKU917241:CKW917447 CUQ917241:CUS917447 DEM917241:DEO917447 DOI917241:DOK917447 DYE917241:DYG917447 EIA917241:EIC917447 ERW917241:ERY917447 FBS917241:FBU917447 FLO917241:FLQ917447 FVK917241:FVM917447 GFG917241:GFI917447 GPC917241:GPE917447 GYY917241:GZA917447 HIU917241:HIW917447 HSQ917241:HSS917447 ICM917241:ICO917447 IMI917241:IMK917447 IWE917241:IWG917447 JGA917241:JGC917447 JPW917241:JPY917447 JZS917241:JZU917447 KJO917241:KJQ917447 KTK917241:KTM917447 LDG917241:LDI917447 LNC917241:LNE917447 LWY917241:LXA917447 MGU917241:MGW917447 MQQ917241:MQS917447 NAM917241:NAO917447 NKI917241:NKK917447 NUE917241:NUG917447 OEA917241:OEC917447 ONW917241:ONY917447 OXS917241:OXU917447 PHO917241:PHQ917447 PRK917241:PRM917447 QBG917241:QBI917447 QLC917241:QLE917447 QUY917241:QVA917447 REU917241:REW917447 ROQ917241:ROS917447 RYM917241:RYO917447 SII917241:SIK917447 SSE917241:SSG917447 TCA917241:TCC917447 TLW917241:TLY917447 TVS917241:TVU917447 UFO917241:UFQ917447 UPK917241:UPM917447 UZG917241:UZI917447 VJC917241:VJE917447 VSY917241:VTA917447 WCU917241:WCW917447 WMQ917241:WMS917447 WWM917241:WWO917447 V982777:W982983 KA982777:KC982983 TW982777:TY982983 ADS982777:ADU982983 ANO982777:ANQ982983 AXK982777:AXM982983 BHG982777:BHI982983 BRC982777:BRE982983 CAY982777:CBA982983 CKU982777:CKW982983 CUQ982777:CUS982983 DEM982777:DEO982983 DOI982777:DOK982983 DYE982777:DYG982983 EIA982777:EIC982983 ERW982777:ERY982983 FBS982777:FBU982983 FLO982777:FLQ982983 FVK982777:FVM982983 GFG982777:GFI982983 GPC982777:GPE982983 GYY982777:GZA982983 HIU982777:HIW982983 HSQ982777:HSS982983 ICM982777:ICO982983 IMI982777:IMK982983 IWE982777:IWG982983 JGA982777:JGC982983 JPW982777:JPY982983 JZS982777:JZU982983 KJO982777:KJQ982983 KTK982777:KTM982983 LDG982777:LDI982983 LNC982777:LNE982983 LWY982777:LXA982983 MGU982777:MGW982983 MQQ982777:MQS982983 NAM982777:NAO982983 NKI982777:NKK982983 NUE982777:NUG982983 OEA982777:OEC982983 ONW982777:ONY982983 OXS982777:OXU982983 PHO982777:PHQ982983 PRK982777:PRM982983 QBG982777:QBI982983 QLC982777:QLE982983 QUY982777:QVA982983 REU982777:REW982983 ROQ982777:ROS982983 RYM982777:RYO982983 SII982777:SIK982983 SSE982777:SSG982983 TCA982777:TCC982983 TLW982777:TLY982983 TVS982777:TVU982983 UFO982777:UFQ982983 UPK982777:UPM982983 UZG982777:UZI982983 VJC982777:VJE982983 VSY982777:VTA982983 WCU982777:WCW982983 WMQ982777:WMS982983 WWM982777:WWO982983 WWM5:WWO11 KA5:KC11 TW5:TY11 ADS5:ADU11 ANO5:ANQ11 AXK5:AXM11 BHG5:BHI11 BRC5:BRE11 CAY5:CBA11 CKU5:CKW11 CUQ5:CUS11 DEM5:DEO11 DOI5:DOK11 DYE5:DYG11 EIA5:EIC11 ERW5:ERY11 FBS5:FBU11 FLO5:FLQ11 FVK5:FVM11 GFG5:GFI11 GPC5:GPE11 GYY5:GZA11 HIU5:HIW11 HSQ5:HSS11 ICM5:ICO11 IMI5:IMK11 IWE5:IWG11 JGA5:JGC11 JPW5:JPY11 JZS5:JZU11 KJO5:KJQ11 KTK5:KTM11 LDG5:LDI11 LNC5:LNE11 LWY5:LXA11 MGU5:MGW11 MQQ5:MQS11 NAM5:NAO11 NKI5:NKK11 NUE5:NUG11 OEA5:OEC11 ONW5:ONY11 OXS5:OXU11 PHO5:PHQ11 PRK5:PRM11 QBG5:QBI11 QLC5:QLE11 QUY5:QVA11 REU5:REW11 ROQ5:ROS11 RYM5:RYO11 SII5:SIK11 SSE5:SSG11 TCA5:TCC11 TLW5:TLY11 TVS5:TVU11 UFO5:UFQ11 UPK5:UPM11 UZG5:UZI11 VJC5:VJE11 VSY5:VTA11 WCU5:WCW11 WMQ5:WMS11">
      <formula1>0</formula1>
      <formula2>100000000000</formula2>
    </dataValidation>
    <dataValidation type="decimal" allowBlank="1" showInputMessage="1" showErrorMessage="1" sqref="KN65273:KN65479 UJ65273:UJ65479 AEF65273:AEF65479 AOB65273:AOB65479 AXX65273:AXX65479 BHT65273:BHT65479 BRP65273:BRP65479 CBL65273:CBL65479 CLH65273:CLH65479 CVD65273:CVD65479 DEZ65273:DEZ65479 DOV65273:DOV65479 DYR65273:DYR65479 EIN65273:EIN65479 ESJ65273:ESJ65479 FCF65273:FCF65479 FMB65273:FMB65479 FVX65273:FVX65479 GFT65273:GFT65479 GPP65273:GPP65479 GZL65273:GZL65479 HJH65273:HJH65479 HTD65273:HTD65479 ICZ65273:ICZ65479 IMV65273:IMV65479 IWR65273:IWR65479 JGN65273:JGN65479 JQJ65273:JQJ65479 KAF65273:KAF65479 KKB65273:KKB65479 KTX65273:KTX65479 LDT65273:LDT65479 LNP65273:LNP65479 LXL65273:LXL65479 MHH65273:MHH65479 MRD65273:MRD65479 NAZ65273:NAZ65479 NKV65273:NKV65479 NUR65273:NUR65479 OEN65273:OEN65479 OOJ65273:OOJ65479 OYF65273:OYF65479 PIB65273:PIB65479 PRX65273:PRX65479 QBT65273:QBT65479 QLP65273:QLP65479 QVL65273:QVL65479 RFH65273:RFH65479 RPD65273:RPD65479 RYZ65273:RYZ65479 SIV65273:SIV65479 SSR65273:SSR65479 TCN65273:TCN65479 TMJ65273:TMJ65479 TWF65273:TWF65479 UGB65273:UGB65479 UPX65273:UPX65479 UZT65273:UZT65479 VJP65273:VJP65479 VTL65273:VTL65479 WDH65273:WDH65479 WND65273:WND65479 WWZ65273:WWZ65479 KN130809:KN131015 UJ130809:UJ131015 AEF130809:AEF131015 AOB130809:AOB131015 AXX130809:AXX131015 BHT130809:BHT131015 BRP130809:BRP131015 CBL130809:CBL131015 CLH130809:CLH131015 CVD130809:CVD131015 DEZ130809:DEZ131015 DOV130809:DOV131015 DYR130809:DYR131015 EIN130809:EIN131015 ESJ130809:ESJ131015 FCF130809:FCF131015 FMB130809:FMB131015 FVX130809:FVX131015 GFT130809:GFT131015 GPP130809:GPP131015 GZL130809:GZL131015 HJH130809:HJH131015 HTD130809:HTD131015 ICZ130809:ICZ131015 IMV130809:IMV131015 IWR130809:IWR131015 JGN130809:JGN131015 JQJ130809:JQJ131015 KAF130809:KAF131015 KKB130809:KKB131015 KTX130809:KTX131015 LDT130809:LDT131015 LNP130809:LNP131015 LXL130809:LXL131015 MHH130809:MHH131015 MRD130809:MRD131015 NAZ130809:NAZ131015 NKV130809:NKV131015 NUR130809:NUR131015 OEN130809:OEN131015 OOJ130809:OOJ131015 OYF130809:OYF131015 PIB130809:PIB131015 PRX130809:PRX131015 QBT130809:QBT131015 QLP130809:QLP131015 QVL130809:QVL131015 RFH130809:RFH131015 RPD130809:RPD131015 RYZ130809:RYZ131015 SIV130809:SIV131015 SSR130809:SSR131015 TCN130809:TCN131015 TMJ130809:TMJ131015 TWF130809:TWF131015 UGB130809:UGB131015 UPX130809:UPX131015 UZT130809:UZT131015 VJP130809:VJP131015 VTL130809:VTL131015 WDH130809:WDH131015 WND130809:WND131015 WWZ130809:WWZ131015 KN196345:KN196551 UJ196345:UJ196551 AEF196345:AEF196551 AOB196345:AOB196551 AXX196345:AXX196551 BHT196345:BHT196551 BRP196345:BRP196551 CBL196345:CBL196551 CLH196345:CLH196551 CVD196345:CVD196551 DEZ196345:DEZ196551 DOV196345:DOV196551 DYR196345:DYR196551 EIN196345:EIN196551 ESJ196345:ESJ196551 FCF196345:FCF196551 FMB196345:FMB196551 FVX196345:FVX196551 GFT196345:GFT196551 GPP196345:GPP196551 GZL196345:GZL196551 HJH196345:HJH196551 HTD196345:HTD196551 ICZ196345:ICZ196551 IMV196345:IMV196551 IWR196345:IWR196551 JGN196345:JGN196551 JQJ196345:JQJ196551 KAF196345:KAF196551 KKB196345:KKB196551 KTX196345:KTX196551 LDT196345:LDT196551 LNP196345:LNP196551 LXL196345:LXL196551 MHH196345:MHH196551 MRD196345:MRD196551 NAZ196345:NAZ196551 NKV196345:NKV196551 NUR196345:NUR196551 OEN196345:OEN196551 OOJ196345:OOJ196551 OYF196345:OYF196551 PIB196345:PIB196551 PRX196345:PRX196551 QBT196345:QBT196551 QLP196345:QLP196551 QVL196345:QVL196551 RFH196345:RFH196551 RPD196345:RPD196551 RYZ196345:RYZ196551 SIV196345:SIV196551 SSR196345:SSR196551 TCN196345:TCN196551 TMJ196345:TMJ196551 TWF196345:TWF196551 UGB196345:UGB196551 UPX196345:UPX196551 UZT196345:UZT196551 VJP196345:VJP196551 VTL196345:VTL196551 WDH196345:WDH196551 WND196345:WND196551 WWZ196345:WWZ196551 KN261881:KN262087 UJ261881:UJ262087 AEF261881:AEF262087 AOB261881:AOB262087 AXX261881:AXX262087 BHT261881:BHT262087 BRP261881:BRP262087 CBL261881:CBL262087 CLH261881:CLH262087 CVD261881:CVD262087 DEZ261881:DEZ262087 DOV261881:DOV262087 DYR261881:DYR262087 EIN261881:EIN262087 ESJ261881:ESJ262087 FCF261881:FCF262087 FMB261881:FMB262087 FVX261881:FVX262087 GFT261881:GFT262087 GPP261881:GPP262087 GZL261881:GZL262087 HJH261881:HJH262087 HTD261881:HTD262087 ICZ261881:ICZ262087 IMV261881:IMV262087 IWR261881:IWR262087 JGN261881:JGN262087 JQJ261881:JQJ262087 KAF261881:KAF262087 KKB261881:KKB262087 KTX261881:KTX262087 LDT261881:LDT262087 LNP261881:LNP262087 LXL261881:LXL262087 MHH261881:MHH262087 MRD261881:MRD262087 NAZ261881:NAZ262087 NKV261881:NKV262087 NUR261881:NUR262087 OEN261881:OEN262087 OOJ261881:OOJ262087 OYF261881:OYF262087 PIB261881:PIB262087 PRX261881:PRX262087 QBT261881:QBT262087 QLP261881:QLP262087 QVL261881:QVL262087 RFH261881:RFH262087 RPD261881:RPD262087 RYZ261881:RYZ262087 SIV261881:SIV262087 SSR261881:SSR262087 TCN261881:TCN262087 TMJ261881:TMJ262087 TWF261881:TWF262087 UGB261881:UGB262087 UPX261881:UPX262087 UZT261881:UZT262087 VJP261881:VJP262087 VTL261881:VTL262087 WDH261881:WDH262087 WND261881:WND262087 WWZ261881:WWZ262087 KN327417:KN327623 UJ327417:UJ327623 AEF327417:AEF327623 AOB327417:AOB327623 AXX327417:AXX327623 BHT327417:BHT327623 BRP327417:BRP327623 CBL327417:CBL327623 CLH327417:CLH327623 CVD327417:CVD327623 DEZ327417:DEZ327623 DOV327417:DOV327623 DYR327417:DYR327623 EIN327417:EIN327623 ESJ327417:ESJ327623 FCF327417:FCF327623 FMB327417:FMB327623 FVX327417:FVX327623 GFT327417:GFT327623 GPP327417:GPP327623 GZL327417:GZL327623 HJH327417:HJH327623 HTD327417:HTD327623 ICZ327417:ICZ327623 IMV327417:IMV327623 IWR327417:IWR327623 JGN327417:JGN327623 JQJ327417:JQJ327623 KAF327417:KAF327623 KKB327417:KKB327623 KTX327417:KTX327623 LDT327417:LDT327623 LNP327417:LNP327623 LXL327417:LXL327623 MHH327417:MHH327623 MRD327417:MRD327623 NAZ327417:NAZ327623 NKV327417:NKV327623 NUR327417:NUR327623 OEN327417:OEN327623 OOJ327417:OOJ327623 OYF327417:OYF327623 PIB327417:PIB327623 PRX327417:PRX327623 QBT327417:QBT327623 QLP327417:QLP327623 QVL327417:QVL327623 RFH327417:RFH327623 RPD327417:RPD327623 RYZ327417:RYZ327623 SIV327417:SIV327623 SSR327417:SSR327623 TCN327417:TCN327623 TMJ327417:TMJ327623 TWF327417:TWF327623 UGB327417:UGB327623 UPX327417:UPX327623 UZT327417:UZT327623 VJP327417:VJP327623 VTL327417:VTL327623 WDH327417:WDH327623 WND327417:WND327623 WWZ327417:WWZ327623 KN392953:KN393159 UJ392953:UJ393159 AEF392953:AEF393159 AOB392953:AOB393159 AXX392953:AXX393159 BHT392953:BHT393159 BRP392953:BRP393159 CBL392953:CBL393159 CLH392953:CLH393159 CVD392953:CVD393159 DEZ392953:DEZ393159 DOV392953:DOV393159 DYR392953:DYR393159 EIN392953:EIN393159 ESJ392953:ESJ393159 FCF392953:FCF393159 FMB392953:FMB393159 FVX392953:FVX393159 GFT392953:GFT393159 GPP392953:GPP393159 GZL392953:GZL393159 HJH392953:HJH393159 HTD392953:HTD393159 ICZ392953:ICZ393159 IMV392953:IMV393159 IWR392953:IWR393159 JGN392953:JGN393159 JQJ392953:JQJ393159 KAF392953:KAF393159 KKB392953:KKB393159 KTX392953:KTX393159 LDT392953:LDT393159 LNP392953:LNP393159 LXL392953:LXL393159 MHH392953:MHH393159 MRD392953:MRD393159 NAZ392953:NAZ393159 NKV392953:NKV393159 NUR392953:NUR393159 OEN392953:OEN393159 OOJ392953:OOJ393159 OYF392953:OYF393159 PIB392953:PIB393159 PRX392953:PRX393159 QBT392953:QBT393159 QLP392953:QLP393159 QVL392953:QVL393159 RFH392953:RFH393159 RPD392953:RPD393159 RYZ392953:RYZ393159 SIV392953:SIV393159 SSR392953:SSR393159 TCN392953:TCN393159 TMJ392953:TMJ393159 TWF392953:TWF393159 UGB392953:UGB393159 UPX392953:UPX393159 UZT392953:UZT393159 VJP392953:VJP393159 VTL392953:VTL393159 WDH392953:WDH393159 WND392953:WND393159 WWZ392953:WWZ393159 KN458489:KN458695 UJ458489:UJ458695 AEF458489:AEF458695 AOB458489:AOB458695 AXX458489:AXX458695 BHT458489:BHT458695 BRP458489:BRP458695 CBL458489:CBL458695 CLH458489:CLH458695 CVD458489:CVD458695 DEZ458489:DEZ458695 DOV458489:DOV458695 DYR458489:DYR458695 EIN458489:EIN458695 ESJ458489:ESJ458695 FCF458489:FCF458695 FMB458489:FMB458695 FVX458489:FVX458695 GFT458489:GFT458695 GPP458489:GPP458695 GZL458489:GZL458695 HJH458489:HJH458695 HTD458489:HTD458695 ICZ458489:ICZ458695 IMV458489:IMV458695 IWR458489:IWR458695 JGN458489:JGN458695 JQJ458489:JQJ458695 KAF458489:KAF458695 KKB458489:KKB458695 KTX458489:KTX458695 LDT458489:LDT458695 LNP458489:LNP458695 LXL458489:LXL458695 MHH458489:MHH458695 MRD458489:MRD458695 NAZ458489:NAZ458695 NKV458489:NKV458695 NUR458489:NUR458695 OEN458489:OEN458695 OOJ458489:OOJ458695 OYF458489:OYF458695 PIB458489:PIB458695 PRX458489:PRX458695 QBT458489:QBT458695 QLP458489:QLP458695 QVL458489:QVL458695 RFH458489:RFH458695 RPD458489:RPD458695 RYZ458489:RYZ458695 SIV458489:SIV458695 SSR458489:SSR458695 TCN458489:TCN458695 TMJ458489:TMJ458695 TWF458489:TWF458695 UGB458489:UGB458695 UPX458489:UPX458695 UZT458489:UZT458695 VJP458489:VJP458695 VTL458489:VTL458695 WDH458489:WDH458695 WND458489:WND458695 WWZ458489:WWZ458695 KN524025:KN524231 UJ524025:UJ524231 AEF524025:AEF524231 AOB524025:AOB524231 AXX524025:AXX524231 BHT524025:BHT524231 BRP524025:BRP524231 CBL524025:CBL524231 CLH524025:CLH524231 CVD524025:CVD524231 DEZ524025:DEZ524231 DOV524025:DOV524231 DYR524025:DYR524231 EIN524025:EIN524231 ESJ524025:ESJ524231 FCF524025:FCF524231 FMB524025:FMB524231 FVX524025:FVX524231 GFT524025:GFT524231 GPP524025:GPP524231 GZL524025:GZL524231 HJH524025:HJH524231 HTD524025:HTD524231 ICZ524025:ICZ524231 IMV524025:IMV524231 IWR524025:IWR524231 JGN524025:JGN524231 JQJ524025:JQJ524231 KAF524025:KAF524231 KKB524025:KKB524231 KTX524025:KTX524231 LDT524025:LDT524231 LNP524025:LNP524231 LXL524025:LXL524231 MHH524025:MHH524231 MRD524025:MRD524231 NAZ524025:NAZ524231 NKV524025:NKV524231 NUR524025:NUR524231 OEN524025:OEN524231 OOJ524025:OOJ524231 OYF524025:OYF524231 PIB524025:PIB524231 PRX524025:PRX524231 QBT524025:QBT524231 QLP524025:QLP524231 QVL524025:QVL524231 RFH524025:RFH524231 RPD524025:RPD524231 RYZ524025:RYZ524231 SIV524025:SIV524231 SSR524025:SSR524231 TCN524025:TCN524231 TMJ524025:TMJ524231 TWF524025:TWF524231 UGB524025:UGB524231 UPX524025:UPX524231 UZT524025:UZT524231 VJP524025:VJP524231 VTL524025:VTL524231 WDH524025:WDH524231 WND524025:WND524231 WWZ524025:WWZ524231 KN589561:KN589767 UJ589561:UJ589767 AEF589561:AEF589767 AOB589561:AOB589767 AXX589561:AXX589767 BHT589561:BHT589767 BRP589561:BRP589767 CBL589561:CBL589767 CLH589561:CLH589767 CVD589561:CVD589767 DEZ589561:DEZ589767 DOV589561:DOV589767 DYR589561:DYR589767 EIN589561:EIN589767 ESJ589561:ESJ589767 FCF589561:FCF589767 FMB589561:FMB589767 FVX589561:FVX589767 GFT589561:GFT589767 GPP589561:GPP589767 GZL589561:GZL589767 HJH589561:HJH589767 HTD589561:HTD589767 ICZ589561:ICZ589767 IMV589561:IMV589767 IWR589561:IWR589767 JGN589561:JGN589767 JQJ589561:JQJ589767 KAF589561:KAF589767 KKB589561:KKB589767 KTX589561:KTX589767 LDT589561:LDT589767 LNP589561:LNP589767 LXL589561:LXL589767 MHH589561:MHH589767 MRD589561:MRD589767 NAZ589561:NAZ589767 NKV589561:NKV589767 NUR589561:NUR589767 OEN589561:OEN589767 OOJ589561:OOJ589767 OYF589561:OYF589767 PIB589561:PIB589767 PRX589561:PRX589767 QBT589561:QBT589767 QLP589561:QLP589767 QVL589561:QVL589767 RFH589561:RFH589767 RPD589561:RPD589767 RYZ589561:RYZ589767 SIV589561:SIV589767 SSR589561:SSR589767 TCN589561:TCN589767 TMJ589561:TMJ589767 TWF589561:TWF589767 UGB589561:UGB589767 UPX589561:UPX589767 UZT589561:UZT589767 VJP589561:VJP589767 VTL589561:VTL589767 WDH589561:WDH589767 WND589561:WND589767 WWZ589561:WWZ589767 KN655097:KN655303 UJ655097:UJ655303 AEF655097:AEF655303 AOB655097:AOB655303 AXX655097:AXX655303 BHT655097:BHT655303 BRP655097:BRP655303 CBL655097:CBL655303 CLH655097:CLH655303 CVD655097:CVD655303 DEZ655097:DEZ655303 DOV655097:DOV655303 DYR655097:DYR655303 EIN655097:EIN655303 ESJ655097:ESJ655303 FCF655097:FCF655303 FMB655097:FMB655303 FVX655097:FVX655303 GFT655097:GFT655303 GPP655097:GPP655303 GZL655097:GZL655303 HJH655097:HJH655303 HTD655097:HTD655303 ICZ655097:ICZ655303 IMV655097:IMV655303 IWR655097:IWR655303 JGN655097:JGN655303 JQJ655097:JQJ655303 KAF655097:KAF655303 KKB655097:KKB655303 KTX655097:KTX655303 LDT655097:LDT655303 LNP655097:LNP655303 LXL655097:LXL655303 MHH655097:MHH655303 MRD655097:MRD655303 NAZ655097:NAZ655303 NKV655097:NKV655303 NUR655097:NUR655303 OEN655097:OEN655303 OOJ655097:OOJ655303 OYF655097:OYF655303 PIB655097:PIB655303 PRX655097:PRX655303 QBT655097:QBT655303 QLP655097:QLP655303 QVL655097:QVL655303 RFH655097:RFH655303 RPD655097:RPD655303 RYZ655097:RYZ655303 SIV655097:SIV655303 SSR655097:SSR655303 TCN655097:TCN655303 TMJ655097:TMJ655303 TWF655097:TWF655303 UGB655097:UGB655303 UPX655097:UPX655303 UZT655097:UZT655303 VJP655097:VJP655303 VTL655097:VTL655303 WDH655097:WDH655303 WND655097:WND655303 WWZ655097:WWZ655303 KN720633:KN720839 UJ720633:UJ720839 AEF720633:AEF720839 AOB720633:AOB720839 AXX720633:AXX720839 BHT720633:BHT720839 BRP720633:BRP720839 CBL720633:CBL720839 CLH720633:CLH720839 CVD720633:CVD720839 DEZ720633:DEZ720839 DOV720633:DOV720839 DYR720633:DYR720839 EIN720633:EIN720839 ESJ720633:ESJ720839 FCF720633:FCF720839 FMB720633:FMB720839 FVX720633:FVX720839 GFT720633:GFT720839 GPP720633:GPP720839 GZL720633:GZL720839 HJH720633:HJH720839 HTD720633:HTD720839 ICZ720633:ICZ720839 IMV720633:IMV720839 IWR720633:IWR720839 JGN720633:JGN720839 JQJ720633:JQJ720839 KAF720633:KAF720839 KKB720633:KKB720839 KTX720633:KTX720839 LDT720633:LDT720839 LNP720633:LNP720839 LXL720633:LXL720839 MHH720633:MHH720839 MRD720633:MRD720839 NAZ720633:NAZ720839 NKV720633:NKV720839 NUR720633:NUR720839 OEN720633:OEN720839 OOJ720633:OOJ720839 OYF720633:OYF720839 PIB720633:PIB720839 PRX720633:PRX720839 QBT720633:QBT720839 QLP720633:QLP720839 QVL720633:QVL720839 RFH720633:RFH720839 RPD720633:RPD720839 RYZ720633:RYZ720839 SIV720633:SIV720839 SSR720633:SSR720839 TCN720633:TCN720839 TMJ720633:TMJ720839 TWF720633:TWF720839 UGB720633:UGB720839 UPX720633:UPX720839 UZT720633:UZT720839 VJP720633:VJP720839 VTL720633:VTL720839 WDH720633:WDH720839 WND720633:WND720839 WWZ720633:WWZ720839 KN786169:KN786375 UJ786169:UJ786375 AEF786169:AEF786375 AOB786169:AOB786375 AXX786169:AXX786375 BHT786169:BHT786375 BRP786169:BRP786375 CBL786169:CBL786375 CLH786169:CLH786375 CVD786169:CVD786375 DEZ786169:DEZ786375 DOV786169:DOV786375 DYR786169:DYR786375 EIN786169:EIN786375 ESJ786169:ESJ786375 FCF786169:FCF786375 FMB786169:FMB786375 FVX786169:FVX786375 GFT786169:GFT786375 GPP786169:GPP786375 GZL786169:GZL786375 HJH786169:HJH786375 HTD786169:HTD786375 ICZ786169:ICZ786375 IMV786169:IMV786375 IWR786169:IWR786375 JGN786169:JGN786375 JQJ786169:JQJ786375 KAF786169:KAF786375 KKB786169:KKB786375 KTX786169:KTX786375 LDT786169:LDT786375 LNP786169:LNP786375 LXL786169:LXL786375 MHH786169:MHH786375 MRD786169:MRD786375 NAZ786169:NAZ786375 NKV786169:NKV786375 NUR786169:NUR786375 OEN786169:OEN786375 OOJ786169:OOJ786375 OYF786169:OYF786375 PIB786169:PIB786375 PRX786169:PRX786375 QBT786169:QBT786375 QLP786169:QLP786375 QVL786169:QVL786375 RFH786169:RFH786375 RPD786169:RPD786375 RYZ786169:RYZ786375 SIV786169:SIV786375 SSR786169:SSR786375 TCN786169:TCN786375 TMJ786169:TMJ786375 TWF786169:TWF786375 UGB786169:UGB786375 UPX786169:UPX786375 UZT786169:UZT786375 VJP786169:VJP786375 VTL786169:VTL786375 WDH786169:WDH786375 WND786169:WND786375 WWZ786169:WWZ786375 KN851705:KN851911 UJ851705:UJ851911 AEF851705:AEF851911 AOB851705:AOB851911 AXX851705:AXX851911 BHT851705:BHT851911 BRP851705:BRP851911 CBL851705:CBL851911 CLH851705:CLH851911 CVD851705:CVD851911 DEZ851705:DEZ851911 DOV851705:DOV851911 DYR851705:DYR851911 EIN851705:EIN851911 ESJ851705:ESJ851911 FCF851705:FCF851911 FMB851705:FMB851911 FVX851705:FVX851911 GFT851705:GFT851911 GPP851705:GPP851911 GZL851705:GZL851911 HJH851705:HJH851911 HTD851705:HTD851911 ICZ851705:ICZ851911 IMV851705:IMV851911 IWR851705:IWR851911 JGN851705:JGN851911 JQJ851705:JQJ851911 KAF851705:KAF851911 KKB851705:KKB851911 KTX851705:KTX851911 LDT851705:LDT851911 LNP851705:LNP851911 LXL851705:LXL851911 MHH851705:MHH851911 MRD851705:MRD851911 NAZ851705:NAZ851911 NKV851705:NKV851911 NUR851705:NUR851911 OEN851705:OEN851911 OOJ851705:OOJ851911 OYF851705:OYF851911 PIB851705:PIB851911 PRX851705:PRX851911 QBT851705:QBT851911 QLP851705:QLP851911 QVL851705:QVL851911 RFH851705:RFH851911 RPD851705:RPD851911 RYZ851705:RYZ851911 SIV851705:SIV851911 SSR851705:SSR851911 TCN851705:TCN851911 TMJ851705:TMJ851911 TWF851705:TWF851911 UGB851705:UGB851911 UPX851705:UPX851911 UZT851705:UZT851911 VJP851705:VJP851911 VTL851705:VTL851911 WDH851705:WDH851911 WND851705:WND851911 WWZ851705:WWZ851911 KN917241:KN917447 UJ917241:UJ917447 AEF917241:AEF917447 AOB917241:AOB917447 AXX917241:AXX917447 BHT917241:BHT917447 BRP917241:BRP917447 CBL917241:CBL917447 CLH917241:CLH917447 CVD917241:CVD917447 DEZ917241:DEZ917447 DOV917241:DOV917447 DYR917241:DYR917447 EIN917241:EIN917447 ESJ917241:ESJ917447 FCF917241:FCF917447 FMB917241:FMB917447 FVX917241:FVX917447 GFT917241:GFT917447 GPP917241:GPP917447 GZL917241:GZL917447 HJH917241:HJH917447 HTD917241:HTD917447 ICZ917241:ICZ917447 IMV917241:IMV917447 IWR917241:IWR917447 JGN917241:JGN917447 JQJ917241:JQJ917447 KAF917241:KAF917447 KKB917241:KKB917447 KTX917241:KTX917447 LDT917241:LDT917447 LNP917241:LNP917447 LXL917241:LXL917447 MHH917241:MHH917447 MRD917241:MRD917447 NAZ917241:NAZ917447 NKV917241:NKV917447 NUR917241:NUR917447 OEN917241:OEN917447 OOJ917241:OOJ917447 OYF917241:OYF917447 PIB917241:PIB917447 PRX917241:PRX917447 QBT917241:QBT917447 QLP917241:QLP917447 QVL917241:QVL917447 RFH917241:RFH917447 RPD917241:RPD917447 RYZ917241:RYZ917447 SIV917241:SIV917447 SSR917241:SSR917447 TCN917241:TCN917447 TMJ917241:TMJ917447 TWF917241:TWF917447 UGB917241:UGB917447 UPX917241:UPX917447 UZT917241:UZT917447 VJP917241:VJP917447 VTL917241:VTL917447 WDH917241:WDH917447 WND917241:WND917447 WWZ917241:WWZ917447 KN982777:KN982983 UJ982777:UJ982983 AEF982777:AEF982983 AOB982777:AOB982983 AXX982777:AXX982983 BHT982777:BHT982983 BRP982777:BRP982983 CBL982777:CBL982983 CLH982777:CLH982983 CVD982777:CVD982983 DEZ982777:DEZ982983 DOV982777:DOV982983 DYR982777:DYR982983 EIN982777:EIN982983 ESJ982777:ESJ982983 FCF982777:FCF982983 FMB982777:FMB982983 FVX982777:FVX982983 GFT982777:GFT982983 GPP982777:GPP982983 GZL982777:GZL982983 HJH982777:HJH982983 HTD982777:HTD982983 ICZ982777:ICZ982983 IMV982777:IMV982983 IWR982777:IWR982983 JGN982777:JGN982983 JQJ982777:JQJ982983 KAF982777:KAF982983 KKB982777:KKB982983 KTX982777:KTX982983 LDT982777:LDT982983 LNP982777:LNP982983 LXL982777:LXL982983 MHH982777:MHH982983 MRD982777:MRD982983 NAZ982777:NAZ982983 NKV982777:NKV982983 NUR982777:NUR982983 OEN982777:OEN982983 OOJ982777:OOJ982983 OYF982777:OYF982983 PIB982777:PIB982983 PRX982777:PRX982983 QBT982777:QBT982983 QLP982777:QLP982983 QVL982777:QVL982983 RFH982777:RFH982983 RPD982777:RPD982983 RYZ982777:RYZ982983 SIV982777:SIV982983 SSR982777:SSR982983 TCN982777:TCN982983 TMJ982777:TMJ982983 TWF982777:TWF982983 UGB982777:UGB982983 UPX982777:UPX982983 UZT982777:UZT982983 VJP982777:VJP982983 VTL982777:VTL982983 WDH982777:WDH982983 WND982777:WND982983 WWZ982777:WWZ982983 CB65273:CC65479 LU65273:LU65479 VQ65273:VQ65479 AFM65273:AFM65479 API65273:API65479 AZE65273:AZE65479 BJA65273:BJA65479 BSW65273:BSW65479 CCS65273:CCS65479 CMO65273:CMO65479 CWK65273:CWK65479 DGG65273:DGG65479 DQC65273:DQC65479 DZY65273:DZY65479 EJU65273:EJU65479 ETQ65273:ETQ65479 FDM65273:FDM65479 FNI65273:FNI65479 FXE65273:FXE65479 GHA65273:GHA65479 GQW65273:GQW65479 HAS65273:HAS65479 HKO65273:HKO65479 HUK65273:HUK65479 IEG65273:IEG65479 IOC65273:IOC65479 IXY65273:IXY65479 JHU65273:JHU65479 JRQ65273:JRQ65479 KBM65273:KBM65479 KLI65273:KLI65479 KVE65273:KVE65479 LFA65273:LFA65479 LOW65273:LOW65479 LYS65273:LYS65479 MIO65273:MIO65479 MSK65273:MSK65479 NCG65273:NCG65479 NMC65273:NMC65479 NVY65273:NVY65479 OFU65273:OFU65479 OPQ65273:OPQ65479 OZM65273:OZM65479 PJI65273:PJI65479 PTE65273:PTE65479 QDA65273:QDA65479 QMW65273:QMW65479 QWS65273:QWS65479 RGO65273:RGO65479 RQK65273:RQK65479 SAG65273:SAG65479 SKC65273:SKC65479 STY65273:STY65479 TDU65273:TDU65479 TNQ65273:TNQ65479 TXM65273:TXM65479 UHI65273:UHI65479 URE65273:URE65479 VBA65273:VBA65479 VKW65273:VKW65479 VUS65273:VUS65479 WEO65273:WEO65479 WOK65273:WOK65479 WYG65273:WYG65479 CB130809:CC131015 LU130809:LU131015 VQ130809:VQ131015 AFM130809:AFM131015 API130809:API131015 AZE130809:AZE131015 BJA130809:BJA131015 BSW130809:BSW131015 CCS130809:CCS131015 CMO130809:CMO131015 CWK130809:CWK131015 DGG130809:DGG131015 DQC130809:DQC131015 DZY130809:DZY131015 EJU130809:EJU131015 ETQ130809:ETQ131015 FDM130809:FDM131015 FNI130809:FNI131015 FXE130809:FXE131015 GHA130809:GHA131015 GQW130809:GQW131015 HAS130809:HAS131015 HKO130809:HKO131015 HUK130809:HUK131015 IEG130809:IEG131015 IOC130809:IOC131015 IXY130809:IXY131015 JHU130809:JHU131015 JRQ130809:JRQ131015 KBM130809:KBM131015 KLI130809:KLI131015 KVE130809:KVE131015 LFA130809:LFA131015 LOW130809:LOW131015 LYS130809:LYS131015 MIO130809:MIO131015 MSK130809:MSK131015 NCG130809:NCG131015 NMC130809:NMC131015 NVY130809:NVY131015 OFU130809:OFU131015 OPQ130809:OPQ131015 OZM130809:OZM131015 PJI130809:PJI131015 PTE130809:PTE131015 QDA130809:QDA131015 QMW130809:QMW131015 QWS130809:QWS131015 RGO130809:RGO131015 RQK130809:RQK131015 SAG130809:SAG131015 SKC130809:SKC131015 STY130809:STY131015 TDU130809:TDU131015 TNQ130809:TNQ131015 TXM130809:TXM131015 UHI130809:UHI131015 URE130809:URE131015 VBA130809:VBA131015 VKW130809:VKW131015 VUS130809:VUS131015 WEO130809:WEO131015 WOK130809:WOK131015 WYG130809:WYG131015 CB196345:CC196551 LU196345:LU196551 VQ196345:VQ196551 AFM196345:AFM196551 API196345:API196551 AZE196345:AZE196551 BJA196345:BJA196551 BSW196345:BSW196551 CCS196345:CCS196551 CMO196345:CMO196551 CWK196345:CWK196551 DGG196345:DGG196551 DQC196345:DQC196551 DZY196345:DZY196551 EJU196345:EJU196551 ETQ196345:ETQ196551 FDM196345:FDM196551 FNI196345:FNI196551 FXE196345:FXE196551 GHA196345:GHA196551 GQW196345:GQW196551 HAS196345:HAS196551 HKO196345:HKO196551 HUK196345:HUK196551 IEG196345:IEG196551 IOC196345:IOC196551 IXY196345:IXY196551 JHU196345:JHU196551 JRQ196345:JRQ196551 KBM196345:KBM196551 KLI196345:KLI196551 KVE196345:KVE196551 LFA196345:LFA196551 LOW196345:LOW196551 LYS196345:LYS196551 MIO196345:MIO196551 MSK196345:MSK196551 NCG196345:NCG196551 NMC196345:NMC196551 NVY196345:NVY196551 OFU196345:OFU196551 OPQ196345:OPQ196551 OZM196345:OZM196551 PJI196345:PJI196551 PTE196345:PTE196551 QDA196345:QDA196551 QMW196345:QMW196551 QWS196345:QWS196551 RGO196345:RGO196551 RQK196345:RQK196551 SAG196345:SAG196551 SKC196345:SKC196551 STY196345:STY196551 TDU196345:TDU196551 TNQ196345:TNQ196551 TXM196345:TXM196551 UHI196345:UHI196551 URE196345:URE196551 VBA196345:VBA196551 VKW196345:VKW196551 VUS196345:VUS196551 WEO196345:WEO196551 WOK196345:WOK196551 WYG196345:WYG196551 CB261881:CC262087 LU261881:LU262087 VQ261881:VQ262087 AFM261881:AFM262087 API261881:API262087 AZE261881:AZE262087 BJA261881:BJA262087 BSW261881:BSW262087 CCS261881:CCS262087 CMO261881:CMO262087 CWK261881:CWK262087 DGG261881:DGG262087 DQC261881:DQC262087 DZY261881:DZY262087 EJU261881:EJU262087 ETQ261881:ETQ262087 FDM261881:FDM262087 FNI261881:FNI262087 FXE261881:FXE262087 GHA261881:GHA262087 GQW261881:GQW262087 HAS261881:HAS262087 HKO261881:HKO262087 HUK261881:HUK262087 IEG261881:IEG262087 IOC261881:IOC262087 IXY261881:IXY262087 JHU261881:JHU262087 JRQ261881:JRQ262087 KBM261881:KBM262087 KLI261881:KLI262087 KVE261881:KVE262087 LFA261881:LFA262087 LOW261881:LOW262087 LYS261881:LYS262087 MIO261881:MIO262087 MSK261881:MSK262087 NCG261881:NCG262087 NMC261881:NMC262087 NVY261881:NVY262087 OFU261881:OFU262087 OPQ261881:OPQ262087 OZM261881:OZM262087 PJI261881:PJI262087 PTE261881:PTE262087 QDA261881:QDA262087 QMW261881:QMW262087 QWS261881:QWS262087 RGO261881:RGO262087 RQK261881:RQK262087 SAG261881:SAG262087 SKC261881:SKC262087 STY261881:STY262087 TDU261881:TDU262087 TNQ261881:TNQ262087 TXM261881:TXM262087 UHI261881:UHI262087 URE261881:URE262087 VBA261881:VBA262087 VKW261881:VKW262087 VUS261881:VUS262087 WEO261881:WEO262087 WOK261881:WOK262087 WYG261881:WYG262087 CB327417:CC327623 LU327417:LU327623 VQ327417:VQ327623 AFM327417:AFM327623 API327417:API327623 AZE327417:AZE327623 BJA327417:BJA327623 BSW327417:BSW327623 CCS327417:CCS327623 CMO327417:CMO327623 CWK327417:CWK327623 DGG327417:DGG327623 DQC327417:DQC327623 DZY327417:DZY327623 EJU327417:EJU327623 ETQ327417:ETQ327623 FDM327417:FDM327623 FNI327417:FNI327623 FXE327417:FXE327623 GHA327417:GHA327623 GQW327417:GQW327623 HAS327417:HAS327623 HKO327417:HKO327623 HUK327417:HUK327623 IEG327417:IEG327623 IOC327417:IOC327623 IXY327417:IXY327623 JHU327417:JHU327623 JRQ327417:JRQ327623 KBM327417:KBM327623 KLI327417:KLI327623 KVE327417:KVE327623 LFA327417:LFA327623 LOW327417:LOW327623 LYS327417:LYS327623 MIO327417:MIO327623 MSK327417:MSK327623 NCG327417:NCG327623 NMC327417:NMC327623 NVY327417:NVY327623 OFU327417:OFU327623 OPQ327417:OPQ327623 OZM327417:OZM327623 PJI327417:PJI327623 PTE327417:PTE327623 QDA327417:QDA327623 QMW327417:QMW327623 QWS327417:QWS327623 RGO327417:RGO327623 RQK327417:RQK327623 SAG327417:SAG327623 SKC327417:SKC327623 STY327417:STY327623 TDU327417:TDU327623 TNQ327417:TNQ327623 TXM327417:TXM327623 UHI327417:UHI327623 URE327417:URE327623 VBA327417:VBA327623 VKW327417:VKW327623 VUS327417:VUS327623 WEO327417:WEO327623 WOK327417:WOK327623 WYG327417:WYG327623 CB392953:CC393159 LU392953:LU393159 VQ392953:VQ393159 AFM392953:AFM393159 API392953:API393159 AZE392953:AZE393159 BJA392953:BJA393159 BSW392953:BSW393159 CCS392953:CCS393159 CMO392953:CMO393159 CWK392953:CWK393159 DGG392953:DGG393159 DQC392953:DQC393159 DZY392953:DZY393159 EJU392953:EJU393159 ETQ392953:ETQ393159 FDM392953:FDM393159 FNI392953:FNI393159 FXE392953:FXE393159 GHA392953:GHA393159 GQW392953:GQW393159 HAS392953:HAS393159 HKO392953:HKO393159 HUK392953:HUK393159 IEG392953:IEG393159 IOC392953:IOC393159 IXY392953:IXY393159 JHU392953:JHU393159 JRQ392953:JRQ393159 KBM392953:KBM393159 KLI392953:KLI393159 KVE392953:KVE393159 LFA392953:LFA393159 LOW392953:LOW393159 LYS392953:LYS393159 MIO392953:MIO393159 MSK392953:MSK393159 NCG392953:NCG393159 NMC392953:NMC393159 NVY392953:NVY393159 OFU392953:OFU393159 OPQ392953:OPQ393159 OZM392953:OZM393159 PJI392953:PJI393159 PTE392953:PTE393159 QDA392953:QDA393159 QMW392953:QMW393159 QWS392953:QWS393159 RGO392953:RGO393159 RQK392953:RQK393159 SAG392953:SAG393159 SKC392953:SKC393159 STY392953:STY393159 TDU392953:TDU393159 TNQ392953:TNQ393159 TXM392953:TXM393159 UHI392953:UHI393159 URE392953:URE393159 VBA392953:VBA393159 VKW392953:VKW393159 VUS392953:VUS393159 WEO392953:WEO393159 WOK392953:WOK393159 WYG392953:WYG393159 CB458489:CC458695 LU458489:LU458695 VQ458489:VQ458695 AFM458489:AFM458695 API458489:API458695 AZE458489:AZE458695 BJA458489:BJA458695 BSW458489:BSW458695 CCS458489:CCS458695 CMO458489:CMO458695 CWK458489:CWK458695 DGG458489:DGG458695 DQC458489:DQC458695 DZY458489:DZY458695 EJU458489:EJU458695 ETQ458489:ETQ458695 FDM458489:FDM458695 FNI458489:FNI458695 FXE458489:FXE458695 GHA458489:GHA458695 GQW458489:GQW458695 HAS458489:HAS458695 HKO458489:HKO458695 HUK458489:HUK458695 IEG458489:IEG458695 IOC458489:IOC458695 IXY458489:IXY458695 JHU458489:JHU458695 JRQ458489:JRQ458695 KBM458489:KBM458695 KLI458489:KLI458695 KVE458489:KVE458695 LFA458489:LFA458695 LOW458489:LOW458695 LYS458489:LYS458695 MIO458489:MIO458695 MSK458489:MSK458695 NCG458489:NCG458695 NMC458489:NMC458695 NVY458489:NVY458695 OFU458489:OFU458695 OPQ458489:OPQ458695 OZM458489:OZM458695 PJI458489:PJI458695 PTE458489:PTE458695 QDA458489:QDA458695 QMW458489:QMW458695 QWS458489:QWS458695 RGO458489:RGO458695 RQK458489:RQK458695 SAG458489:SAG458695 SKC458489:SKC458695 STY458489:STY458695 TDU458489:TDU458695 TNQ458489:TNQ458695 TXM458489:TXM458695 UHI458489:UHI458695 URE458489:URE458695 VBA458489:VBA458695 VKW458489:VKW458695 VUS458489:VUS458695 WEO458489:WEO458695 WOK458489:WOK458695 WYG458489:WYG458695 CB524025:CC524231 LU524025:LU524231 VQ524025:VQ524231 AFM524025:AFM524231 API524025:API524231 AZE524025:AZE524231 BJA524025:BJA524231 BSW524025:BSW524231 CCS524025:CCS524231 CMO524025:CMO524231 CWK524025:CWK524231 DGG524025:DGG524231 DQC524025:DQC524231 DZY524025:DZY524231 EJU524025:EJU524231 ETQ524025:ETQ524231 FDM524025:FDM524231 FNI524025:FNI524231 FXE524025:FXE524231 GHA524025:GHA524231 GQW524025:GQW524231 HAS524025:HAS524231 HKO524025:HKO524231 HUK524025:HUK524231 IEG524025:IEG524231 IOC524025:IOC524231 IXY524025:IXY524231 JHU524025:JHU524231 JRQ524025:JRQ524231 KBM524025:KBM524231 KLI524025:KLI524231 KVE524025:KVE524231 LFA524025:LFA524231 LOW524025:LOW524231 LYS524025:LYS524231 MIO524025:MIO524231 MSK524025:MSK524231 NCG524025:NCG524231 NMC524025:NMC524231 NVY524025:NVY524231 OFU524025:OFU524231 OPQ524025:OPQ524231 OZM524025:OZM524231 PJI524025:PJI524231 PTE524025:PTE524231 QDA524025:QDA524231 QMW524025:QMW524231 QWS524025:QWS524231 RGO524025:RGO524231 RQK524025:RQK524231 SAG524025:SAG524231 SKC524025:SKC524231 STY524025:STY524231 TDU524025:TDU524231 TNQ524025:TNQ524231 TXM524025:TXM524231 UHI524025:UHI524231 URE524025:URE524231 VBA524025:VBA524231 VKW524025:VKW524231 VUS524025:VUS524231 WEO524025:WEO524231 WOK524025:WOK524231 WYG524025:WYG524231 CB589561:CC589767 LU589561:LU589767 VQ589561:VQ589767 AFM589561:AFM589767 API589561:API589767 AZE589561:AZE589767 BJA589561:BJA589767 BSW589561:BSW589767 CCS589561:CCS589767 CMO589561:CMO589767 CWK589561:CWK589767 DGG589561:DGG589767 DQC589561:DQC589767 DZY589561:DZY589767 EJU589561:EJU589767 ETQ589561:ETQ589767 FDM589561:FDM589767 FNI589561:FNI589767 FXE589561:FXE589767 GHA589561:GHA589767 GQW589561:GQW589767 HAS589561:HAS589767 HKO589561:HKO589767 HUK589561:HUK589767 IEG589561:IEG589767 IOC589561:IOC589767 IXY589561:IXY589767 JHU589561:JHU589767 JRQ589561:JRQ589767 KBM589561:KBM589767 KLI589561:KLI589767 KVE589561:KVE589767 LFA589561:LFA589767 LOW589561:LOW589767 LYS589561:LYS589767 MIO589561:MIO589767 MSK589561:MSK589767 NCG589561:NCG589767 NMC589561:NMC589767 NVY589561:NVY589767 OFU589561:OFU589767 OPQ589561:OPQ589767 OZM589561:OZM589767 PJI589561:PJI589767 PTE589561:PTE589767 QDA589561:QDA589767 QMW589561:QMW589767 QWS589561:QWS589767 RGO589561:RGO589767 RQK589561:RQK589767 SAG589561:SAG589767 SKC589561:SKC589767 STY589561:STY589767 TDU589561:TDU589767 TNQ589561:TNQ589767 TXM589561:TXM589767 UHI589561:UHI589767 URE589561:URE589767 VBA589561:VBA589767 VKW589561:VKW589767 VUS589561:VUS589767 WEO589561:WEO589767 WOK589561:WOK589767 WYG589561:WYG589767 CB655097:CC655303 LU655097:LU655303 VQ655097:VQ655303 AFM655097:AFM655303 API655097:API655303 AZE655097:AZE655303 BJA655097:BJA655303 BSW655097:BSW655303 CCS655097:CCS655303 CMO655097:CMO655303 CWK655097:CWK655303 DGG655097:DGG655303 DQC655097:DQC655303 DZY655097:DZY655303 EJU655097:EJU655303 ETQ655097:ETQ655303 FDM655097:FDM655303 FNI655097:FNI655303 FXE655097:FXE655303 GHA655097:GHA655303 GQW655097:GQW655303 HAS655097:HAS655303 HKO655097:HKO655303 HUK655097:HUK655303 IEG655097:IEG655303 IOC655097:IOC655303 IXY655097:IXY655303 JHU655097:JHU655303 JRQ655097:JRQ655303 KBM655097:KBM655303 KLI655097:KLI655303 KVE655097:KVE655303 LFA655097:LFA655303 LOW655097:LOW655303 LYS655097:LYS655303 MIO655097:MIO655303 MSK655097:MSK655303 NCG655097:NCG655303 NMC655097:NMC655303 NVY655097:NVY655303 OFU655097:OFU655303 OPQ655097:OPQ655303 OZM655097:OZM655303 PJI655097:PJI655303 PTE655097:PTE655303 QDA655097:QDA655303 QMW655097:QMW655303 QWS655097:QWS655303 RGO655097:RGO655303 RQK655097:RQK655303 SAG655097:SAG655303 SKC655097:SKC655303 STY655097:STY655303 TDU655097:TDU655303 TNQ655097:TNQ655303 TXM655097:TXM655303 UHI655097:UHI655303 URE655097:URE655303 VBA655097:VBA655303 VKW655097:VKW655303 VUS655097:VUS655303 WEO655097:WEO655303 WOK655097:WOK655303 WYG655097:WYG655303 CB720633:CC720839 LU720633:LU720839 VQ720633:VQ720839 AFM720633:AFM720839 API720633:API720839 AZE720633:AZE720839 BJA720633:BJA720839 BSW720633:BSW720839 CCS720633:CCS720839 CMO720633:CMO720839 CWK720633:CWK720839 DGG720633:DGG720839 DQC720633:DQC720839 DZY720633:DZY720839 EJU720633:EJU720839 ETQ720633:ETQ720839 FDM720633:FDM720839 FNI720633:FNI720839 FXE720633:FXE720839 GHA720633:GHA720839 GQW720633:GQW720839 HAS720633:HAS720839 HKO720633:HKO720839 HUK720633:HUK720839 IEG720633:IEG720839 IOC720633:IOC720839 IXY720633:IXY720839 JHU720633:JHU720839 JRQ720633:JRQ720839 KBM720633:KBM720839 KLI720633:KLI720839 KVE720633:KVE720839 LFA720633:LFA720839 LOW720633:LOW720839 LYS720633:LYS720839 MIO720633:MIO720839 MSK720633:MSK720839 NCG720633:NCG720839 NMC720633:NMC720839 NVY720633:NVY720839 OFU720633:OFU720839 OPQ720633:OPQ720839 OZM720633:OZM720839 PJI720633:PJI720839 PTE720633:PTE720839 QDA720633:QDA720839 QMW720633:QMW720839 QWS720633:QWS720839 RGO720633:RGO720839 RQK720633:RQK720839 SAG720633:SAG720839 SKC720633:SKC720839 STY720633:STY720839 TDU720633:TDU720839 TNQ720633:TNQ720839 TXM720633:TXM720839 UHI720633:UHI720839 URE720633:URE720839 VBA720633:VBA720839 VKW720633:VKW720839 VUS720633:VUS720839 WEO720633:WEO720839 WOK720633:WOK720839 WYG720633:WYG720839 CB786169:CC786375 LU786169:LU786375 VQ786169:VQ786375 AFM786169:AFM786375 API786169:API786375 AZE786169:AZE786375 BJA786169:BJA786375 BSW786169:BSW786375 CCS786169:CCS786375 CMO786169:CMO786375 CWK786169:CWK786375 DGG786169:DGG786375 DQC786169:DQC786375 DZY786169:DZY786375 EJU786169:EJU786375 ETQ786169:ETQ786375 FDM786169:FDM786375 FNI786169:FNI786375 FXE786169:FXE786375 GHA786169:GHA786375 GQW786169:GQW786375 HAS786169:HAS786375 HKO786169:HKO786375 HUK786169:HUK786375 IEG786169:IEG786375 IOC786169:IOC786375 IXY786169:IXY786375 JHU786169:JHU786375 JRQ786169:JRQ786375 KBM786169:KBM786375 KLI786169:KLI786375 KVE786169:KVE786375 LFA786169:LFA786375 LOW786169:LOW786375 LYS786169:LYS786375 MIO786169:MIO786375 MSK786169:MSK786375 NCG786169:NCG786375 NMC786169:NMC786375 NVY786169:NVY786375 OFU786169:OFU786375 OPQ786169:OPQ786375 OZM786169:OZM786375 PJI786169:PJI786375 PTE786169:PTE786375 QDA786169:QDA786375 QMW786169:QMW786375 QWS786169:QWS786375 RGO786169:RGO786375 RQK786169:RQK786375 SAG786169:SAG786375 SKC786169:SKC786375 STY786169:STY786375 TDU786169:TDU786375 TNQ786169:TNQ786375 TXM786169:TXM786375 UHI786169:UHI786375 URE786169:URE786375 VBA786169:VBA786375 VKW786169:VKW786375 VUS786169:VUS786375 WEO786169:WEO786375 WOK786169:WOK786375 WYG786169:WYG786375 CB851705:CC851911 LU851705:LU851911 VQ851705:VQ851911 AFM851705:AFM851911 API851705:API851911 AZE851705:AZE851911 BJA851705:BJA851911 BSW851705:BSW851911 CCS851705:CCS851911 CMO851705:CMO851911 CWK851705:CWK851911 DGG851705:DGG851911 DQC851705:DQC851911 DZY851705:DZY851911 EJU851705:EJU851911 ETQ851705:ETQ851911 FDM851705:FDM851911 FNI851705:FNI851911 FXE851705:FXE851911 GHA851705:GHA851911 GQW851705:GQW851911 HAS851705:HAS851911 HKO851705:HKO851911 HUK851705:HUK851911 IEG851705:IEG851911 IOC851705:IOC851911 IXY851705:IXY851911 JHU851705:JHU851911 JRQ851705:JRQ851911 KBM851705:KBM851911 KLI851705:KLI851911 KVE851705:KVE851911 LFA851705:LFA851911 LOW851705:LOW851911 LYS851705:LYS851911 MIO851705:MIO851911 MSK851705:MSK851911 NCG851705:NCG851911 NMC851705:NMC851911 NVY851705:NVY851911 OFU851705:OFU851911 OPQ851705:OPQ851911 OZM851705:OZM851911 PJI851705:PJI851911 PTE851705:PTE851911 QDA851705:QDA851911 QMW851705:QMW851911 QWS851705:QWS851911 RGO851705:RGO851911 RQK851705:RQK851911 SAG851705:SAG851911 SKC851705:SKC851911 STY851705:STY851911 TDU851705:TDU851911 TNQ851705:TNQ851911 TXM851705:TXM851911 UHI851705:UHI851911 URE851705:URE851911 VBA851705:VBA851911 VKW851705:VKW851911 VUS851705:VUS851911 WEO851705:WEO851911 WOK851705:WOK851911 WYG851705:WYG851911 CB917241:CC917447 LU917241:LU917447 VQ917241:VQ917447 AFM917241:AFM917447 API917241:API917447 AZE917241:AZE917447 BJA917241:BJA917447 BSW917241:BSW917447 CCS917241:CCS917447 CMO917241:CMO917447 CWK917241:CWK917447 DGG917241:DGG917447 DQC917241:DQC917447 DZY917241:DZY917447 EJU917241:EJU917447 ETQ917241:ETQ917447 FDM917241:FDM917447 FNI917241:FNI917447 FXE917241:FXE917447 GHA917241:GHA917447 GQW917241:GQW917447 HAS917241:HAS917447 HKO917241:HKO917447 HUK917241:HUK917447 IEG917241:IEG917447 IOC917241:IOC917447 IXY917241:IXY917447 JHU917241:JHU917447 JRQ917241:JRQ917447 KBM917241:KBM917447 KLI917241:KLI917447 KVE917241:KVE917447 LFA917241:LFA917447 LOW917241:LOW917447 LYS917241:LYS917447 MIO917241:MIO917447 MSK917241:MSK917447 NCG917241:NCG917447 NMC917241:NMC917447 NVY917241:NVY917447 OFU917241:OFU917447 OPQ917241:OPQ917447 OZM917241:OZM917447 PJI917241:PJI917447 PTE917241:PTE917447 QDA917241:QDA917447 QMW917241:QMW917447 QWS917241:QWS917447 RGO917241:RGO917447 RQK917241:RQK917447 SAG917241:SAG917447 SKC917241:SKC917447 STY917241:STY917447 TDU917241:TDU917447 TNQ917241:TNQ917447 TXM917241:TXM917447 UHI917241:UHI917447 URE917241:URE917447 VBA917241:VBA917447 VKW917241:VKW917447 VUS917241:VUS917447 WEO917241:WEO917447 WOK917241:WOK917447 WYG917241:WYG917447 CB982777:CC982983 LU982777:LU982983 VQ982777:VQ982983 AFM982777:AFM982983 API982777:API982983 AZE982777:AZE982983 BJA982777:BJA982983 BSW982777:BSW982983 CCS982777:CCS982983 CMO982777:CMO982983 CWK982777:CWK982983 DGG982777:DGG982983 DQC982777:DQC982983 DZY982777:DZY982983 EJU982777:EJU982983 ETQ982777:ETQ982983 FDM982777:FDM982983 FNI982777:FNI982983 FXE982777:FXE982983 GHA982777:GHA982983 GQW982777:GQW982983 HAS982777:HAS982983 HKO982777:HKO982983 HUK982777:HUK982983 IEG982777:IEG982983 IOC982777:IOC982983 IXY982777:IXY982983 JHU982777:JHU982983 JRQ982777:JRQ982983 KBM982777:KBM982983 KLI982777:KLI982983 KVE982777:KVE982983 LFA982777:LFA982983 LOW982777:LOW982983 LYS982777:LYS982983 MIO982777:MIO982983 MSK982777:MSK982983 NCG982777:NCG982983 NMC982777:NMC982983 NVY982777:NVY982983 OFU982777:OFU982983 OPQ982777:OPQ982983 OZM982777:OZM982983 PJI982777:PJI982983 PTE982777:PTE982983 QDA982777:QDA982983 QMW982777:QMW982983 QWS982777:QWS982983 RGO982777:RGO982983 RQK982777:RQK982983 SAG982777:SAG982983 SKC982777:SKC982983 STY982777:STY982983 TDU982777:TDU982983 TNQ982777:TNQ982983 TXM982777:TXM982983 UHI982777:UHI982983 URE982777:URE982983 VBA982777:VBA982983 VKW982777:VKW982983 VUS982777:VUS982983 WEO982777:WEO982983 WOK982777:WOK982983 WYG982777:WYG982983 LA65273:LA65479 UW65273:UW65479 AES65273:AES65479 AOO65273:AOO65479 AYK65273:AYK65479 BIG65273:BIG65479 BSC65273:BSC65479 CBY65273:CBY65479 CLU65273:CLU65479 CVQ65273:CVQ65479 DFM65273:DFM65479 DPI65273:DPI65479 DZE65273:DZE65479 EJA65273:EJA65479 ESW65273:ESW65479 FCS65273:FCS65479 FMO65273:FMO65479 FWK65273:FWK65479 GGG65273:GGG65479 GQC65273:GQC65479 GZY65273:GZY65479 HJU65273:HJU65479 HTQ65273:HTQ65479 IDM65273:IDM65479 INI65273:INI65479 IXE65273:IXE65479 JHA65273:JHA65479 JQW65273:JQW65479 KAS65273:KAS65479 KKO65273:KKO65479 KUK65273:KUK65479 LEG65273:LEG65479 LOC65273:LOC65479 LXY65273:LXY65479 MHU65273:MHU65479 MRQ65273:MRQ65479 NBM65273:NBM65479 NLI65273:NLI65479 NVE65273:NVE65479 OFA65273:OFA65479 OOW65273:OOW65479 OYS65273:OYS65479 PIO65273:PIO65479 PSK65273:PSK65479 QCG65273:QCG65479 QMC65273:QMC65479 QVY65273:QVY65479 RFU65273:RFU65479 RPQ65273:RPQ65479 RZM65273:RZM65479 SJI65273:SJI65479 STE65273:STE65479 TDA65273:TDA65479 TMW65273:TMW65479 TWS65273:TWS65479 UGO65273:UGO65479 UQK65273:UQK65479 VAG65273:VAG65479 VKC65273:VKC65479 VTY65273:VTY65479 WDU65273:WDU65479 WNQ65273:WNQ65479 WXM65273:WXM65479 LA130809:LA131015 UW130809:UW131015 AES130809:AES131015 AOO130809:AOO131015 AYK130809:AYK131015 BIG130809:BIG131015 BSC130809:BSC131015 CBY130809:CBY131015 CLU130809:CLU131015 CVQ130809:CVQ131015 DFM130809:DFM131015 DPI130809:DPI131015 DZE130809:DZE131015 EJA130809:EJA131015 ESW130809:ESW131015 FCS130809:FCS131015 FMO130809:FMO131015 FWK130809:FWK131015 GGG130809:GGG131015 GQC130809:GQC131015 GZY130809:GZY131015 HJU130809:HJU131015 HTQ130809:HTQ131015 IDM130809:IDM131015 INI130809:INI131015 IXE130809:IXE131015 JHA130809:JHA131015 JQW130809:JQW131015 KAS130809:KAS131015 KKO130809:KKO131015 KUK130809:KUK131015 LEG130809:LEG131015 LOC130809:LOC131015 LXY130809:LXY131015 MHU130809:MHU131015 MRQ130809:MRQ131015 NBM130809:NBM131015 NLI130809:NLI131015 NVE130809:NVE131015 OFA130809:OFA131015 OOW130809:OOW131015 OYS130809:OYS131015 PIO130809:PIO131015 PSK130809:PSK131015 QCG130809:QCG131015 QMC130809:QMC131015 QVY130809:QVY131015 RFU130809:RFU131015 RPQ130809:RPQ131015 RZM130809:RZM131015 SJI130809:SJI131015 STE130809:STE131015 TDA130809:TDA131015 TMW130809:TMW131015 TWS130809:TWS131015 UGO130809:UGO131015 UQK130809:UQK131015 VAG130809:VAG131015 VKC130809:VKC131015 VTY130809:VTY131015 WDU130809:WDU131015 WNQ130809:WNQ131015 WXM130809:WXM131015 LA196345:LA196551 UW196345:UW196551 AES196345:AES196551 AOO196345:AOO196551 AYK196345:AYK196551 BIG196345:BIG196551 BSC196345:BSC196551 CBY196345:CBY196551 CLU196345:CLU196551 CVQ196345:CVQ196551 DFM196345:DFM196551 DPI196345:DPI196551 DZE196345:DZE196551 EJA196345:EJA196551 ESW196345:ESW196551 FCS196345:FCS196551 FMO196345:FMO196551 FWK196345:FWK196551 GGG196345:GGG196551 GQC196345:GQC196551 GZY196345:GZY196551 HJU196345:HJU196551 HTQ196345:HTQ196551 IDM196345:IDM196551 INI196345:INI196551 IXE196345:IXE196551 JHA196345:JHA196551 JQW196345:JQW196551 KAS196345:KAS196551 KKO196345:KKO196551 KUK196345:KUK196551 LEG196345:LEG196551 LOC196345:LOC196551 LXY196345:LXY196551 MHU196345:MHU196551 MRQ196345:MRQ196551 NBM196345:NBM196551 NLI196345:NLI196551 NVE196345:NVE196551 OFA196345:OFA196551 OOW196345:OOW196551 OYS196345:OYS196551 PIO196345:PIO196551 PSK196345:PSK196551 QCG196345:QCG196551 QMC196345:QMC196551 QVY196345:QVY196551 RFU196345:RFU196551 RPQ196345:RPQ196551 RZM196345:RZM196551 SJI196345:SJI196551 STE196345:STE196551 TDA196345:TDA196551 TMW196345:TMW196551 TWS196345:TWS196551 UGO196345:UGO196551 UQK196345:UQK196551 VAG196345:VAG196551 VKC196345:VKC196551 VTY196345:VTY196551 WDU196345:WDU196551 WNQ196345:WNQ196551 WXM196345:WXM196551 LA261881:LA262087 UW261881:UW262087 AES261881:AES262087 AOO261881:AOO262087 AYK261881:AYK262087 BIG261881:BIG262087 BSC261881:BSC262087 CBY261881:CBY262087 CLU261881:CLU262087 CVQ261881:CVQ262087 DFM261881:DFM262087 DPI261881:DPI262087 DZE261881:DZE262087 EJA261881:EJA262087 ESW261881:ESW262087 FCS261881:FCS262087 FMO261881:FMO262087 FWK261881:FWK262087 GGG261881:GGG262087 GQC261881:GQC262087 GZY261881:GZY262087 HJU261881:HJU262087 HTQ261881:HTQ262087 IDM261881:IDM262087 INI261881:INI262087 IXE261881:IXE262087 JHA261881:JHA262087 JQW261881:JQW262087 KAS261881:KAS262087 KKO261881:KKO262087 KUK261881:KUK262087 LEG261881:LEG262087 LOC261881:LOC262087 LXY261881:LXY262087 MHU261881:MHU262087 MRQ261881:MRQ262087 NBM261881:NBM262087 NLI261881:NLI262087 NVE261881:NVE262087 OFA261881:OFA262087 OOW261881:OOW262087 OYS261881:OYS262087 PIO261881:PIO262087 PSK261881:PSK262087 QCG261881:QCG262087 QMC261881:QMC262087 QVY261881:QVY262087 RFU261881:RFU262087 RPQ261881:RPQ262087 RZM261881:RZM262087 SJI261881:SJI262087 STE261881:STE262087 TDA261881:TDA262087 TMW261881:TMW262087 TWS261881:TWS262087 UGO261881:UGO262087 UQK261881:UQK262087 VAG261881:VAG262087 VKC261881:VKC262087 VTY261881:VTY262087 WDU261881:WDU262087 WNQ261881:WNQ262087 WXM261881:WXM262087 LA327417:LA327623 UW327417:UW327623 AES327417:AES327623 AOO327417:AOO327623 AYK327417:AYK327623 BIG327417:BIG327623 BSC327417:BSC327623 CBY327417:CBY327623 CLU327417:CLU327623 CVQ327417:CVQ327623 DFM327417:DFM327623 DPI327417:DPI327623 DZE327417:DZE327623 EJA327417:EJA327623 ESW327417:ESW327623 FCS327417:FCS327623 FMO327417:FMO327623 FWK327417:FWK327623 GGG327417:GGG327623 GQC327417:GQC327623 GZY327417:GZY327623 HJU327417:HJU327623 HTQ327417:HTQ327623 IDM327417:IDM327623 INI327417:INI327623 IXE327417:IXE327623 JHA327417:JHA327623 JQW327417:JQW327623 KAS327417:KAS327623 KKO327417:KKO327623 KUK327417:KUK327623 LEG327417:LEG327623 LOC327417:LOC327623 LXY327417:LXY327623 MHU327417:MHU327623 MRQ327417:MRQ327623 NBM327417:NBM327623 NLI327417:NLI327623 NVE327417:NVE327623 OFA327417:OFA327623 OOW327417:OOW327623 OYS327417:OYS327623 PIO327417:PIO327623 PSK327417:PSK327623 QCG327417:QCG327623 QMC327417:QMC327623 QVY327417:QVY327623 RFU327417:RFU327623 RPQ327417:RPQ327623 RZM327417:RZM327623 SJI327417:SJI327623 STE327417:STE327623 TDA327417:TDA327623 TMW327417:TMW327623 TWS327417:TWS327623 UGO327417:UGO327623 UQK327417:UQK327623 VAG327417:VAG327623 VKC327417:VKC327623 VTY327417:VTY327623 WDU327417:WDU327623 WNQ327417:WNQ327623 WXM327417:WXM327623 LA392953:LA393159 UW392953:UW393159 AES392953:AES393159 AOO392953:AOO393159 AYK392953:AYK393159 BIG392953:BIG393159 BSC392953:BSC393159 CBY392953:CBY393159 CLU392953:CLU393159 CVQ392953:CVQ393159 DFM392953:DFM393159 DPI392953:DPI393159 DZE392953:DZE393159 EJA392953:EJA393159 ESW392953:ESW393159 FCS392953:FCS393159 FMO392953:FMO393159 FWK392953:FWK393159 GGG392953:GGG393159 GQC392953:GQC393159 GZY392953:GZY393159 HJU392953:HJU393159 HTQ392953:HTQ393159 IDM392953:IDM393159 INI392953:INI393159 IXE392953:IXE393159 JHA392953:JHA393159 JQW392953:JQW393159 KAS392953:KAS393159 KKO392953:KKO393159 KUK392953:KUK393159 LEG392953:LEG393159 LOC392953:LOC393159 LXY392953:LXY393159 MHU392953:MHU393159 MRQ392953:MRQ393159 NBM392953:NBM393159 NLI392953:NLI393159 NVE392953:NVE393159 OFA392953:OFA393159 OOW392953:OOW393159 OYS392953:OYS393159 PIO392953:PIO393159 PSK392953:PSK393159 QCG392953:QCG393159 QMC392953:QMC393159 QVY392953:QVY393159 RFU392953:RFU393159 RPQ392953:RPQ393159 RZM392953:RZM393159 SJI392953:SJI393159 STE392953:STE393159 TDA392953:TDA393159 TMW392953:TMW393159 TWS392953:TWS393159 UGO392953:UGO393159 UQK392953:UQK393159 VAG392953:VAG393159 VKC392953:VKC393159 VTY392953:VTY393159 WDU392953:WDU393159 WNQ392953:WNQ393159 WXM392953:WXM393159 LA458489:LA458695 UW458489:UW458695 AES458489:AES458695 AOO458489:AOO458695 AYK458489:AYK458695 BIG458489:BIG458695 BSC458489:BSC458695 CBY458489:CBY458695 CLU458489:CLU458695 CVQ458489:CVQ458695 DFM458489:DFM458695 DPI458489:DPI458695 DZE458489:DZE458695 EJA458489:EJA458695 ESW458489:ESW458695 FCS458489:FCS458695 FMO458489:FMO458695 FWK458489:FWK458695 GGG458489:GGG458695 GQC458489:GQC458695 GZY458489:GZY458695 HJU458489:HJU458695 HTQ458489:HTQ458695 IDM458489:IDM458695 INI458489:INI458695 IXE458489:IXE458695 JHA458489:JHA458695 JQW458489:JQW458695 KAS458489:KAS458695 KKO458489:KKO458695 KUK458489:KUK458695 LEG458489:LEG458695 LOC458489:LOC458695 LXY458489:LXY458695 MHU458489:MHU458695 MRQ458489:MRQ458695 NBM458489:NBM458695 NLI458489:NLI458695 NVE458489:NVE458695 OFA458489:OFA458695 OOW458489:OOW458695 OYS458489:OYS458695 PIO458489:PIO458695 PSK458489:PSK458695 QCG458489:QCG458695 QMC458489:QMC458695 QVY458489:QVY458695 RFU458489:RFU458695 RPQ458489:RPQ458695 RZM458489:RZM458695 SJI458489:SJI458695 STE458489:STE458695 TDA458489:TDA458695 TMW458489:TMW458695 TWS458489:TWS458695 UGO458489:UGO458695 UQK458489:UQK458695 VAG458489:VAG458695 VKC458489:VKC458695 VTY458489:VTY458695 WDU458489:WDU458695 WNQ458489:WNQ458695 WXM458489:WXM458695 LA524025:LA524231 UW524025:UW524231 AES524025:AES524231 AOO524025:AOO524231 AYK524025:AYK524231 BIG524025:BIG524231 BSC524025:BSC524231 CBY524025:CBY524231 CLU524025:CLU524231 CVQ524025:CVQ524231 DFM524025:DFM524231 DPI524025:DPI524231 DZE524025:DZE524231 EJA524025:EJA524231 ESW524025:ESW524231 FCS524025:FCS524231 FMO524025:FMO524231 FWK524025:FWK524231 GGG524025:GGG524231 GQC524025:GQC524231 GZY524025:GZY524231 HJU524025:HJU524231 HTQ524025:HTQ524231 IDM524025:IDM524231 INI524025:INI524231 IXE524025:IXE524231 JHA524025:JHA524231 JQW524025:JQW524231 KAS524025:KAS524231 KKO524025:KKO524231 KUK524025:KUK524231 LEG524025:LEG524231 LOC524025:LOC524231 LXY524025:LXY524231 MHU524025:MHU524231 MRQ524025:MRQ524231 NBM524025:NBM524231 NLI524025:NLI524231 NVE524025:NVE524231 OFA524025:OFA524231 OOW524025:OOW524231 OYS524025:OYS524231 PIO524025:PIO524231 PSK524025:PSK524231 QCG524025:QCG524231 QMC524025:QMC524231 QVY524025:QVY524231 RFU524025:RFU524231 RPQ524025:RPQ524231 RZM524025:RZM524231 SJI524025:SJI524231 STE524025:STE524231 TDA524025:TDA524231 TMW524025:TMW524231 TWS524025:TWS524231 UGO524025:UGO524231 UQK524025:UQK524231 VAG524025:VAG524231 VKC524025:VKC524231 VTY524025:VTY524231 WDU524025:WDU524231 WNQ524025:WNQ524231 WXM524025:WXM524231 LA589561:LA589767 UW589561:UW589767 AES589561:AES589767 AOO589561:AOO589767 AYK589561:AYK589767 BIG589561:BIG589767 BSC589561:BSC589767 CBY589561:CBY589767 CLU589561:CLU589767 CVQ589561:CVQ589767 DFM589561:DFM589767 DPI589561:DPI589767 DZE589561:DZE589767 EJA589561:EJA589767 ESW589561:ESW589767 FCS589561:FCS589767 FMO589561:FMO589767 FWK589561:FWK589767 GGG589561:GGG589767 GQC589561:GQC589767 GZY589561:GZY589767 HJU589561:HJU589767 HTQ589561:HTQ589767 IDM589561:IDM589767 INI589561:INI589767 IXE589561:IXE589767 JHA589561:JHA589767 JQW589561:JQW589767 KAS589561:KAS589767 KKO589561:KKO589767 KUK589561:KUK589767 LEG589561:LEG589767 LOC589561:LOC589767 LXY589561:LXY589767 MHU589561:MHU589767 MRQ589561:MRQ589767 NBM589561:NBM589767 NLI589561:NLI589767 NVE589561:NVE589767 OFA589561:OFA589767 OOW589561:OOW589767 OYS589561:OYS589767 PIO589561:PIO589767 PSK589561:PSK589767 QCG589561:QCG589767 QMC589561:QMC589767 QVY589561:QVY589767 RFU589561:RFU589767 RPQ589561:RPQ589767 RZM589561:RZM589767 SJI589561:SJI589767 STE589561:STE589767 TDA589561:TDA589767 TMW589561:TMW589767 TWS589561:TWS589767 UGO589561:UGO589767 UQK589561:UQK589767 VAG589561:VAG589767 VKC589561:VKC589767 VTY589561:VTY589767 WDU589561:WDU589767 WNQ589561:WNQ589767 WXM589561:WXM589767 LA655097:LA655303 UW655097:UW655303 AES655097:AES655303 AOO655097:AOO655303 AYK655097:AYK655303 BIG655097:BIG655303 BSC655097:BSC655303 CBY655097:CBY655303 CLU655097:CLU655303 CVQ655097:CVQ655303 DFM655097:DFM655303 DPI655097:DPI655303 DZE655097:DZE655303 EJA655097:EJA655303 ESW655097:ESW655303 FCS655097:FCS655303 FMO655097:FMO655303 FWK655097:FWK655303 GGG655097:GGG655303 GQC655097:GQC655303 GZY655097:GZY655303 HJU655097:HJU655303 HTQ655097:HTQ655303 IDM655097:IDM655303 INI655097:INI655303 IXE655097:IXE655303 JHA655097:JHA655303 JQW655097:JQW655303 KAS655097:KAS655303 KKO655097:KKO655303 KUK655097:KUK655303 LEG655097:LEG655303 LOC655097:LOC655303 LXY655097:LXY655303 MHU655097:MHU655303 MRQ655097:MRQ655303 NBM655097:NBM655303 NLI655097:NLI655303 NVE655097:NVE655303 OFA655097:OFA655303 OOW655097:OOW655303 OYS655097:OYS655303 PIO655097:PIO655303 PSK655097:PSK655303 QCG655097:QCG655303 QMC655097:QMC655303 QVY655097:QVY655303 RFU655097:RFU655303 RPQ655097:RPQ655303 RZM655097:RZM655303 SJI655097:SJI655303 STE655097:STE655303 TDA655097:TDA655303 TMW655097:TMW655303 TWS655097:TWS655303 UGO655097:UGO655303 UQK655097:UQK655303 VAG655097:VAG655303 VKC655097:VKC655303 VTY655097:VTY655303 WDU655097:WDU655303 WNQ655097:WNQ655303 WXM655097:WXM655303 LA720633:LA720839 UW720633:UW720839 AES720633:AES720839 AOO720633:AOO720839 AYK720633:AYK720839 BIG720633:BIG720839 BSC720633:BSC720839 CBY720633:CBY720839 CLU720633:CLU720839 CVQ720633:CVQ720839 DFM720633:DFM720839 DPI720633:DPI720839 DZE720633:DZE720839 EJA720633:EJA720839 ESW720633:ESW720839 FCS720633:FCS720839 FMO720633:FMO720839 FWK720633:FWK720839 GGG720633:GGG720839 GQC720633:GQC720839 GZY720633:GZY720839 HJU720633:HJU720839 HTQ720633:HTQ720839 IDM720633:IDM720839 INI720633:INI720839 IXE720633:IXE720839 JHA720633:JHA720839 JQW720633:JQW720839 KAS720633:KAS720839 KKO720633:KKO720839 KUK720633:KUK720839 LEG720633:LEG720839 LOC720633:LOC720839 LXY720633:LXY720839 MHU720633:MHU720839 MRQ720633:MRQ720839 NBM720633:NBM720839 NLI720633:NLI720839 NVE720633:NVE720839 OFA720633:OFA720839 OOW720633:OOW720839 OYS720633:OYS720839 PIO720633:PIO720839 PSK720633:PSK720839 QCG720633:QCG720839 QMC720633:QMC720839 QVY720633:QVY720839 RFU720633:RFU720839 RPQ720633:RPQ720839 RZM720633:RZM720839 SJI720633:SJI720839 STE720633:STE720839 TDA720633:TDA720839 TMW720633:TMW720839 TWS720633:TWS720839 UGO720633:UGO720839 UQK720633:UQK720839 VAG720633:VAG720839 VKC720633:VKC720839 VTY720633:VTY720839 WDU720633:WDU720839 WNQ720633:WNQ720839 WXM720633:WXM720839 LA786169:LA786375 UW786169:UW786375 AES786169:AES786375 AOO786169:AOO786375 AYK786169:AYK786375 BIG786169:BIG786375 BSC786169:BSC786375 CBY786169:CBY786375 CLU786169:CLU786375 CVQ786169:CVQ786375 DFM786169:DFM786375 DPI786169:DPI786375 DZE786169:DZE786375 EJA786169:EJA786375 ESW786169:ESW786375 FCS786169:FCS786375 FMO786169:FMO786375 FWK786169:FWK786375 GGG786169:GGG786375 GQC786169:GQC786375 GZY786169:GZY786375 HJU786169:HJU786375 HTQ786169:HTQ786375 IDM786169:IDM786375 INI786169:INI786375 IXE786169:IXE786375 JHA786169:JHA786375 JQW786169:JQW786375 KAS786169:KAS786375 KKO786169:KKO786375 KUK786169:KUK786375 LEG786169:LEG786375 LOC786169:LOC786375 LXY786169:LXY786375 MHU786169:MHU786375 MRQ786169:MRQ786375 NBM786169:NBM786375 NLI786169:NLI786375 NVE786169:NVE786375 OFA786169:OFA786375 OOW786169:OOW786375 OYS786169:OYS786375 PIO786169:PIO786375 PSK786169:PSK786375 QCG786169:QCG786375 QMC786169:QMC786375 QVY786169:QVY786375 RFU786169:RFU786375 RPQ786169:RPQ786375 RZM786169:RZM786375 SJI786169:SJI786375 STE786169:STE786375 TDA786169:TDA786375 TMW786169:TMW786375 TWS786169:TWS786375 UGO786169:UGO786375 UQK786169:UQK786375 VAG786169:VAG786375 VKC786169:VKC786375 VTY786169:VTY786375 WDU786169:WDU786375 WNQ786169:WNQ786375 WXM786169:WXM786375 LA851705:LA851911 UW851705:UW851911 AES851705:AES851911 AOO851705:AOO851911 AYK851705:AYK851911 BIG851705:BIG851911 BSC851705:BSC851911 CBY851705:CBY851911 CLU851705:CLU851911 CVQ851705:CVQ851911 DFM851705:DFM851911 DPI851705:DPI851911 DZE851705:DZE851911 EJA851705:EJA851911 ESW851705:ESW851911 FCS851705:FCS851911 FMO851705:FMO851911 FWK851705:FWK851911 GGG851705:GGG851911 GQC851705:GQC851911 GZY851705:GZY851911 HJU851705:HJU851911 HTQ851705:HTQ851911 IDM851705:IDM851911 INI851705:INI851911 IXE851705:IXE851911 JHA851705:JHA851911 JQW851705:JQW851911 KAS851705:KAS851911 KKO851705:KKO851911 KUK851705:KUK851911 LEG851705:LEG851911 LOC851705:LOC851911 LXY851705:LXY851911 MHU851705:MHU851911 MRQ851705:MRQ851911 NBM851705:NBM851911 NLI851705:NLI851911 NVE851705:NVE851911 OFA851705:OFA851911 OOW851705:OOW851911 OYS851705:OYS851911 PIO851705:PIO851911 PSK851705:PSK851911 QCG851705:QCG851911 QMC851705:QMC851911 QVY851705:QVY851911 RFU851705:RFU851911 RPQ851705:RPQ851911 RZM851705:RZM851911 SJI851705:SJI851911 STE851705:STE851911 TDA851705:TDA851911 TMW851705:TMW851911 TWS851705:TWS851911 UGO851705:UGO851911 UQK851705:UQK851911 VAG851705:VAG851911 VKC851705:VKC851911 VTY851705:VTY851911 WDU851705:WDU851911 WNQ851705:WNQ851911 WXM851705:WXM851911 LA917241:LA917447 UW917241:UW917447 AES917241:AES917447 AOO917241:AOO917447 AYK917241:AYK917447 BIG917241:BIG917447 BSC917241:BSC917447 CBY917241:CBY917447 CLU917241:CLU917447 CVQ917241:CVQ917447 DFM917241:DFM917447 DPI917241:DPI917447 DZE917241:DZE917447 EJA917241:EJA917447 ESW917241:ESW917447 FCS917241:FCS917447 FMO917241:FMO917447 FWK917241:FWK917447 GGG917241:GGG917447 GQC917241:GQC917447 GZY917241:GZY917447 HJU917241:HJU917447 HTQ917241:HTQ917447 IDM917241:IDM917447 INI917241:INI917447 IXE917241:IXE917447 JHA917241:JHA917447 JQW917241:JQW917447 KAS917241:KAS917447 KKO917241:KKO917447 KUK917241:KUK917447 LEG917241:LEG917447 LOC917241:LOC917447 LXY917241:LXY917447 MHU917241:MHU917447 MRQ917241:MRQ917447 NBM917241:NBM917447 NLI917241:NLI917447 NVE917241:NVE917447 OFA917241:OFA917447 OOW917241:OOW917447 OYS917241:OYS917447 PIO917241:PIO917447 PSK917241:PSK917447 QCG917241:QCG917447 QMC917241:QMC917447 QVY917241:QVY917447 RFU917241:RFU917447 RPQ917241:RPQ917447 RZM917241:RZM917447 SJI917241:SJI917447 STE917241:STE917447 TDA917241:TDA917447 TMW917241:TMW917447 TWS917241:TWS917447 UGO917241:UGO917447 UQK917241:UQK917447 VAG917241:VAG917447 VKC917241:VKC917447 VTY917241:VTY917447 WDU917241:WDU917447 WNQ917241:WNQ917447 WXM917241:WXM917447 LA982777:LA982983 UW982777:UW982983 AES982777:AES982983 AOO982777:AOO982983 AYK982777:AYK982983 BIG982777:BIG982983 BSC982777:BSC982983 CBY982777:CBY982983 CLU982777:CLU982983 CVQ982777:CVQ982983 DFM982777:DFM982983 DPI982777:DPI982983 DZE982777:DZE982983 EJA982777:EJA982983 ESW982777:ESW982983 FCS982777:FCS982983 FMO982777:FMO982983 FWK982777:FWK982983 GGG982777:GGG982983 GQC982777:GQC982983 GZY982777:GZY982983 HJU982777:HJU982983 HTQ982777:HTQ982983 IDM982777:IDM982983 INI982777:INI982983 IXE982777:IXE982983 JHA982777:JHA982983 JQW982777:JQW982983 KAS982777:KAS982983 KKO982777:KKO982983 KUK982777:KUK982983 LEG982777:LEG982983 LOC982777:LOC982983 LXY982777:LXY982983 MHU982777:MHU982983 MRQ982777:MRQ982983 NBM982777:NBM982983 NLI982777:NLI982983 NVE982777:NVE982983 OFA982777:OFA982983 OOW982777:OOW982983 OYS982777:OYS982983 PIO982777:PIO982983 PSK982777:PSK982983 QCG982777:QCG982983 QMC982777:QMC982983 QVY982777:QVY982983 RFU982777:RFU982983 RPQ982777:RPQ982983 RZM982777:RZM982983 SJI982777:SJI982983 STE982777:STE982983 TDA982777:TDA982983 TMW982777:TMW982983 TWS982777:TWS982983 UGO982777:UGO982983 UQK982777:UQK982983 VAG982777:VAG982983 VKC982777:VKC982983 VTY982777:VTY982983 WDU982777:WDU982983 WNQ982777:WNQ982983 WXM982777:WXM982983 BL65273:BM65479 LF65273:LF65479 VB65273:VB65479 AEX65273:AEX65479 AOT65273:AOT65479 AYP65273:AYP65479 BIL65273:BIL65479 BSH65273:BSH65479 CCD65273:CCD65479 CLZ65273:CLZ65479 CVV65273:CVV65479 DFR65273:DFR65479 DPN65273:DPN65479 DZJ65273:DZJ65479 EJF65273:EJF65479 ETB65273:ETB65479 FCX65273:FCX65479 FMT65273:FMT65479 FWP65273:FWP65479 GGL65273:GGL65479 GQH65273:GQH65479 HAD65273:HAD65479 HJZ65273:HJZ65479 HTV65273:HTV65479 IDR65273:IDR65479 INN65273:INN65479 IXJ65273:IXJ65479 JHF65273:JHF65479 JRB65273:JRB65479 KAX65273:KAX65479 KKT65273:KKT65479 KUP65273:KUP65479 LEL65273:LEL65479 LOH65273:LOH65479 LYD65273:LYD65479 MHZ65273:MHZ65479 MRV65273:MRV65479 NBR65273:NBR65479 NLN65273:NLN65479 NVJ65273:NVJ65479 OFF65273:OFF65479 OPB65273:OPB65479 OYX65273:OYX65479 PIT65273:PIT65479 PSP65273:PSP65479 QCL65273:QCL65479 QMH65273:QMH65479 QWD65273:QWD65479 RFZ65273:RFZ65479 RPV65273:RPV65479 RZR65273:RZR65479 SJN65273:SJN65479 STJ65273:STJ65479 TDF65273:TDF65479 TNB65273:TNB65479 TWX65273:TWX65479 UGT65273:UGT65479 UQP65273:UQP65479 VAL65273:VAL65479 VKH65273:VKH65479 VUD65273:VUD65479 WDZ65273:WDZ65479 WNV65273:WNV65479 WXR65273:WXR65479 BL130809:BM131015 LF130809:LF131015 VB130809:VB131015 AEX130809:AEX131015 AOT130809:AOT131015 AYP130809:AYP131015 BIL130809:BIL131015 BSH130809:BSH131015 CCD130809:CCD131015 CLZ130809:CLZ131015 CVV130809:CVV131015 DFR130809:DFR131015 DPN130809:DPN131015 DZJ130809:DZJ131015 EJF130809:EJF131015 ETB130809:ETB131015 FCX130809:FCX131015 FMT130809:FMT131015 FWP130809:FWP131015 GGL130809:GGL131015 GQH130809:GQH131015 HAD130809:HAD131015 HJZ130809:HJZ131015 HTV130809:HTV131015 IDR130809:IDR131015 INN130809:INN131015 IXJ130809:IXJ131015 JHF130809:JHF131015 JRB130809:JRB131015 KAX130809:KAX131015 KKT130809:KKT131015 KUP130809:KUP131015 LEL130809:LEL131015 LOH130809:LOH131015 LYD130809:LYD131015 MHZ130809:MHZ131015 MRV130809:MRV131015 NBR130809:NBR131015 NLN130809:NLN131015 NVJ130809:NVJ131015 OFF130809:OFF131015 OPB130809:OPB131015 OYX130809:OYX131015 PIT130809:PIT131015 PSP130809:PSP131015 QCL130809:QCL131015 QMH130809:QMH131015 QWD130809:QWD131015 RFZ130809:RFZ131015 RPV130809:RPV131015 RZR130809:RZR131015 SJN130809:SJN131015 STJ130809:STJ131015 TDF130809:TDF131015 TNB130809:TNB131015 TWX130809:TWX131015 UGT130809:UGT131015 UQP130809:UQP131015 VAL130809:VAL131015 VKH130809:VKH131015 VUD130809:VUD131015 WDZ130809:WDZ131015 WNV130809:WNV131015 WXR130809:WXR131015 BL196345:BM196551 LF196345:LF196551 VB196345:VB196551 AEX196345:AEX196551 AOT196345:AOT196551 AYP196345:AYP196551 BIL196345:BIL196551 BSH196345:BSH196551 CCD196345:CCD196551 CLZ196345:CLZ196551 CVV196345:CVV196551 DFR196345:DFR196551 DPN196345:DPN196551 DZJ196345:DZJ196551 EJF196345:EJF196551 ETB196345:ETB196551 FCX196345:FCX196551 FMT196345:FMT196551 FWP196345:FWP196551 GGL196345:GGL196551 GQH196345:GQH196551 HAD196345:HAD196551 HJZ196345:HJZ196551 HTV196345:HTV196551 IDR196345:IDR196551 INN196345:INN196551 IXJ196345:IXJ196551 JHF196345:JHF196551 JRB196345:JRB196551 KAX196345:KAX196551 KKT196345:KKT196551 KUP196345:KUP196551 LEL196345:LEL196551 LOH196345:LOH196551 LYD196345:LYD196551 MHZ196345:MHZ196551 MRV196345:MRV196551 NBR196345:NBR196551 NLN196345:NLN196551 NVJ196345:NVJ196551 OFF196345:OFF196551 OPB196345:OPB196551 OYX196345:OYX196551 PIT196345:PIT196551 PSP196345:PSP196551 QCL196345:QCL196551 QMH196345:QMH196551 QWD196345:QWD196551 RFZ196345:RFZ196551 RPV196345:RPV196551 RZR196345:RZR196551 SJN196345:SJN196551 STJ196345:STJ196551 TDF196345:TDF196551 TNB196345:TNB196551 TWX196345:TWX196551 UGT196345:UGT196551 UQP196345:UQP196551 VAL196345:VAL196551 VKH196345:VKH196551 VUD196345:VUD196551 WDZ196345:WDZ196551 WNV196345:WNV196551 WXR196345:WXR196551 BL261881:BM262087 LF261881:LF262087 VB261881:VB262087 AEX261881:AEX262087 AOT261881:AOT262087 AYP261881:AYP262087 BIL261881:BIL262087 BSH261881:BSH262087 CCD261881:CCD262087 CLZ261881:CLZ262087 CVV261881:CVV262087 DFR261881:DFR262087 DPN261881:DPN262087 DZJ261881:DZJ262087 EJF261881:EJF262087 ETB261881:ETB262087 FCX261881:FCX262087 FMT261881:FMT262087 FWP261881:FWP262087 GGL261881:GGL262087 GQH261881:GQH262087 HAD261881:HAD262087 HJZ261881:HJZ262087 HTV261881:HTV262087 IDR261881:IDR262087 INN261881:INN262087 IXJ261881:IXJ262087 JHF261881:JHF262087 JRB261881:JRB262087 KAX261881:KAX262087 KKT261881:KKT262087 KUP261881:KUP262087 LEL261881:LEL262087 LOH261881:LOH262087 LYD261881:LYD262087 MHZ261881:MHZ262087 MRV261881:MRV262087 NBR261881:NBR262087 NLN261881:NLN262087 NVJ261881:NVJ262087 OFF261881:OFF262087 OPB261881:OPB262087 OYX261881:OYX262087 PIT261881:PIT262087 PSP261881:PSP262087 QCL261881:QCL262087 QMH261881:QMH262087 QWD261881:QWD262087 RFZ261881:RFZ262087 RPV261881:RPV262087 RZR261881:RZR262087 SJN261881:SJN262087 STJ261881:STJ262087 TDF261881:TDF262087 TNB261881:TNB262087 TWX261881:TWX262087 UGT261881:UGT262087 UQP261881:UQP262087 VAL261881:VAL262087 VKH261881:VKH262087 VUD261881:VUD262087 WDZ261881:WDZ262087 WNV261881:WNV262087 WXR261881:WXR262087 BL327417:BM327623 LF327417:LF327623 VB327417:VB327623 AEX327417:AEX327623 AOT327417:AOT327623 AYP327417:AYP327623 BIL327417:BIL327623 BSH327417:BSH327623 CCD327417:CCD327623 CLZ327417:CLZ327623 CVV327417:CVV327623 DFR327417:DFR327623 DPN327417:DPN327623 DZJ327417:DZJ327623 EJF327417:EJF327623 ETB327417:ETB327623 FCX327417:FCX327623 FMT327417:FMT327623 FWP327417:FWP327623 GGL327417:GGL327623 GQH327417:GQH327623 HAD327417:HAD327623 HJZ327417:HJZ327623 HTV327417:HTV327623 IDR327417:IDR327623 INN327417:INN327623 IXJ327417:IXJ327623 JHF327417:JHF327623 JRB327417:JRB327623 KAX327417:KAX327623 KKT327417:KKT327623 KUP327417:KUP327623 LEL327417:LEL327623 LOH327417:LOH327623 LYD327417:LYD327623 MHZ327417:MHZ327623 MRV327417:MRV327623 NBR327417:NBR327623 NLN327417:NLN327623 NVJ327417:NVJ327623 OFF327417:OFF327623 OPB327417:OPB327623 OYX327417:OYX327623 PIT327417:PIT327623 PSP327417:PSP327623 QCL327417:QCL327623 QMH327417:QMH327623 QWD327417:QWD327623 RFZ327417:RFZ327623 RPV327417:RPV327623 RZR327417:RZR327623 SJN327417:SJN327623 STJ327417:STJ327623 TDF327417:TDF327623 TNB327417:TNB327623 TWX327417:TWX327623 UGT327417:UGT327623 UQP327417:UQP327623 VAL327417:VAL327623 VKH327417:VKH327623 VUD327417:VUD327623 WDZ327417:WDZ327623 WNV327417:WNV327623 WXR327417:WXR327623 BL392953:BM393159 LF392953:LF393159 VB392953:VB393159 AEX392953:AEX393159 AOT392953:AOT393159 AYP392953:AYP393159 BIL392953:BIL393159 BSH392953:BSH393159 CCD392953:CCD393159 CLZ392953:CLZ393159 CVV392953:CVV393159 DFR392953:DFR393159 DPN392953:DPN393159 DZJ392953:DZJ393159 EJF392953:EJF393159 ETB392953:ETB393159 FCX392953:FCX393159 FMT392953:FMT393159 FWP392953:FWP393159 GGL392953:GGL393159 GQH392953:GQH393159 HAD392953:HAD393159 HJZ392953:HJZ393159 HTV392953:HTV393159 IDR392953:IDR393159 INN392953:INN393159 IXJ392953:IXJ393159 JHF392953:JHF393159 JRB392953:JRB393159 KAX392953:KAX393159 KKT392953:KKT393159 KUP392953:KUP393159 LEL392953:LEL393159 LOH392953:LOH393159 LYD392953:LYD393159 MHZ392953:MHZ393159 MRV392953:MRV393159 NBR392953:NBR393159 NLN392953:NLN393159 NVJ392953:NVJ393159 OFF392953:OFF393159 OPB392953:OPB393159 OYX392953:OYX393159 PIT392953:PIT393159 PSP392953:PSP393159 QCL392953:QCL393159 QMH392953:QMH393159 QWD392953:QWD393159 RFZ392953:RFZ393159 RPV392953:RPV393159 RZR392953:RZR393159 SJN392953:SJN393159 STJ392953:STJ393159 TDF392953:TDF393159 TNB392953:TNB393159 TWX392953:TWX393159 UGT392953:UGT393159 UQP392953:UQP393159 VAL392953:VAL393159 VKH392953:VKH393159 VUD392953:VUD393159 WDZ392953:WDZ393159 WNV392953:WNV393159 WXR392953:WXR393159 BL458489:BM458695 LF458489:LF458695 VB458489:VB458695 AEX458489:AEX458695 AOT458489:AOT458695 AYP458489:AYP458695 BIL458489:BIL458695 BSH458489:BSH458695 CCD458489:CCD458695 CLZ458489:CLZ458695 CVV458489:CVV458695 DFR458489:DFR458695 DPN458489:DPN458695 DZJ458489:DZJ458695 EJF458489:EJF458695 ETB458489:ETB458695 FCX458489:FCX458695 FMT458489:FMT458695 FWP458489:FWP458695 GGL458489:GGL458695 GQH458489:GQH458695 HAD458489:HAD458695 HJZ458489:HJZ458695 HTV458489:HTV458695 IDR458489:IDR458695 INN458489:INN458695 IXJ458489:IXJ458695 JHF458489:JHF458695 JRB458489:JRB458695 KAX458489:KAX458695 KKT458489:KKT458695 KUP458489:KUP458695 LEL458489:LEL458695 LOH458489:LOH458695 LYD458489:LYD458695 MHZ458489:MHZ458695 MRV458489:MRV458695 NBR458489:NBR458695 NLN458489:NLN458695 NVJ458489:NVJ458695 OFF458489:OFF458695 OPB458489:OPB458695 OYX458489:OYX458695 PIT458489:PIT458695 PSP458489:PSP458695 QCL458489:QCL458695 QMH458489:QMH458695 QWD458489:QWD458695 RFZ458489:RFZ458695 RPV458489:RPV458695 RZR458489:RZR458695 SJN458489:SJN458695 STJ458489:STJ458695 TDF458489:TDF458695 TNB458489:TNB458695 TWX458489:TWX458695 UGT458489:UGT458695 UQP458489:UQP458695 VAL458489:VAL458695 VKH458489:VKH458695 VUD458489:VUD458695 WDZ458489:WDZ458695 WNV458489:WNV458695 WXR458489:WXR458695 BL524025:BM524231 LF524025:LF524231 VB524025:VB524231 AEX524025:AEX524231 AOT524025:AOT524231 AYP524025:AYP524231 BIL524025:BIL524231 BSH524025:BSH524231 CCD524025:CCD524231 CLZ524025:CLZ524231 CVV524025:CVV524231 DFR524025:DFR524231 DPN524025:DPN524231 DZJ524025:DZJ524231 EJF524025:EJF524231 ETB524025:ETB524231 FCX524025:FCX524231 FMT524025:FMT524231 FWP524025:FWP524231 GGL524025:GGL524231 GQH524025:GQH524231 HAD524025:HAD524231 HJZ524025:HJZ524231 HTV524025:HTV524231 IDR524025:IDR524231 INN524025:INN524231 IXJ524025:IXJ524231 JHF524025:JHF524231 JRB524025:JRB524231 KAX524025:KAX524231 KKT524025:KKT524231 KUP524025:KUP524231 LEL524025:LEL524231 LOH524025:LOH524231 LYD524025:LYD524231 MHZ524025:MHZ524231 MRV524025:MRV524231 NBR524025:NBR524231 NLN524025:NLN524231 NVJ524025:NVJ524231 OFF524025:OFF524231 OPB524025:OPB524231 OYX524025:OYX524231 PIT524025:PIT524231 PSP524025:PSP524231 QCL524025:QCL524231 QMH524025:QMH524231 QWD524025:QWD524231 RFZ524025:RFZ524231 RPV524025:RPV524231 RZR524025:RZR524231 SJN524025:SJN524231 STJ524025:STJ524231 TDF524025:TDF524231 TNB524025:TNB524231 TWX524025:TWX524231 UGT524025:UGT524231 UQP524025:UQP524231 VAL524025:VAL524231 VKH524025:VKH524231 VUD524025:VUD524231 WDZ524025:WDZ524231 WNV524025:WNV524231 WXR524025:WXR524231 BL589561:BM589767 LF589561:LF589767 VB589561:VB589767 AEX589561:AEX589767 AOT589561:AOT589767 AYP589561:AYP589767 BIL589561:BIL589767 BSH589561:BSH589767 CCD589561:CCD589767 CLZ589561:CLZ589767 CVV589561:CVV589767 DFR589561:DFR589767 DPN589561:DPN589767 DZJ589561:DZJ589767 EJF589561:EJF589767 ETB589561:ETB589767 FCX589561:FCX589767 FMT589561:FMT589767 FWP589561:FWP589767 GGL589561:GGL589767 GQH589561:GQH589767 HAD589561:HAD589767 HJZ589561:HJZ589767 HTV589561:HTV589767 IDR589561:IDR589767 INN589561:INN589767 IXJ589561:IXJ589767 JHF589561:JHF589767 JRB589561:JRB589767 KAX589561:KAX589767 KKT589561:KKT589767 KUP589561:KUP589767 LEL589561:LEL589767 LOH589561:LOH589767 LYD589561:LYD589767 MHZ589561:MHZ589767 MRV589561:MRV589767 NBR589561:NBR589767 NLN589561:NLN589767 NVJ589561:NVJ589767 OFF589561:OFF589767 OPB589561:OPB589767 OYX589561:OYX589767 PIT589561:PIT589767 PSP589561:PSP589767 QCL589561:QCL589767 QMH589561:QMH589767 QWD589561:QWD589767 RFZ589561:RFZ589767 RPV589561:RPV589767 RZR589561:RZR589767 SJN589561:SJN589767 STJ589561:STJ589767 TDF589561:TDF589767 TNB589561:TNB589767 TWX589561:TWX589767 UGT589561:UGT589767 UQP589561:UQP589767 VAL589561:VAL589767 VKH589561:VKH589767 VUD589561:VUD589767 WDZ589561:WDZ589767 WNV589561:WNV589767 WXR589561:WXR589767 BL655097:BM655303 LF655097:LF655303 VB655097:VB655303 AEX655097:AEX655303 AOT655097:AOT655303 AYP655097:AYP655303 BIL655097:BIL655303 BSH655097:BSH655303 CCD655097:CCD655303 CLZ655097:CLZ655303 CVV655097:CVV655303 DFR655097:DFR655303 DPN655097:DPN655303 DZJ655097:DZJ655303 EJF655097:EJF655303 ETB655097:ETB655303 FCX655097:FCX655303 FMT655097:FMT655303 FWP655097:FWP655303 GGL655097:GGL655303 GQH655097:GQH655303 HAD655097:HAD655303 HJZ655097:HJZ655303 HTV655097:HTV655303 IDR655097:IDR655303 INN655097:INN655303 IXJ655097:IXJ655303 JHF655097:JHF655303 JRB655097:JRB655303 KAX655097:KAX655303 KKT655097:KKT655303 KUP655097:KUP655303 LEL655097:LEL655303 LOH655097:LOH655303 LYD655097:LYD655303 MHZ655097:MHZ655303 MRV655097:MRV655303 NBR655097:NBR655303 NLN655097:NLN655303 NVJ655097:NVJ655303 OFF655097:OFF655303 OPB655097:OPB655303 OYX655097:OYX655303 PIT655097:PIT655303 PSP655097:PSP655303 QCL655097:QCL655303 QMH655097:QMH655303 QWD655097:QWD655303 RFZ655097:RFZ655303 RPV655097:RPV655303 RZR655097:RZR655303 SJN655097:SJN655303 STJ655097:STJ655303 TDF655097:TDF655303 TNB655097:TNB655303 TWX655097:TWX655303 UGT655097:UGT655303 UQP655097:UQP655303 VAL655097:VAL655303 VKH655097:VKH655303 VUD655097:VUD655303 WDZ655097:WDZ655303 WNV655097:WNV655303 WXR655097:WXR655303 BL720633:BM720839 LF720633:LF720839 VB720633:VB720839 AEX720633:AEX720839 AOT720633:AOT720839 AYP720633:AYP720839 BIL720633:BIL720839 BSH720633:BSH720839 CCD720633:CCD720839 CLZ720633:CLZ720839 CVV720633:CVV720839 DFR720633:DFR720839 DPN720633:DPN720839 DZJ720633:DZJ720839 EJF720633:EJF720839 ETB720633:ETB720839 FCX720633:FCX720839 FMT720633:FMT720839 FWP720633:FWP720839 GGL720633:GGL720839 GQH720633:GQH720839 HAD720633:HAD720839 HJZ720633:HJZ720839 HTV720633:HTV720839 IDR720633:IDR720839 INN720633:INN720839 IXJ720633:IXJ720839 JHF720633:JHF720839 JRB720633:JRB720839 KAX720633:KAX720839 KKT720633:KKT720839 KUP720633:KUP720839 LEL720633:LEL720839 LOH720633:LOH720839 LYD720633:LYD720839 MHZ720633:MHZ720839 MRV720633:MRV720839 NBR720633:NBR720839 NLN720633:NLN720839 NVJ720633:NVJ720839 OFF720633:OFF720839 OPB720633:OPB720839 OYX720633:OYX720839 PIT720633:PIT720839 PSP720633:PSP720839 QCL720633:QCL720839 QMH720633:QMH720839 QWD720633:QWD720839 RFZ720633:RFZ720839 RPV720633:RPV720839 RZR720633:RZR720839 SJN720633:SJN720839 STJ720633:STJ720839 TDF720633:TDF720839 TNB720633:TNB720839 TWX720633:TWX720839 UGT720633:UGT720839 UQP720633:UQP720839 VAL720633:VAL720839 VKH720633:VKH720839 VUD720633:VUD720839 WDZ720633:WDZ720839 WNV720633:WNV720839 WXR720633:WXR720839 BL786169:BM786375 LF786169:LF786375 VB786169:VB786375 AEX786169:AEX786375 AOT786169:AOT786375 AYP786169:AYP786375 BIL786169:BIL786375 BSH786169:BSH786375 CCD786169:CCD786375 CLZ786169:CLZ786375 CVV786169:CVV786375 DFR786169:DFR786375 DPN786169:DPN786375 DZJ786169:DZJ786375 EJF786169:EJF786375 ETB786169:ETB786375 FCX786169:FCX786375 FMT786169:FMT786375 FWP786169:FWP786375 GGL786169:GGL786375 GQH786169:GQH786375 HAD786169:HAD786375 HJZ786169:HJZ786375 HTV786169:HTV786375 IDR786169:IDR786375 INN786169:INN786375 IXJ786169:IXJ786375 JHF786169:JHF786375 JRB786169:JRB786375 KAX786169:KAX786375 KKT786169:KKT786375 KUP786169:KUP786375 LEL786169:LEL786375 LOH786169:LOH786375 LYD786169:LYD786375 MHZ786169:MHZ786375 MRV786169:MRV786375 NBR786169:NBR786375 NLN786169:NLN786375 NVJ786169:NVJ786375 OFF786169:OFF786375 OPB786169:OPB786375 OYX786169:OYX786375 PIT786169:PIT786375 PSP786169:PSP786375 QCL786169:QCL786375 QMH786169:QMH786375 QWD786169:QWD786375 RFZ786169:RFZ786375 RPV786169:RPV786375 RZR786169:RZR786375 SJN786169:SJN786375 STJ786169:STJ786375 TDF786169:TDF786375 TNB786169:TNB786375 TWX786169:TWX786375 UGT786169:UGT786375 UQP786169:UQP786375 VAL786169:VAL786375 VKH786169:VKH786375 VUD786169:VUD786375 WDZ786169:WDZ786375 WNV786169:WNV786375 WXR786169:WXR786375 BL851705:BM851911 LF851705:LF851911 VB851705:VB851911 AEX851705:AEX851911 AOT851705:AOT851911 AYP851705:AYP851911 BIL851705:BIL851911 BSH851705:BSH851911 CCD851705:CCD851911 CLZ851705:CLZ851911 CVV851705:CVV851911 DFR851705:DFR851911 DPN851705:DPN851911 DZJ851705:DZJ851911 EJF851705:EJF851911 ETB851705:ETB851911 FCX851705:FCX851911 FMT851705:FMT851911 FWP851705:FWP851911 GGL851705:GGL851911 GQH851705:GQH851911 HAD851705:HAD851911 HJZ851705:HJZ851911 HTV851705:HTV851911 IDR851705:IDR851911 INN851705:INN851911 IXJ851705:IXJ851911 JHF851705:JHF851911 JRB851705:JRB851911 KAX851705:KAX851911 KKT851705:KKT851911 KUP851705:KUP851911 LEL851705:LEL851911 LOH851705:LOH851911 LYD851705:LYD851911 MHZ851705:MHZ851911 MRV851705:MRV851911 NBR851705:NBR851911 NLN851705:NLN851911 NVJ851705:NVJ851911 OFF851705:OFF851911 OPB851705:OPB851911 OYX851705:OYX851911 PIT851705:PIT851911 PSP851705:PSP851911 QCL851705:QCL851911 QMH851705:QMH851911 QWD851705:QWD851911 RFZ851705:RFZ851911 RPV851705:RPV851911 RZR851705:RZR851911 SJN851705:SJN851911 STJ851705:STJ851911 TDF851705:TDF851911 TNB851705:TNB851911 TWX851705:TWX851911 UGT851705:UGT851911 UQP851705:UQP851911 VAL851705:VAL851911 VKH851705:VKH851911 VUD851705:VUD851911 WDZ851705:WDZ851911 WNV851705:WNV851911 WXR851705:WXR851911 BL917241:BM917447 LF917241:LF917447 VB917241:VB917447 AEX917241:AEX917447 AOT917241:AOT917447 AYP917241:AYP917447 BIL917241:BIL917447 BSH917241:BSH917447 CCD917241:CCD917447 CLZ917241:CLZ917447 CVV917241:CVV917447 DFR917241:DFR917447 DPN917241:DPN917447 DZJ917241:DZJ917447 EJF917241:EJF917447 ETB917241:ETB917447 FCX917241:FCX917447 FMT917241:FMT917447 FWP917241:FWP917447 GGL917241:GGL917447 GQH917241:GQH917447 HAD917241:HAD917447 HJZ917241:HJZ917447 HTV917241:HTV917447 IDR917241:IDR917447 INN917241:INN917447 IXJ917241:IXJ917447 JHF917241:JHF917447 JRB917241:JRB917447 KAX917241:KAX917447 KKT917241:KKT917447 KUP917241:KUP917447 LEL917241:LEL917447 LOH917241:LOH917447 LYD917241:LYD917447 MHZ917241:MHZ917447 MRV917241:MRV917447 NBR917241:NBR917447 NLN917241:NLN917447 NVJ917241:NVJ917447 OFF917241:OFF917447 OPB917241:OPB917447 OYX917241:OYX917447 PIT917241:PIT917447 PSP917241:PSP917447 QCL917241:QCL917447 QMH917241:QMH917447 QWD917241:QWD917447 RFZ917241:RFZ917447 RPV917241:RPV917447 RZR917241:RZR917447 SJN917241:SJN917447 STJ917241:STJ917447 TDF917241:TDF917447 TNB917241:TNB917447 TWX917241:TWX917447 UGT917241:UGT917447 UQP917241:UQP917447 VAL917241:VAL917447 VKH917241:VKH917447 VUD917241:VUD917447 WDZ917241:WDZ917447 WNV917241:WNV917447 WXR917241:WXR917447 BL982777:BM982983 LF982777:LF982983 VB982777:VB982983 AEX982777:AEX982983 AOT982777:AOT982983 AYP982777:AYP982983 BIL982777:BIL982983 BSH982777:BSH982983 CCD982777:CCD982983 CLZ982777:CLZ982983 CVV982777:CVV982983 DFR982777:DFR982983 DPN982777:DPN982983 DZJ982777:DZJ982983 EJF982777:EJF982983 ETB982777:ETB982983 FCX982777:FCX982983 FMT982777:FMT982983 FWP982777:FWP982983 GGL982777:GGL982983 GQH982777:GQH982983 HAD982777:HAD982983 HJZ982777:HJZ982983 HTV982777:HTV982983 IDR982777:IDR982983 INN982777:INN982983 IXJ982777:IXJ982983 JHF982777:JHF982983 JRB982777:JRB982983 KAX982777:KAX982983 KKT982777:KKT982983 KUP982777:KUP982983 LEL982777:LEL982983 LOH982777:LOH982983 LYD982777:LYD982983 MHZ982777:MHZ982983 MRV982777:MRV982983 NBR982777:NBR982983 NLN982777:NLN982983 NVJ982777:NVJ982983 OFF982777:OFF982983 OPB982777:OPB982983 OYX982777:OYX982983 PIT982777:PIT982983 PSP982777:PSP982983 QCL982777:QCL982983 QMH982777:QMH982983 QWD982777:QWD982983 RFZ982777:RFZ982983 RPV982777:RPV982983 RZR982777:RZR982983 SJN982777:SJN982983 STJ982777:STJ982983 TDF982777:TDF982983 TNB982777:TNB982983 TWX982777:TWX982983 UGT982777:UGT982983 UQP982777:UQP982983 VAL982777:VAL982983 VKH982777:VKH982983 VUD982777:VUD982983 WDZ982777:WDZ982983 WNV982777:WNV982983 WXR982777:WXR982983 BQ65273:BQ65479 LI65273:LI65479 VE65273:VE65479 AFA65273:AFA65479 AOW65273:AOW65479 AYS65273:AYS65479 BIO65273:BIO65479 BSK65273:BSK65479 CCG65273:CCG65479 CMC65273:CMC65479 CVY65273:CVY65479 DFU65273:DFU65479 DPQ65273:DPQ65479 DZM65273:DZM65479 EJI65273:EJI65479 ETE65273:ETE65479 FDA65273:FDA65479 FMW65273:FMW65479 FWS65273:FWS65479 GGO65273:GGO65479 GQK65273:GQK65479 HAG65273:HAG65479 HKC65273:HKC65479 HTY65273:HTY65479 IDU65273:IDU65479 INQ65273:INQ65479 IXM65273:IXM65479 JHI65273:JHI65479 JRE65273:JRE65479 KBA65273:KBA65479 KKW65273:KKW65479 KUS65273:KUS65479 LEO65273:LEO65479 LOK65273:LOK65479 LYG65273:LYG65479 MIC65273:MIC65479 MRY65273:MRY65479 NBU65273:NBU65479 NLQ65273:NLQ65479 NVM65273:NVM65479 OFI65273:OFI65479 OPE65273:OPE65479 OZA65273:OZA65479 PIW65273:PIW65479 PSS65273:PSS65479 QCO65273:QCO65479 QMK65273:QMK65479 QWG65273:QWG65479 RGC65273:RGC65479 RPY65273:RPY65479 RZU65273:RZU65479 SJQ65273:SJQ65479 STM65273:STM65479 TDI65273:TDI65479 TNE65273:TNE65479 TXA65273:TXA65479 UGW65273:UGW65479 UQS65273:UQS65479 VAO65273:VAO65479 VKK65273:VKK65479 VUG65273:VUG65479 WEC65273:WEC65479 WNY65273:WNY65479 WXU65273:WXU65479 BQ130809:BQ131015 LI130809:LI131015 VE130809:VE131015 AFA130809:AFA131015 AOW130809:AOW131015 AYS130809:AYS131015 BIO130809:BIO131015 BSK130809:BSK131015 CCG130809:CCG131015 CMC130809:CMC131015 CVY130809:CVY131015 DFU130809:DFU131015 DPQ130809:DPQ131015 DZM130809:DZM131015 EJI130809:EJI131015 ETE130809:ETE131015 FDA130809:FDA131015 FMW130809:FMW131015 FWS130809:FWS131015 GGO130809:GGO131015 GQK130809:GQK131015 HAG130809:HAG131015 HKC130809:HKC131015 HTY130809:HTY131015 IDU130809:IDU131015 INQ130809:INQ131015 IXM130809:IXM131015 JHI130809:JHI131015 JRE130809:JRE131015 KBA130809:KBA131015 KKW130809:KKW131015 KUS130809:KUS131015 LEO130809:LEO131015 LOK130809:LOK131015 LYG130809:LYG131015 MIC130809:MIC131015 MRY130809:MRY131015 NBU130809:NBU131015 NLQ130809:NLQ131015 NVM130809:NVM131015 OFI130809:OFI131015 OPE130809:OPE131015 OZA130809:OZA131015 PIW130809:PIW131015 PSS130809:PSS131015 QCO130809:QCO131015 QMK130809:QMK131015 QWG130809:QWG131015 RGC130809:RGC131015 RPY130809:RPY131015 RZU130809:RZU131015 SJQ130809:SJQ131015 STM130809:STM131015 TDI130809:TDI131015 TNE130809:TNE131015 TXA130809:TXA131015 UGW130809:UGW131015 UQS130809:UQS131015 VAO130809:VAO131015 VKK130809:VKK131015 VUG130809:VUG131015 WEC130809:WEC131015 WNY130809:WNY131015 WXU130809:WXU131015 BQ196345:BQ196551 LI196345:LI196551 VE196345:VE196551 AFA196345:AFA196551 AOW196345:AOW196551 AYS196345:AYS196551 BIO196345:BIO196551 BSK196345:BSK196551 CCG196345:CCG196551 CMC196345:CMC196551 CVY196345:CVY196551 DFU196345:DFU196551 DPQ196345:DPQ196551 DZM196345:DZM196551 EJI196345:EJI196551 ETE196345:ETE196551 FDA196345:FDA196551 FMW196345:FMW196551 FWS196345:FWS196551 GGO196345:GGO196551 GQK196345:GQK196551 HAG196345:HAG196551 HKC196345:HKC196551 HTY196345:HTY196551 IDU196345:IDU196551 INQ196345:INQ196551 IXM196345:IXM196551 JHI196345:JHI196551 JRE196345:JRE196551 KBA196345:KBA196551 KKW196345:KKW196551 KUS196345:KUS196551 LEO196345:LEO196551 LOK196345:LOK196551 LYG196345:LYG196551 MIC196345:MIC196551 MRY196345:MRY196551 NBU196345:NBU196551 NLQ196345:NLQ196551 NVM196345:NVM196551 OFI196345:OFI196551 OPE196345:OPE196551 OZA196345:OZA196551 PIW196345:PIW196551 PSS196345:PSS196551 QCO196345:QCO196551 QMK196345:QMK196551 QWG196345:QWG196551 RGC196345:RGC196551 RPY196345:RPY196551 RZU196345:RZU196551 SJQ196345:SJQ196551 STM196345:STM196551 TDI196345:TDI196551 TNE196345:TNE196551 TXA196345:TXA196551 UGW196345:UGW196551 UQS196345:UQS196551 VAO196345:VAO196551 VKK196345:VKK196551 VUG196345:VUG196551 WEC196345:WEC196551 WNY196345:WNY196551 WXU196345:WXU196551 BQ261881:BQ262087 LI261881:LI262087 VE261881:VE262087 AFA261881:AFA262087 AOW261881:AOW262087 AYS261881:AYS262087 BIO261881:BIO262087 BSK261881:BSK262087 CCG261881:CCG262087 CMC261881:CMC262087 CVY261881:CVY262087 DFU261881:DFU262087 DPQ261881:DPQ262087 DZM261881:DZM262087 EJI261881:EJI262087 ETE261881:ETE262087 FDA261881:FDA262087 FMW261881:FMW262087 FWS261881:FWS262087 GGO261881:GGO262087 GQK261881:GQK262087 HAG261881:HAG262087 HKC261881:HKC262087 HTY261881:HTY262087 IDU261881:IDU262087 INQ261881:INQ262087 IXM261881:IXM262087 JHI261881:JHI262087 JRE261881:JRE262087 KBA261881:KBA262087 KKW261881:KKW262087 KUS261881:KUS262087 LEO261881:LEO262087 LOK261881:LOK262087 LYG261881:LYG262087 MIC261881:MIC262087 MRY261881:MRY262087 NBU261881:NBU262087 NLQ261881:NLQ262087 NVM261881:NVM262087 OFI261881:OFI262087 OPE261881:OPE262087 OZA261881:OZA262087 PIW261881:PIW262087 PSS261881:PSS262087 QCO261881:QCO262087 QMK261881:QMK262087 QWG261881:QWG262087 RGC261881:RGC262087 RPY261881:RPY262087 RZU261881:RZU262087 SJQ261881:SJQ262087 STM261881:STM262087 TDI261881:TDI262087 TNE261881:TNE262087 TXA261881:TXA262087 UGW261881:UGW262087 UQS261881:UQS262087 VAO261881:VAO262087 VKK261881:VKK262087 VUG261881:VUG262087 WEC261881:WEC262087 WNY261881:WNY262087 WXU261881:WXU262087 BQ327417:BQ327623 LI327417:LI327623 VE327417:VE327623 AFA327417:AFA327623 AOW327417:AOW327623 AYS327417:AYS327623 BIO327417:BIO327623 BSK327417:BSK327623 CCG327417:CCG327623 CMC327417:CMC327623 CVY327417:CVY327623 DFU327417:DFU327623 DPQ327417:DPQ327623 DZM327417:DZM327623 EJI327417:EJI327623 ETE327417:ETE327623 FDA327417:FDA327623 FMW327417:FMW327623 FWS327417:FWS327623 GGO327417:GGO327623 GQK327417:GQK327623 HAG327417:HAG327623 HKC327417:HKC327623 HTY327417:HTY327623 IDU327417:IDU327623 INQ327417:INQ327623 IXM327417:IXM327623 JHI327417:JHI327623 JRE327417:JRE327623 KBA327417:KBA327623 KKW327417:KKW327623 KUS327417:KUS327623 LEO327417:LEO327623 LOK327417:LOK327623 LYG327417:LYG327623 MIC327417:MIC327623 MRY327417:MRY327623 NBU327417:NBU327623 NLQ327417:NLQ327623 NVM327417:NVM327623 OFI327417:OFI327623 OPE327417:OPE327623 OZA327417:OZA327623 PIW327417:PIW327623 PSS327417:PSS327623 QCO327417:QCO327623 QMK327417:QMK327623 QWG327417:QWG327623 RGC327417:RGC327623 RPY327417:RPY327623 RZU327417:RZU327623 SJQ327417:SJQ327623 STM327417:STM327623 TDI327417:TDI327623 TNE327417:TNE327623 TXA327417:TXA327623 UGW327417:UGW327623 UQS327417:UQS327623 VAO327417:VAO327623 VKK327417:VKK327623 VUG327417:VUG327623 WEC327417:WEC327623 WNY327417:WNY327623 WXU327417:WXU327623 BQ392953:BQ393159 LI392953:LI393159 VE392953:VE393159 AFA392953:AFA393159 AOW392953:AOW393159 AYS392953:AYS393159 BIO392953:BIO393159 BSK392953:BSK393159 CCG392953:CCG393159 CMC392953:CMC393159 CVY392953:CVY393159 DFU392953:DFU393159 DPQ392953:DPQ393159 DZM392953:DZM393159 EJI392953:EJI393159 ETE392953:ETE393159 FDA392953:FDA393159 FMW392953:FMW393159 FWS392953:FWS393159 GGO392953:GGO393159 GQK392953:GQK393159 HAG392953:HAG393159 HKC392953:HKC393159 HTY392953:HTY393159 IDU392953:IDU393159 INQ392953:INQ393159 IXM392953:IXM393159 JHI392953:JHI393159 JRE392953:JRE393159 KBA392953:KBA393159 KKW392953:KKW393159 KUS392953:KUS393159 LEO392953:LEO393159 LOK392953:LOK393159 LYG392953:LYG393159 MIC392953:MIC393159 MRY392953:MRY393159 NBU392953:NBU393159 NLQ392953:NLQ393159 NVM392953:NVM393159 OFI392953:OFI393159 OPE392953:OPE393159 OZA392953:OZA393159 PIW392953:PIW393159 PSS392953:PSS393159 QCO392953:QCO393159 QMK392953:QMK393159 QWG392953:QWG393159 RGC392953:RGC393159 RPY392953:RPY393159 RZU392953:RZU393159 SJQ392953:SJQ393159 STM392953:STM393159 TDI392953:TDI393159 TNE392953:TNE393159 TXA392953:TXA393159 UGW392953:UGW393159 UQS392953:UQS393159 VAO392953:VAO393159 VKK392953:VKK393159 VUG392953:VUG393159 WEC392953:WEC393159 WNY392953:WNY393159 WXU392953:WXU393159 BQ458489:BQ458695 LI458489:LI458695 VE458489:VE458695 AFA458489:AFA458695 AOW458489:AOW458695 AYS458489:AYS458695 BIO458489:BIO458695 BSK458489:BSK458695 CCG458489:CCG458695 CMC458489:CMC458695 CVY458489:CVY458695 DFU458489:DFU458695 DPQ458489:DPQ458695 DZM458489:DZM458695 EJI458489:EJI458695 ETE458489:ETE458695 FDA458489:FDA458695 FMW458489:FMW458695 FWS458489:FWS458695 GGO458489:GGO458695 GQK458489:GQK458695 HAG458489:HAG458695 HKC458489:HKC458695 HTY458489:HTY458695 IDU458489:IDU458695 INQ458489:INQ458695 IXM458489:IXM458695 JHI458489:JHI458695 JRE458489:JRE458695 KBA458489:KBA458695 KKW458489:KKW458695 KUS458489:KUS458695 LEO458489:LEO458695 LOK458489:LOK458695 LYG458489:LYG458695 MIC458489:MIC458695 MRY458489:MRY458695 NBU458489:NBU458695 NLQ458489:NLQ458695 NVM458489:NVM458695 OFI458489:OFI458695 OPE458489:OPE458695 OZA458489:OZA458695 PIW458489:PIW458695 PSS458489:PSS458695 QCO458489:QCO458695 QMK458489:QMK458695 QWG458489:QWG458695 RGC458489:RGC458695 RPY458489:RPY458695 RZU458489:RZU458695 SJQ458489:SJQ458695 STM458489:STM458695 TDI458489:TDI458695 TNE458489:TNE458695 TXA458489:TXA458695 UGW458489:UGW458695 UQS458489:UQS458695 VAO458489:VAO458695 VKK458489:VKK458695 VUG458489:VUG458695 WEC458489:WEC458695 WNY458489:WNY458695 WXU458489:WXU458695 BQ524025:BQ524231 LI524025:LI524231 VE524025:VE524231 AFA524025:AFA524231 AOW524025:AOW524231 AYS524025:AYS524231 BIO524025:BIO524231 BSK524025:BSK524231 CCG524025:CCG524231 CMC524025:CMC524231 CVY524025:CVY524231 DFU524025:DFU524231 DPQ524025:DPQ524231 DZM524025:DZM524231 EJI524025:EJI524231 ETE524025:ETE524231 FDA524025:FDA524231 FMW524025:FMW524231 FWS524025:FWS524231 GGO524025:GGO524231 GQK524025:GQK524231 HAG524025:HAG524231 HKC524025:HKC524231 HTY524025:HTY524231 IDU524025:IDU524231 INQ524025:INQ524231 IXM524025:IXM524231 JHI524025:JHI524231 JRE524025:JRE524231 KBA524025:KBA524231 KKW524025:KKW524231 KUS524025:KUS524231 LEO524025:LEO524231 LOK524025:LOK524231 LYG524025:LYG524231 MIC524025:MIC524231 MRY524025:MRY524231 NBU524025:NBU524231 NLQ524025:NLQ524231 NVM524025:NVM524231 OFI524025:OFI524231 OPE524025:OPE524231 OZA524025:OZA524231 PIW524025:PIW524231 PSS524025:PSS524231 QCO524025:QCO524231 QMK524025:QMK524231 QWG524025:QWG524231 RGC524025:RGC524231 RPY524025:RPY524231 RZU524025:RZU524231 SJQ524025:SJQ524231 STM524025:STM524231 TDI524025:TDI524231 TNE524025:TNE524231 TXA524025:TXA524231 UGW524025:UGW524231 UQS524025:UQS524231 VAO524025:VAO524231 VKK524025:VKK524231 VUG524025:VUG524231 WEC524025:WEC524231 WNY524025:WNY524231 WXU524025:WXU524231 BQ589561:BQ589767 LI589561:LI589767 VE589561:VE589767 AFA589561:AFA589767 AOW589561:AOW589767 AYS589561:AYS589767 BIO589561:BIO589767 BSK589561:BSK589767 CCG589561:CCG589767 CMC589561:CMC589767 CVY589561:CVY589767 DFU589561:DFU589767 DPQ589561:DPQ589767 DZM589561:DZM589767 EJI589561:EJI589767 ETE589561:ETE589767 FDA589561:FDA589767 FMW589561:FMW589767 FWS589561:FWS589767 GGO589561:GGO589767 GQK589561:GQK589767 HAG589561:HAG589767 HKC589561:HKC589767 HTY589561:HTY589767 IDU589561:IDU589767 INQ589561:INQ589767 IXM589561:IXM589767 JHI589561:JHI589767 JRE589561:JRE589767 KBA589561:KBA589767 KKW589561:KKW589767 KUS589561:KUS589767 LEO589561:LEO589767 LOK589561:LOK589767 LYG589561:LYG589767 MIC589561:MIC589767 MRY589561:MRY589767 NBU589561:NBU589767 NLQ589561:NLQ589767 NVM589561:NVM589767 OFI589561:OFI589767 OPE589561:OPE589767 OZA589561:OZA589767 PIW589561:PIW589767 PSS589561:PSS589767 QCO589561:QCO589767 QMK589561:QMK589767 QWG589561:QWG589767 RGC589561:RGC589767 RPY589561:RPY589767 RZU589561:RZU589767 SJQ589561:SJQ589767 STM589561:STM589767 TDI589561:TDI589767 TNE589561:TNE589767 TXA589561:TXA589767 UGW589561:UGW589767 UQS589561:UQS589767 VAO589561:VAO589767 VKK589561:VKK589767 VUG589561:VUG589767 WEC589561:WEC589767 WNY589561:WNY589767 WXU589561:WXU589767 BQ655097:BQ655303 LI655097:LI655303 VE655097:VE655303 AFA655097:AFA655303 AOW655097:AOW655303 AYS655097:AYS655303 BIO655097:BIO655303 BSK655097:BSK655303 CCG655097:CCG655303 CMC655097:CMC655303 CVY655097:CVY655303 DFU655097:DFU655303 DPQ655097:DPQ655303 DZM655097:DZM655303 EJI655097:EJI655303 ETE655097:ETE655303 FDA655097:FDA655303 FMW655097:FMW655303 FWS655097:FWS655303 GGO655097:GGO655303 GQK655097:GQK655303 HAG655097:HAG655303 HKC655097:HKC655303 HTY655097:HTY655303 IDU655097:IDU655303 INQ655097:INQ655303 IXM655097:IXM655303 JHI655097:JHI655303 JRE655097:JRE655303 KBA655097:KBA655303 KKW655097:KKW655303 KUS655097:KUS655303 LEO655097:LEO655303 LOK655097:LOK655303 LYG655097:LYG655303 MIC655097:MIC655303 MRY655097:MRY655303 NBU655097:NBU655303 NLQ655097:NLQ655303 NVM655097:NVM655303 OFI655097:OFI655303 OPE655097:OPE655303 OZA655097:OZA655303 PIW655097:PIW655303 PSS655097:PSS655303 QCO655097:QCO655303 QMK655097:QMK655303 QWG655097:QWG655303 RGC655097:RGC655303 RPY655097:RPY655303 RZU655097:RZU655303 SJQ655097:SJQ655303 STM655097:STM655303 TDI655097:TDI655303 TNE655097:TNE655303 TXA655097:TXA655303 UGW655097:UGW655303 UQS655097:UQS655303 VAO655097:VAO655303 VKK655097:VKK655303 VUG655097:VUG655303 WEC655097:WEC655303 WNY655097:WNY655303 WXU655097:WXU655303 BQ720633:BQ720839 LI720633:LI720839 VE720633:VE720839 AFA720633:AFA720839 AOW720633:AOW720839 AYS720633:AYS720839 BIO720633:BIO720839 BSK720633:BSK720839 CCG720633:CCG720839 CMC720633:CMC720839 CVY720633:CVY720839 DFU720633:DFU720839 DPQ720633:DPQ720839 DZM720633:DZM720839 EJI720633:EJI720839 ETE720633:ETE720839 FDA720633:FDA720839 FMW720633:FMW720839 FWS720633:FWS720839 GGO720633:GGO720839 GQK720633:GQK720839 HAG720633:HAG720839 HKC720633:HKC720839 HTY720633:HTY720839 IDU720633:IDU720839 INQ720633:INQ720839 IXM720633:IXM720839 JHI720633:JHI720839 JRE720633:JRE720839 KBA720633:KBA720839 KKW720633:KKW720839 KUS720633:KUS720839 LEO720633:LEO720839 LOK720633:LOK720839 LYG720633:LYG720839 MIC720633:MIC720839 MRY720633:MRY720839 NBU720633:NBU720839 NLQ720633:NLQ720839 NVM720633:NVM720839 OFI720633:OFI720839 OPE720633:OPE720839 OZA720633:OZA720839 PIW720633:PIW720839 PSS720633:PSS720839 QCO720633:QCO720839 QMK720633:QMK720839 QWG720633:QWG720839 RGC720633:RGC720839 RPY720633:RPY720839 RZU720633:RZU720839 SJQ720633:SJQ720839 STM720633:STM720839 TDI720633:TDI720839 TNE720633:TNE720839 TXA720633:TXA720839 UGW720633:UGW720839 UQS720633:UQS720839 VAO720633:VAO720839 VKK720633:VKK720839 VUG720633:VUG720839 WEC720633:WEC720839 WNY720633:WNY720839 WXU720633:WXU720839 BQ786169:BQ786375 LI786169:LI786375 VE786169:VE786375 AFA786169:AFA786375 AOW786169:AOW786375 AYS786169:AYS786375 BIO786169:BIO786375 BSK786169:BSK786375 CCG786169:CCG786375 CMC786169:CMC786375 CVY786169:CVY786375 DFU786169:DFU786375 DPQ786169:DPQ786375 DZM786169:DZM786375 EJI786169:EJI786375 ETE786169:ETE786375 FDA786169:FDA786375 FMW786169:FMW786375 FWS786169:FWS786375 GGO786169:GGO786375 GQK786169:GQK786375 HAG786169:HAG786375 HKC786169:HKC786375 HTY786169:HTY786375 IDU786169:IDU786375 INQ786169:INQ786375 IXM786169:IXM786375 JHI786169:JHI786375 JRE786169:JRE786375 KBA786169:KBA786375 KKW786169:KKW786375 KUS786169:KUS786375 LEO786169:LEO786375 LOK786169:LOK786375 LYG786169:LYG786375 MIC786169:MIC786375 MRY786169:MRY786375 NBU786169:NBU786375 NLQ786169:NLQ786375 NVM786169:NVM786375 OFI786169:OFI786375 OPE786169:OPE786375 OZA786169:OZA786375 PIW786169:PIW786375 PSS786169:PSS786375 QCO786169:QCO786375 QMK786169:QMK786375 QWG786169:QWG786375 RGC786169:RGC786375 RPY786169:RPY786375 RZU786169:RZU786375 SJQ786169:SJQ786375 STM786169:STM786375 TDI786169:TDI786375 TNE786169:TNE786375 TXA786169:TXA786375 UGW786169:UGW786375 UQS786169:UQS786375 VAO786169:VAO786375 VKK786169:VKK786375 VUG786169:VUG786375 WEC786169:WEC786375 WNY786169:WNY786375 WXU786169:WXU786375 BQ851705:BQ851911 LI851705:LI851911 VE851705:VE851911 AFA851705:AFA851911 AOW851705:AOW851911 AYS851705:AYS851911 BIO851705:BIO851911 BSK851705:BSK851911 CCG851705:CCG851911 CMC851705:CMC851911 CVY851705:CVY851911 DFU851705:DFU851911 DPQ851705:DPQ851911 DZM851705:DZM851911 EJI851705:EJI851911 ETE851705:ETE851911 FDA851705:FDA851911 FMW851705:FMW851911 FWS851705:FWS851911 GGO851705:GGO851911 GQK851705:GQK851911 HAG851705:HAG851911 HKC851705:HKC851911 HTY851705:HTY851911 IDU851705:IDU851911 INQ851705:INQ851911 IXM851705:IXM851911 JHI851705:JHI851911 JRE851705:JRE851911 KBA851705:KBA851911 KKW851705:KKW851911 KUS851705:KUS851911 LEO851705:LEO851911 LOK851705:LOK851911 LYG851705:LYG851911 MIC851705:MIC851911 MRY851705:MRY851911 NBU851705:NBU851911 NLQ851705:NLQ851911 NVM851705:NVM851911 OFI851705:OFI851911 OPE851705:OPE851911 OZA851705:OZA851911 PIW851705:PIW851911 PSS851705:PSS851911 QCO851705:QCO851911 QMK851705:QMK851911 QWG851705:QWG851911 RGC851705:RGC851911 RPY851705:RPY851911 RZU851705:RZU851911 SJQ851705:SJQ851911 STM851705:STM851911 TDI851705:TDI851911 TNE851705:TNE851911 TXA851705:TXA851911 UGW851705:UGW851911 UQS851705:UQS851911 VAO851705:VAO851911 VKK851705:VKK851911 VUG851705:VUG851911 WEC851705:WEC851911 WNY851705:WNY851911 WXU851705:WXU851911 BQ917241:BQ917447 LI917241:LI917447 VE917241:VE917447 AFA917241:AFA917447 AOW917241:AOW917447 AYS917241:AYS917447 BIO917241:BIO917447 BSK917241:BSK917447 CCG917241:CCG917447 CMC917241:CMC917447 CVY917241:CVY917447 DFU917241:DFU917447 DPQ917241:DPQ917447 DZM917241:DZM917447 EJI917241:EJI917447 ETE917241:ETE917447 FDA917241:FDA917447 FMW917241:FMW917447 FWS917241:FWS917447 GGO917241:GGO917447 GQK917241:GQK917447 HAG917241:HAG917447 HKC917241:HKC917447 HTY917241:HTY917447 IDU917241:IDU917447 INQ917241:INQ917447 IXM917241:IXM917447 JHI917241:JHI917447 JRE917241:JRE917447 KBA917241:KBA917447 KKW917241:KKW917447 KUS917241:KUS917447 LEO917241:LEO917447 LOK917241:LOK917447 LYG917241:LYG917447 MIC917241:MIC917447 MRY917241:MRY917447 NBU917241:NBU917447 NLQ917241:NLQ917447 NVM917241:NVM917447 OFI917241:OFI917447 OPE917241:OPE917447 OZA917241:OZA917447 PIW917241:PIW917447 PSS917241:PSS917447 QCO917241:QCO917447 QMK917241:QMK917447 QWG917241:QWG917447 RGC917241:RGC917447 RPY917241:RPY917447 RZU917241:RZU917447 SJQ917241:SJQ917447 STM917241:STM917447 TDI917241:TDI917447 TNE917241:TNE917447 TXA917241:TXA917447 UGW917241:UGW917447 UQS917241:UQS917447 VAO917241:VAO917447 VKK917241:VKK917447 VUG917241:VUG917447 WEC917241:WEC917447 WNY917241:WNY917447 WXU917241:WXU917447 BQ982777:BQ982983 LI982777:LI982983 VE982777:VE982983 AFA982777:AFA982983 AOW982777:AOW982983 AYS982777:AYS982983 BIO982777:BIO982983 BSK982777:BSK982983 CCG982777:CCG982983 CMC982777:CMC982983 CVY982777:CVY982983 DFU982777:DFU982983 DPQ982777:DPQ982983 DZM982777:DZM982983 EJI982777:EJI982983 ETE982777:ETE982983 FDA982777:FDA982983 FMW982777:FMW982983 FWS982777:FWS982983 GGO982777:GGO982983 GQK982777:GQK982983 HAG982777:HAG982983 HKC982777:HKC982983 HTY982777:HTY982983 IDU982777:IDU982983 INQ982777:INQ982983 IXM982777:IXM982983 JHI982777:JHI982983 JRE982777:JRE982983 KBA982777:KBA982983 KKW982777:KKW982983 KUS982777:KUS982983 LEO982777:LEO982983 LOK982777:LOK982983 LYG982777:LYG982983 MIC982777:MIC982983 MRY982777:MRY982983 NBU982777:NBU982983 NLQ982777:NLQ982983 NVM982777:NVM982983 OFI982777:OFI982983 OPE982777:OPE982983 OZA982777:OZA982983 PIW982777:PIW982983 PSS982777:PSS982983 QCO982777:QCO982983 QMK982777:QMK982983 QWG982777:QWG982983 RGC982777:RGC982983 RPY982777:RPY982983 RZU982777:RZU982983 SJQ982777:SJQ982983 STM982777:STM982983 TDI982777:TDI982983 TNE982777:TNE982983 TXA982777:TXA982983 UGW982777:UGW982983 UQS982777:UQS982983 VAO982777:VAO982983 VKK982777:VKK982983 VUG982777:VUG982983 WEC982777:WEC982983 WNY982777:WNY982983 WXU982777:WXU982983 BD65273:BE65479 AP65273:AQ65479 AF982777:AG982983 AF917241:AG917447 AP982777:AQ982983 AF851705:AG851911 AP917241:AQ917447 AF786169:AG786375 AP851705:AQ851911 AF720633:AG720839 AP786169:AQ786375 AF655097:AG655303 AP720633:AQ720839 AF589561:AG589767 AP655097:AQ655303 AF524025:AG524231 AP589561:AQ589767 AF458489:AG458695 AP524025:AQ524231 AF392953:AG393159 AP458489:AQ458695 AF327417:AG327623 AP392953:AQ393159 AF261881:AG262087 AP327417:AQ327623 AF196345:AG196551 AP261881:AQ262087 AF130809:AG131015 AP196345:AQ196551 AP130809:AQ131015 BD982777:BE982983 BD917241:BE917447 BD851705:BE851911 BD786169:BE786375 BD720633:BE720839 BD655097:BE655303 BD589561:BE589767 BD524025:BE524231 BD458489:BE458695 BD392953:BE393159 BD327417:BE327623 BD261881:BE262087 BD196345:BE196551 BD130809:BE131015 AF65273:AG65479 AXX5:AXX11 BHT5:BHT11 BRP5:BRP11 CBL5:CBL11 CLH5:CLH11 CVD5:CVD11 DEZ5:DEZ11 DOV5:DOV11 DYR5:DYR11 EIN5:EIN11 ESJ5:ESJ11 FCF5:FCF11 FMB5:FMB11 FVX5:FVX11 GFT5:GFT11 GPP5:GPP11 GZL5:GZL11 HJH5:HJH11 HTD5:HTD11 ICZ5:ICZ11 IMV5:IMV11 IWR5:IWR11 JGN5:JGN11 JQJ5:JQJ11 KAF5:KAF11 KKB5:KKB11 KTX5:KTX11 LDT5:LDT11 LNP5:LNP11 LXL5:LXL11 MHH5:MHH11 MRD5:MRD11 NAZ5:NAZ11 NKV5:NKV11 NUR5:NUR11 OEN5:OEN11 OOJ5:OOJ11 OYF5:OYF11 PIB5:PIB11 PRX5:PRX11 QBT5:QBT11 QLP5:QLP11 QVL5:QVL11 RFH5:RFH11 RPD5:RPD11 RYZ5:RYZ11 SIV5:SIV11 SSR5:SSR11 TCN5:TCN11 TMJ5:TMJ11 TWF5:TWF11 UGB5:UGB11 UPX5:UPX11 UZT5:UZT11 VJP5:VJP11 VTL5:VTL11 WDH5:WDH11 WND5:WND11 WWZ5:WWZ11 LU5:LU11 VQ5:VQ11 AFM5:AFM11 API5:API11 AZE5:AZE11 BJA5:BJA11 BSW5:BSW11 CCS5:CCS11 CMO5:CMO11 CWK5:CWK11 DGG5:DGG11 DQC5:DQC11 DZY5:DZY11 EJU5:EJU11 ETQ5:ETQ11 FDM5:FDM11 FNI5:FNI11 FXE5:FXE11 GHA5:GHA11 GQW5:GQW11 HAS5:HAS11 HKO5:HKO11 HUK5:HUK11 IEG5:IEG11 IOC5:IOC11 IXY5:IXY11 JHU5:JHU11 JRQ5:JRQ11 KBM5:KBM11 KLI5:KLI11 KVE5:KVE11 LFA5:LFA11 LOW5:LOW11 LYS5:LYS11 MIO5:MIO11 MSK5:MSK11 NCG5:NCG11 NMC5:NMC11 NVY5:NVY11 OFU5:OFU11 OPQ5:OPQ11 OZM5:OZM11 PJI5:PJI11 PTE5:PTE11 QDA5:QDA11 QMW5:QMW11 QWS5:QWS11 RGO5:RGO11 RQK5:RQK11 SAG5:SAG11 SKC5:SKC11 STY5:STY11 TDU5:TDU11 TNQ5:TNQ11 TXM5:TXM11 UHI5:UHI11 URE5:URE11 VBA5:VBA11 VKW5:VKW11 VUS5:VUS11 WEO5:WEO11 WOK5:WOK11 WYG5:WYG11 LA5:LA11 UW5:UW11 AES5:AES11 AOO5:AOO11 AYK5:AYK11 BIG5:BIG11 BSC5:BSC11 CBY5:CBY11 CLU5:CLU11 CVQ5:CVQ11 DFM5:DFM11 DPI5:DPI11 DZE5:DZE11 EJA5:EJA11 ESW5:ESW11 FCS5:FCS11 FMO5:FMO11 FWK5:FWK11 GGG5:GGG11 GQC5:GQC11 GZY5:GZY11 HJU5:HJU11 HTQ5:HTQ11 IDM5:IDM11 INI5:INI11 IXE5:IXE11 JHA5:JHA11 JQW5:JQW11 KAS5:KAS11 KKO5:KKO11 KUK5:KUK11 LEG5:LEG11 LOC5:LOC11 LXY5:LXY11 MHU5:MHU11 MRQ5:MRQ11 NBM5:NBM11 NLI5:NLI11 NVE5:NVE11 OFA5:OFA11 OOW5:OOW11 OYS5:OYS11 PIO5:PIO11 PSK5:PSK11 QCG5:QCG11 QMC5:QMC11 QVY5:QVY11 RFU5:RFU11 RPQ5:RPQ11 RZM5:RZM11 SJI5:SJI11 STE5:STE11 TDA5:TDA11 TMW5:TMW11 TWS5:TWS11 UGO5:UGO11 UQK5:UQK11 VAG5:VAG11 VKC5:VKC11 VTY5:VTY11 WDU5:WDU11 WNQ5:WNQ11 WXM5:WXM11 LF5:LF11 VB5:VB11 AEX5:AEX11 AOT5:AOT11 AYP5:AYP11 BIL5:BIL11 BSH5:BSH11 CCD5:CCD11 CLZ5:CLZ11 CVV5:CVV11 DFR5:DFR11 DPN5:DPN11 DZJ5:DZJ11 EJF5:EJF11 ETB5:ETB11 FCX5:FCX11 FMT5:FMT11 FWP5:FWP11 GGL5:GGL11 GQH5:GQH11 HAD5:HAD11 HJZ5:HJZ11 HTV5:HTV11 IDR5:IDR11 INN5:INN11 IXJ5:IXJ11 JHF5:JHF11 JRB5:JRB11 KAX5:KAX11 KKT5:KKT11 KUP5:KUP11 LEL5:LEL11 LOH5:LOH11 LYD5:LYD11 MHZ5:MHZ11 MRV5:MRV11 NBR5:NBR11 NLN5:NLN11 NVJ5:NVJ11 OFF5:OFF11 OPB5:OPB11 OYX5:OYX11 PIT5:PIT11 PSP5:PSP11 QCL5:QCL11 QMH5:QMH11 QWD5:QWD11 RFZ5:RFZ11 RPV5:RPV11 RZR5:RZR11 SJN5:SJN11 STJ5:STJ11 TDF5:TDF11 TNB5:TNB11 TWX5:TWX11 UGT5:UGT11 UQP5:UQP11 VAL5:VAL11 VKH5:VKH11 VUD5:VUD11 WDZ5:WDZ11 WNV5:WNV11 WXR5:WXR11 LI5:LI11 VE5:VE11 AFA5:AFA11 AOW5:AOW11 AYS5:AYS11 BIO5:BIO11 BSK5:BSK11 CCG5:CCG11 CMC5:CMC11 CVY5:CVY11 DFU5:DFU11 DPQ5:DPQ11 DZM5:DZM11 EJI5:EJI11 ETE5:ETE11 FDA5:FDA11 FMW5:FMW11 FWS5:FWS11 GGO5:GGO11 GQK5:GQK11 HAG5:HAG11 HKC5:HKC11 HTY5:HTY11 IDU5:IDU11 INQ5:INQ11 IXM5:IXM11 JHI5:JHI11 JRE5:JRE11 KBA5:KBA11 KKW5:KKW11 KUS5:KUS11 LEO5:LEO11 LOK5:LOK11 LYG5:LYG11 MIC5:MIC11 MRY5:MRY11 NBU5:NBU11 NLQ5:NLQ11 NVM5:NVM11 OFI5:OFI11 OPE5:OPE11 OZA5:OZA11 PIW5:PIW11 PSS5:PSS11 QCO5:QCO11 QMK5:QMK11 QWG5:QWG11 RGC5:RGC11 RPY5:RPY11 RZU5:RZU11 SJQ5:SJQ11 STM5:STM11 TDI5:TDI11 TNE5:TNE11 TXA5:TXA11 UGW5:UGW11 UQS5:UQS11 VAO5:VAO11 VKK5:VKK11 VUG5:VUG11 WEC5:WEC11 WNY5:WNY11 UJ5:UJ11 AEF5:AEF11 KN5:KN11 WXU5:WXU11 AOB5:AOB11 CC5:CC11 BE5:BE179">
      <formula1>0</formula1>
      <formula2>100</formula2>
    </dataValidation>
    <dataValidation type="list" allowBlank="1" showInputMessage="1" showErrorMessage="1" sqref="BH65273:BH65475 LD5:LD11 UZ5:UZ11 WNM982777:WNM982979 WDQ982777:WDQ982979 VTU982777:VTU982979 VJY982777:VJY982979 VAC982777:VAC982979 UQG982777:UQG982979 UGK982777:UGK982979 TWO982777:TWO982979 TMS982777:TMS982979 TCW982777:TCW982979 STA982777:STA982979 SJE982777:SJE982979 RZI982777:RZI982979 RPM982777:RPM982979 RFQ982777:RFQ982979 QVU982777:QVU982979 QLY982777:QLY982979 QCC982777:QCC982979 PSG982777:PSG982979 PIK982777:PIK982979 OYO982777:OYO982979 OOS982777:OOS982979 OEW982777:OEW982979 NVA982777:NVA982979 NLE982777:NLE982979 NBI982777:NBI982979 MRM982777:MRM982979 MHQ982777:MHQ982979 LXU982777:LXU982979 LNY982777:LNY982979 LEC982777:LEC982979 KUG982777:KUG982979 KKK982777:KKK982979 KAO982777:KAO982979 JQS982777:JQS982979 JGW982777:JGW982979 IXA982777:IXA982979 INE982777:INE982979 IDI982777:IDI982979 HTM982777:HTM982979 HJQ982777:HJQ982979 GZU982777:GZU982979 GPY982777:GPY982979 GGC982777:GGC982979 FWG982777:FWG982979 FMK982777:FMK982979 FCO982777:FCO982979 ESS982777:ESS982979 EIW982777:EIW982979 DZA982777:DZA982979 DPE982777:DPE982979 DFI982777:DFI982979 CVM982777:CVM982979 CLQ982777:CLQ982979 CBU982777:CBU982979 BRY982777:BRY982979 BIC982777:BIC982979 AYG982777:AYG982979 AOK982777:AOK982979 AEO982777:AEO982979 US982777:US982979 KW982777:KW982979 AV982777:AV982979 WXI917241:WXI917443 WNM917241:WNM917443 WDQ917241:WDQ917443 VTU917241:VTU917443 VJY917241:VJY917443 VAC917241:VAC917443 UQG917241:UQG917443 UGK917241:UGK917443 TWO917241:TWO917443 TMS917241:TMS917443 TCW917241:TCW917443 STA917241:STA917443 SJE917241:SJE917443 RZI917241:RZI917443 RPM917241:RPM917443 RFQ917241:RFQ917443 QVU917241:QVU917443 QLY917241:QLY917443 QCC917241:QCC917443 PSG917241:PSG917443 PIK917241:PIK917443 OYO917241:OYO917443 OOS917241:OOS917443 OEW917241:OEW917443 NVA917241:NVA917443 NLE917241:NLE917443 NBI917241:NBI917443 MRM917241:MRM917443 MHQ917241:MHQ917443 LXU917241:LXU917443 LNY917241:LNY917443 LEC917241:LEC917443 KUG917241:KUG917443 KKK917241:KKK917443 KAO917241:KAO917443 JQS917241:JQS917443 JGW917241:JGW917443 IXA917241:IXA917443 INE917241:INE917443 IDI917241:IDI917443 HTM917241:HTM917443 HJQ917241:HJQ917443 GZU917241:GZU917443 GPY917241:GPY917443 GGC917241:GGC917443 FWG917241:FWG917443 FMK917241:FMK917443 FCO917241:FCO917443 ESS917241:ESS917443 EIW917241:EIW917443 DZA917241:DZA917443 DPE917241:DPE917443 DFI917241:DFI917443 CVM917241:CVM917443 CLQ917241:CLQ917443 CBU917241:CBU917443 BRY917241:BRY917443 BIC917241:BIC917443 AYG917241:AYG917443 AOK917241:AOK917443 AEO917241:AEO917443 US917241:US917443 KW917241:KW917443 AV917241:AV917443 WXI851705:WXI851907 WNM851705:WNM851907 WDQ851705:WDQ851907 VTU851705:VTU851907 VJY851705:VJY851907 VAC851705:VAC851907 UQG851705:UQG851907 UGK851705:UGK851907 TWO851705:TWO851907 TMS851705:TMS851907 TCW851705:TCW851907 STA851705:STA851907 SJE851705:SJE851907 RZI851705:RZI851907 RPM851705:RPM851907 RFQ851705:RFQ851907 QVU851705:QVU851907 QLY851705:QLY851907 QCC851705:QCC851907 PSG851705:PSG851907 PIK851705:PIK851907 OYO851705:OYO851907 OOS851705:OOS851907 OEW851705:OEW851907 NVA851705:NVA851907 NLE851705:NLE851907 NBI851705:NBI851907 MRM851705:MRM851907 MHQ851705:MHQ851907 LXU851705:LXU851907 LNY851705:LNY851907 LEC851705:LEC851907 KUG851705:KUG851907 KKK851705:KKK851907 KAO851705:KAO851907 JQS851705:JQS851907 JGW851705:JGW851907 IXA851705:IXA851907 INE851705:INE851907 IDI851705:IDI851907 HTM851705:HTM851907 HJQ851705:HJQ851907 GZU851705:GZU851907 GPY851705:GPY851907 GGC851705:GGC851907 FWG851705:FWG851907 FMK851705:FMK851907 FCO851705:FCO851907 ESS851705:ESS851907 EIW851705:EIW851907 DZA851705:DZA851907 DPE851705:DPE851907 DFI851705:DFI851907 CVM851705:CVM851907 CLQ851705:CLQ851907 CBU851705:CBU851907 BRY851705:BRY851907 BIC851705:BIC851907 AYG851705:AYG851907 AOK851705:AOK851907 AEO851705:AEO851907 US851705:US851907 KW851705:KW851907 AV851705:AV851907 WXI786169:WXI786371 WNM786169:WNM786371 WDQ786169:WDQ786371 VTU786169:VTU786371 VJY786169:VJY786371 VAC786169:VAC786371 UQG786169:UQG786371 UGK786169:UGK786371 TWO786169:TWO786371 TMS786169:TMS786371 TCW786169:TCW786371 STA786169:STA786371 SJE786169:SJE786371 RZI786169:RZI786371 RPM786169:RPM786371 RFQ786169:RFQ786371 QVU786169:QVU786371 QLY786169:QLY786371 QCC786169:QCC786371 PSG786169:PSG786371 PIK786169:PIK786371 OYO786169:OYO786371 OOS786169:OOS786371 OEW786169:OEW786371 NVA786169:NVA786371 NLE786169:NLE786371 NBI786169:NBI786371 MRM786169:MRM786371 MHQ786169:MHQ786371 LXU786169:LXU786371 LNY786169:LNY786371 LEC786169:LEC786371 KUG786169:KUG786371 KKK786169:KKK786371 KAO786169:KAO786371 JQS786169:JQS786371 JGW786169:JGW786371 IXA786169:IXA786371 INE786169:INE786371 IDI786169:IDI786371 HTM786169:HTM786371 HJQ786169:HJQ786371 GZU786169:GZU786371 GPY786169:GPY786371 GGC786169:GGC786371 FWG786169:FWG786371 FMK786169:FMK786371 FCO786169:FCO786371 ESS786169:ESS786371 EIW786169:EIW786371 DZA786169:DZA786371 DPE786169:DPE786371 DFI786169:DFI786371 CVM786169:CVM786371 CLQ786169:CLQ786371 CBU786169:CBU786371 BRY786169:BRY786371 BIC786169:BIC786371 AYG786169:AYG786371 AOK786169:AOK786371 AEO786169:AEO786371 US786169:US786371 KW786169:KW786371 AV786169:AV786371 WXI720633:WXI720835 WNM720633:WNM720835 WDQ720633:WDQ720835 VTU720633:VTU720835 VJY720633:VJY720835 VAC720633:VAC720835 UQG720633:UQG720835 UGK720633:UGK720835 TWO720633:TWO720835 TMS720633:TMS720835 TCW720633:TCW720835 STA720633:STA720835 SJE720633:SJE720835 RZI720633:RZI720835 RPM720633:RPM720835 RFQ720633:RFQ720835 QVU720633:QVU720835 QLY720633:QLY720835 QCC720633:QCC720835 PSG720633:PSG720835 PIK720633:PIK720835 OYO720633:OYO720835 OOS720633:OOS720835 OEW720633:OEW720835 NVA720633:NVA720835 NLE720633:NLE720835 NBI720633:NBI720835 MRM720633:MRM720835 MHQ720633:MHQ720835 LXU720633:LXU720835 LNY720633:LNY720835 LEC720633:LEC720835 KUG720633:KUG720835 KKK720633:KKK720835 KAO720633:KAO720835 JQS720633:JQS720835 JGW720633:JGW720835 IXA720633:IXA720835 INE720633:INE720835 IDI720633:IDI720835 HTM720633:HTM720835 HJQ720633:HJQ720835 GZU720633:GZU720835 GPY720633:GPY720835 GGC720633:GGC720835 FWG720633:FWG720835 FMK720633:FMK720835 FCO720633:FCO720835 ESS720633:ESS720835 EIW720633:EIW720835 DZA720633:DZA720835 DPE720633:DPE720835 DFI720633:DFI720835 CVM720633:CVM720835 CLQ720633:CLQ720835 CBU720633:CBU720835 BRY720633:BRY720835 BIC720633:BIC720835 AYG720633:AYG720835 AOK720633:AOK720835 AEO720633:AEO720835 US720633:US720835 KW720633:KW720835 AV720633:AV720835 WXI655097:WXI655299 WNM655097:WNM655299 WDQ655097:WDQ655299 VTU655097:VTU655299 VJY655097:VJY655299 VAC655097:VAC655299 UQG655097:UQG655299 UGK655097:UGK655299 TWO655097:TWO655299 TMS655097:TMS655299 TCW655097:TCW655299 STA655097:STA655299 SJE655097:SJE655299 RZI655097:RZI655299 RPM655097:RPM655299 RFQ655097:RFQ655299 QVU655097:QVU655299 QLY655097:QLY655299 QCC655097:QCC655299 PSG655097:PSG655299 PIK655097:PIK655299 OYO655097:OYO655299 OOS655097:OOS655299 OEW655097:OEW655299 NVA655097:NVA655299 NLE655097:NLE655299 NBI655097:NBI655299 MRM655097:MRM655299 MHQ655097:MHQ655299 LXU655097:LXU655299 LNY655097:LNY655299 LEC655097:LEC655299 KUG655097:KUG655299 KKK655097:KKK655299 KAO655097:KAO655299 JQS655097:JQS655299 JGW655097:JGW655299 IXA655097:IXA655299 INE655097:INE655299 IDI655097:IDI655299 HTM655097:HTM655299 HJQ655097:HJQ655299 GZU655097:GZU655299 GPY655097:GPY655299 GGC655097:GGC655299 FWG655097:FWG655299 FMK655097:FMK655299 FCO655097:FCO655299 ESS655097:ESS655299 EIW655097:EIW655299 DZA655097:DZA655299 DPE655097:DPE655299 DFI655097:DFI655299 CVM655097:CVM655299 CLQ655097:CLQ655299 CBU655097:CBU655299 BRY655097:BRY655299 BIC655097:BIC655299 AYG655097:AYG655299 AOK655097:AOK655299 AEO655097:AEO655299 US655097:US655299 KW655097:KW655299 AV655097:AV655299 WXI589561:WXI589763 WNM589561:WNM589763 WDQ589561:WDQ589763 VTU589561:VTU589763 VJY589561:VJY589763 VAC589561:VAC589763 UQG589561:UQG589763 UGK589561:UGK589763 TWO589561:TWO589763 TMS589561:TMS589763 TCW589561:TCW589763 STA589561:STA589763 SJE589561:SJE589763 RZI589561:RZI589763 RPM589561:RPM589763 RFQ589561:RFQ589763 QVU589561:QVU589763 QLY589561:QLY589763 QCC589561:QCC589763 PSG589561:PSG589763 PIK589561:PIK589763 OYO589561:OYO589763 OOS589561:OOS589763 OEW589561:OEW589763 NVA589561:NVA589763 NLE589561:NLE589763 NBI589561:NBI589763 MRM589561:MRM589763 MHQ589561:MHQ589763 LXU589561:LXU589763 LNY589561:LNY589763 LEC589561:LEC589763 KUG589561:KUG589763 KKK589561:KKK589763 KAO589561:KAO589763 JQS589561:JQS589763 JGW589561:JGW589763 IXA589561:IXA589763 INE589561:INE589763 IDI589561:IDI589763 HTM589561:HTM589763 HJQ589561:HJQ589763 GZU589561:GZU589763 GPY589561:GPY589763 GGC589561:GGC589763 FWG589561:FWG589763 FMK589561:FMK589763 FCO589561:FCO589763 ESS589561:ESS589763 EIW589561:EIW589763 DZA589561:DZA589763 DPE589561:DPE589763 DFI589561:DFI589763 CVM589561:CVM589763 CLQ589561:CLQ589763 CBU589561:CBU589763 BRY589561:BRY589763 BIC589561:BIC589763 AYG589561:AYG589763 AOK589561:AOK589763 AEO589561:AEO589763 US589561:US589763 KW589561:KW589763 AV589561:AV589763 WXI524025:WXI524227 WNM524025:WNM524227 WDQ524025:WDQ524227 VTU524025:VTU524227 VJY524025:VJY524227 VAC524025:VAC524227 UQG524025:UQG524227 UGK524025:UGK524227 TWO524025:TWO524227 TMS524025:TMS524227 TCW524025:TCW524227 STA524025:STA524227 SJE524025:SJE524227 RZI524025:RZI524227 RPM524025:RPM524227 RFQ524025:RFQ524227 QVU524025:QVU524227 QLY524025:QLY524227 QCC524025:QCC524227 PSG524025:PSG524227 PIK524025:PIK524227 OYO524025:OYO524227 OOS524025:OOS524227 OEW524025:OEW524227 NVA524025:NVA524227 NLE524025:NLE524227 NBI524025:NBI524227 MRM524025:MRM524227 MHQ524025:MHQ524227 LXU524025:LXU524227 LNY524025:LNY524227 LEC524025:LEC524227 KUG524025:KUG524227 KKK524025:KKK524227 KAO524025:KAO524227 JQS524025:JQS524227 JGW524025:JGW524227 IXA524025:IXA524227 INE524025:INE524227 IDI524025:IDI524227 HTM524025:HTM524227 HJQ524025:HJQ524227 GZU524025:GZU524227 GPY524025:GPY524227 GGC524025:GGC524227 FWG524025:FWG524227 FMK524025:FMK524227 FCO524025:FCO524227 ESS524025:ESS524227 EIW524025:EIW524227 DZA524025:DZA524227 DPE524025:DPE524227 DFI524025:DFI524227 CVM524025:CVM524227 CLQ524025:CLQ524227 CBU524025:CBU524227 BRY524025:BRY524227 BIC524025:BIC524227 AYG524025:AYG524227 AOK524025:AOK524227 AEO524025:AEO524227 US524025:US524227 KW524025:KW524227 AV524025:AV524227 WXI458489:WXI458691 WNM458489:WNM458691 WDQ458489:WDQ458691 VTU458489:VTU458691 VJY458489:VJY458691 VAC458489:VAC458691 UQG458489:UQG458691 UGK458489:UGK458691 TWO458489:TWO458691 TMS458489:TMS458691 TCW458489:TCW458691 STA458489:STA458691 SJE458489:SJE458691 RZI458489:RZI458691 RPM458489:RPM458691 RFQ458489:RFQ458691 QVU458489:QVU458691 QLY458489:QLY458691 QCC458489:QCC458691 PSG458489:PSG458691 PIK458489:PIK458691 OYO458489:OYO458691 OOS458489:OOS458691 OEW458489:OEW458691 NVA458489:NVA458691 NLE458489:NLE458691 NBI458489:NBI458691 MRM458489:MRM458691 MHQ458489:MHQ458691 LXU458489:LXU458691 LNY458489:LNY458691 LEC458489:LEC458691 KUG458489:KUG458691 KKK458489:KKK458691 KAO458489:KAO458691 JQS458489:JQS458691 JGW458489:JGW458691 IXA458489:IXA458691 INE458489:INE458691 IDI458489:IDI458691 HTM458489:HTM458691 HJQ458489:HJQ458691 GZU458489:GZU458691 GPY458489:GPY458691 GGC458489:GGC458691 FWG458489:FWG458691 FMK458489:FMK458691 FCO458489:FCO458691 ESS458489:ESS458691 EIW458489:EIW458691 DZA458489:DZA458691 DPE458489:DPE458691 DFI458489:DFI458691 CVM458489:CVM458691 CLQ458489:CLQ458691 CBU458489:CBU458691 BRY458489:BRY458691 BIC458489:BIC458691 AYG458489:AYG458691 AOK458489:AOK458691 AEO458489:AEO458691 US458489:US458691 KW458489:KW458691 AV458489:AV458691 WXI392953:WXI393155 WNM392953:WNM393155 WDQ392953:WDQ393155 VTU392953:VTU393155 VJY392953:VJY393155 VAC392953:VAC393155 UQG392953:UQG393155 UGK392953:UGK393155 TWO392953:TWO393155 TMS392953:TMS393155 TCW392953:TCW393155 STA392953:STA393155 SJE392953:SJE393155 RZI392953:RZI393155 RPM392953:RPM393155 RFQ392953:RFQ393155 QVU392953:QVU393155 QLY392953:QLY393155 QCC392953:QCC393155 PSG392953:PSG393155 PIK392953:PIK393155 OYO392953:OYO393155 OOS392953:OOS393155 OEW392953:OEW393155 NVA392953:NVA393155 NLE392953:NLE393155 NBI392953:NBI393155 MRM392953:MRM393155 MHQ392953:MHQ393155 LXU392953:LXU393155 LNY392953:LNY393155 LEC392953:LEC393155 KUG392953:KUG393155 KKK392953:KKK393155 KAO392953:KAO393155 JQS392953:JQS393155 JGW392953:JGW393155 IXA392953:IXA393155 INE392953:INE393155 IDI392953:IDI393155 HTM392953:HTM393155 HJQ392953:HJQ393155 GZU392953:GZU393155 GPY392953:GPY393155 GGC392953:GGC393155 FWG392953:FWG393155 FMK392953:FMK393155 FCO392953:FCO393155 ESS392953:ESS393155 EIW392953:EIW393155 DZA392953:DZA393155 DPE392953:DPE393155 DFI392953:DFI393155 CVM392953:CVM393155 CLQ392953:CLQ393155 CBU392953:CBU393155 BRY392953:BRY393155 BIC392953:BIC393155 AYG392953:AYG393155 AOK392953:AOK393155 AEO392953:AEO393155 US392953:US393155 KW392953:KW393155 AV392953:AV393155 WXI327417:WXI327619 WNM327417:WNM327619 WDQ327417:WDQ327619 VTU327417:VTU327619 VJY327417:VJY327619 VAC327417:VAC327619 UQG327417:UQG327619 UGK327417:UGK327619 TWO327417:TWO327619 TMS327417:TMS327619 TCW327417:TCW327619 STA327417:STA327619 SJE327417:SJE327619 RZI327417:RZI327619 RPM327417:RPM327619 RFQ327417:RFQ327619 QVU327417:QVU327619 QLY327417:QLY327619 QCC327417:QCC327619 PSG327417:PSG327619 PIK327417:PIK327619 OYO327417:OYO327619 OOS327417:OOS327619 OEW327417:OEW327619 NVA327417:NVA327619 NLE327417:NLE327619 NBI327417:NBI327619 MRM327417:MRM327619 MHQ327417:MHQ327619 LXU327417:LXU327619 LNY327417:LNY327619 LEC327417:LEC327619 KUG327417:KUG327619 KKK327417:KKK327619 KAO327417:KAO327619 JQS327417:JQS327619 JGW327417:JGW327619 IXA327417:IXA327619 INE327417:INE327619 IDI327417:IDI327619 HTM327417:HTM327619 HJQ327417:HJQ327619 GZU327417:GZU327619 GPY327417:GPY327619 GGC327417:GGC327619 FWG327417:FWG327619 FMK327417:FMK327619 FCO327417:FCO327619 ESS327417:ESS327619 EIW327417:EIW327619 DZA327417:DZA327619 DPE327417:DPE327619 DFI327417:DFI327619 CVM327417:CVM327619 CLQ327417:CLQ327619 CBU327417:CBU327619 BRY327417:BRY327619 BIC327417:BIC327619 AYG327417:AYG327619 AOK327417:AOK327619 AEO327417:AEO327619 US327417:US327619 KW327417:KW327619 AV327417:AV327619 WXI261881:WXI262083 WNM261881:WNM262083 WDQ261881:WDQ262083 VTU261881:VTU262083 VJY261881:VJY262083 VAC261881:VAC262083 UQG261881:UQG262083 UGK261881:UGK262083 TWO261881:TWO262083 TMS261881:TMS262083 TCW261881:TCW262083 STA261881:STA262083 SJE261881:SJE262083 RZI261881:RZI262083 RPM261881:RPM262083 RFQ261881:RFQ262083 QVU261881:QVU262083 QLY261881:QLY262083 QCC261881:QCC262083 PSG261881:PSG262083 PIK261881:PIK262083 OYO261881:OYO262083 OOS261881:OOS262083 OEW261881:OEW262083 NVA261881:NVA262083 NLE261881:NLE262083 NBI261881:NBI262083 MRM261881:MRM262083 MHQ261881:MHQ262083 LXU261881:LXU262083 LNY261881:LNY262083 LEC261881:LEC262083 KUG261881:KUG262083 KKK261881:KKK262083 KAO261881:KAO262083 JQS261881:JQS262083 JGW261881:JGW262083 IXA261881:IXA262083 INE261881:INE262083 IDI261881:IDI262083 HTM261881:HTM262083 HJQ261881:HJQ262083 GZU261881:GZU262083 GPY261881:GPY262083 GGC261881:GGC262083 FWG261881:FWG262083 FMK261881:FMK262083 FCO261881:FCO262083 ESS261881:ESS262083 EIW261881:EIW262083 DZA261881:DZA262083 DPE261881:DPE262083 DFI261881:DFI262083 CVM261881:CVM262083 CLQ261881:CLQ262083 CBU261881:CBU262083 BRY261881:BRY262083 BIC261881:BIC262083 AYG261881:AYG262083 AOK261881:AOK262083 AEO261881:AEO262083 US261881:US262083 KW261881:KW262083 AV261881:AV262083 WXI196345:WXI196547 WNM196345:WNM196547 WDQ196345:WDQ196547 VTU196345:VTU196547 VJY196345:VJY196547 VAC196345:VAC196547 UQG196345:UQG196547 UGK196345:UGK196547 TWO196345:TWO196547 TMS196345:TMS196547 TCW196345:TCW196547 STA196345:STA196547 SJE196345:SJE196547 RZI196345:RZI196547 RPM196345:RPM196547 RFQ196345:RFQ196547 QVU196345:QVU196547 QLY196345:QLY196547 QCC196345:QCC196547 PSG196345:PSG196547 PIK196345:PIK196547 OYO196345:OYO196547 OOS196345:OOS196547 OEW196345:OEW196547 NVA196345:NVA196547 NLE196345:NLE196547 NBI196345:NBI196547 MRM196345:MRM196547 MHQ196345:MHQ196547 LXU196345:LXU196547 LNY196345:LNY196547 LEC196345:LEC196547 KUG196345:KUG196547 KKK196345:KKK196547 KAO196345:KAO196547 JQS196345:JQS196547 JGW196345:JGW196547 IXA196345:IXA196547 INE196345:INE196547 IDI196345:IDI196547 HTM196345:HTM196547 HJQ196345:HJQ196547 GZU196345:GZU196547 GPY196345:GPY196547 GGC196345:GGC196547 FWG196345:FWG196547 FMK196345:FMK196547 FCO196345:FCO196547 ESS196345:ESS196547 EIW196345:EIW196547 DZA196345:DZA196547 DPE196345:DPE196547 DFI196345:DFI196547 CVM196345:CVM196547 CLQ196345:CLQ196547 CBU196345:CBU196547 BRY196345:BRY196547 BIC196345:BIC196547 AYG196345:AYG196547 AOK196345:AOK196547 AEO196345:AEO196547 US196345:US196547 KW196345:KW196547 AV196345:AV196547 WXI130809:WXI131011 WNM130809:WNM131011 WDQ130809:WDQ131011 VTU130809:VTU131011 VJY130809:VJY131011 VAC130809:VAC131011 UQG130809:UQG131011 UGK130809:UGK131011 TWO130809:TWO131011 TMS130809:TMS131011 TCW130809:TCW131011 STA130809:STA131011 SJE130809:SJE131011 RZI130809:RZI131011 RPM130809:RPM131011 RFQ130809:RFQ131011 QVU130809:QVU131011 QLY130809:QLY131011 QCC130809:QCC131011 PSG130809:PSG131011 PIK130809:PIK131011 OYO130809:OYO131011 OOS130809:OOS131011 OEW130809:OEW131011 NVA130809:NVA131011 NLE130809:NLE131011 NBI130809:NBI131011 MRM130809:MRM131011 MHQ130809:MHQ131011 LXU130809:LXU131011 LNY130809:LNY131011 LEC130809:LEC131011 KUG130809:KUG131011 KKK130809:KKK131011 KAO130809:KAO131011 JQS130809:JQS131011 JGW130809:JGW131011 IXA130809:IXA131011 INE130809:INE131011 IDI130809:IDI131011 HTM130809:HTM131011 HJQ130809:HJQ131011 GZU130809:GZU131011 GPY130809:GPY131011 GGC130809:GGC131011 FWG130809:FWG131011 FMK130809:FMK131011 FCO130809:FCO131011 ESS130809:ESS131011 EIW130809:EIW131011 DZA130809:DZA131011 DPE130809:DPE131011 DFI130809:DFI131011 CVM130809:CVM131011 CLQ130809:CLQ131011 CBU130809:CBU131011 BRY130809:BRY131011 BIC130809:BIC131011 AYG130809:AYG131011 AOK130809:AOK131011 AEO130809:AEO131011 US130809:US131011 KW130809:KW131011 AV130809:AV131011 WXI65273:WXI65475 WNM65273:WNM65475 WDQ65273:WDQ65475 VTU65273:VTU65475 VJY65273:VJY65475 VAC65273:VAC65475 UQG65273:UQG65475 UGK65273:UGK65475 TWO65273:TWO65475 TMS65273:TMS65475 TCW65273:TCW65475 STA65273:STA65475 SJE65273:SJE65475 RZI65273:RZI65475 RPM65273:RPM65475 RFQ65273:RFQ65475 QVU65273:QVU65475 QLY65273:QLY65475 QCC65273:QCC65475 PSG65273:PSG65475 PIK65273:PIK65475 OYO65273:OYO65475 OOS65273:OOS65475 OEW65273:OEW65475 NVA65273:NVA65475 NLE65273:NLE65475 NBI65273:NBI65475 MRM65273:MRM65475 MHQ65273:MHQ65475 LXU65273:LXU65475 LNY65273:LNY65475 LEC65273:LEC65475 KUG65273:KUG65475 KKK65273:KKK65475 KAO65273:KAO65475 JQS65273:JQS65475 JGW65273:JGW65475 IXA65273:IXA65475 INE65273:INE65475 IDI65273:IDI65475 HTM65273:HTM65475 HJQ65273:HJQ65475 GZU65273:GZU65475 GPY65273:GPY65475 GGC65273:GGC65475 FWG65273:FWG65475 FMK65273:FMK65475 FCO65273:FCO65475 ESS65273:ESS65475 EIW65273:EIW65475 DZA65273:DZA65475 DPE65273:DPE65475 DFI65273:DFI65475 CVM65273:CVM65475 CLQ65273:CLQ65475 CBU65273:CBU65475 BRY65273:BRY65475 BIC65273:BIC65475 AYG65273:AYG65475 AOK65273:AOK65475 AEO65273:AEO65475 US65273:US65475 KW65273:KW65475 AV65273:AV65475 WXI5:WXI11 WNM5:WNM11 WDQ5:WDQ11 VTU5:VTU11 VJY5:VJY11 VAC5:VAC11 UQG5:UQG11 UGK5:UGK11 TWO5:TWO11 TMS5:TMS11 TCW5:TCW11 STA5:STA11 SJE5:SJE11 RZI5:RZI11 RPM5:RPM11 RFQ5:RFQ11 QVU5:QVU11 QLY5:QLY11 QCC5:QCC11 PSG5:PSG11 PIK5:PIK11 OYO5:OYO11 OOS5:OOS11 OEW5:OEW11 NVA5:NVA11 NLE5:NLE11 NBI5:NBI11 MRM5:MRM11 MHQ5:MHQ11 LXU5:LXU11 LNY5:LNY11 LEC5:LEC11 KUG5:KUG11 KKK5:KKK11 KAO5:KAO11 JQS5:JQS11 JGW5:JGW11 IXA5:IXA11 INE5:INE11 IDI5:IDI11 HTM5:HTM11 HJQ5:HJQ11 GZU5:GZU11 GPY5:GPY11 GGC5:GGC11 FWG5:FWG11 FMK5:FMK11 FCO5:FCO11 ESS5:ESS11 EIW5:EIW11 DZA5:DZA11 DPE5:DPE11 DFI5:DFI11 CVM5:CVM11 CLQ5:CLQ11 CBU5:CBU11 BRY5:BRY11 BIC5:BIC11 AYG5:AYG11 AOK5:AOK11 AEO5:AEO11 US5:US11 KW5:KW11 WXI982777:WXI982979 WXP982777:WXP982979 WNT982777:WNT982979 WDX982777:WDX982979 VUB982777:VUB982979 VKF982777:VKF982979 VAJ982777:VAJ982979 UQN982777:UQN982979 UGR982777:UGR982979 TWV982777:TWV982979 TMZ982777:TMZ982979 TDD982777:TDD982979 STH982777:STH982979 SJL982777:SJL982979 RZP982777:RZP982979 RPT982777:RPT982979 RFX982777:RFX982979 QWB982777:QWB982979 QMF982777:QMF982979 QCJ982777:QCJ982979 PSN982777:PSN982979 PIR982777:PIR982979 OYV982777:OYV982979 OOZ982777:OOZ982979 OFD982777:OFD982979 NVH982777:NVH982979 NLL982777:NLL982979 NBP982777:NBP982979 MRT982777:MRT982979 MHX982777:MHX982979 LYB982777:LYB982979 LOF982777:LOF982979 LEJ982777:LEJ982979 KUN982777:KUN982979 KKR982777:KKR982979 KAV982777:KAV982979 JQZ982777:JQZ982979 JHD982777:JHD982979 IXH982777:IXH982979 INL982777:INL982979 IDP982777:IDP982979 HTT982777:HTT982979 HJX982777:HJX982979 HAB982777:HAB982979 GQF982777:GQF982979 GGJ982777:GGJ982979 FWN982777:FWN982979 FMR982777:FMR982979 FCV982777:FCV982979 ESZ982777:ESZ982979 EJD982777:EJD982979 DZH982777:DZH982979 DPL982777:DPL982979 DFP982777:DFP982979 CVT982777:CVT982979 CLX982777:CLX982979 CCB982777:CCB982979 BSF982777:BSF982979 BIJ982777:BIJ982979 AYN982777:AYN982979 AOR982777:AOR982979 AEV982777:AEV982979 UZ982777:UZ982979 LD982777:LD982979 BH982777:BH982979 WXP917241:WXP917443 WNT917241:WNT917443 WDX917241:WDX917443 VUB917241:VUB917443 VKF917241:VKF917443 VAJ917241:VAJ917443 UQN917241:UQN917443 UGR917241:UGR917443 TWV917241:TWV917443 TMZ917241:TMZ917443 TDD917241:TDD917443 STH917241:STH917443 SJL917241:SJL917443 RZP917241:RZP917443 RPT917241:RPT917443 RFX917241:RFX917443 QWB917241:QWB917443 QMF917241:QMF917443 QCJ917241:QCJ917443 PSN917241:PSN917443 PIR917241:PIR917443 OYV917241:OYV917443 OOZ917241:OOZ917443 OFD917241:OFD917443 NVH917241:NVH917443 NLL917241:NLL917443 NBP917241:NBP917443 MRT917241:MRT917443 MHX917241:MHX917443 LYB917241:LYB917443 LOF917241:LOF917443 LEJ917241:LEJ917443 KUN917241:KUN917443 KKR917241:KKR917443 KAV917241:KAV917443 JQZ917241:JQZ917443 JHD917241:JHD917443 IXH917241:IXH917443 INL917241:INL917443 IDP917241:IDP917443 HTT917241:HTT917443 HJX917241:HJX917443 HAB917241:HAB917443 GQF917241:GQF917443 GGJ917241:GGJ917443 FWN917241:FWN917443 FMR917241:FMR917443 FCV917241:FCV917443 ESZ917241:ESZ917443 EJD917241:EJD917443 DZH917241:DZH917443 DPL917241:DPL917443 DFP917241:DFP917443 CVT917241:CVT917443 CLX917241:CLX917443 CCB917241:CCB917443 BSF917241:BSF917443 BIJ917241:BIJ917443 AYN917241:AYN917443 AOR917241:AOR917443 AEV917241:AEV917443 UZ917241:UZ917443 LD917241:LD917443 BH917241:BH917443 WXP851705:WXP851907 WNT851705:WNT851907 WDX851705:WDX851907 VUB851705:VUB851907 VKF851705:VKF851907 VAJ851705:VAJ851907 UQN851705:UQN851907 UGR851705:UGR851907 TWV851705:TWV851907 TMZ851705:TMZ851907 TDD851705:TDD851907 STH851705:STH851907 SJL851705:SJL851907 RZP851705:RZP851907 RPT851705:RPT851907 RFX851705:RFX851907 QWB851705:QWB851907 QMF851705:QMF851907 QCJ851705:QCJ851907 PSN851705:PSN851907 PIR851705:PIR851907 OYV851705:OYV851907 OOZ851705:OOZ851907 OFD851705:OFD851907 NVH851705:NVH851907 NLL851705:NLL851907 NBP851705:NBP851907 MRT851705:MRT851907 MHX851705:MHX851907 LYB851705:LYB851907 LOF851705:LOF851907 LEJ851705:LEJ851907 KUN851705:KUN851907 KKR851705:KKR851907 KAV851705:KAV851907 JQZ851705:JQZ851907 JHD851705:JHD851907 IXH851705:IXH851907 INL851705:INL851907 IDP851705:IDP851907 HTT851705:HTT851907 HJX851705:HJX851907 HAB851705:HAB851907 GQF851705:GQF851907 GGJ851705:GGJ851907 FWN851705:FWN851907 FMR851705:FMR851907 FCV851705:FCV851907 ESZ851705:ESZ851907 EJD851705:EJD851907 DZH851705:DZH851907 DPL851705:DPL851907 DFP851705:DFP851907 CVT851705:CVT851907 CLX851705:CLX851907 CCB851705:CCB851907 BSF851705:BSF851907 BIJ851705:BIJ851907 AYN851705:AYN851907 AOR851705:AOR851907 AEV851705:AEV851907 UZ851705:UZ851907 LD851705:LD851907 BH851705:BH851907 WXP786169:WXP786371 WNT786169:WNT786371 WDX786169:WDX786371 VUB786169:VUB786371 VKF786169:VKF786371 VAJ786169:VAJ786371 UQN786169:UQN786371 UGR786169:UGR786371 TWV786169:TWV786371 TMZ786169:TMZ786371 TDD786169:TDD786371 STH786169:STH786371 SJL786169:SJL786371 RZP786169:RZP786371 RPT786169:RPT786371 RFX786169:RFX786371 QWB786169:QWB786371 QMF786169:QMF786371 QCJ786169:QCJ786371 PSN786169:PSN786371 PIR786169:PIR786371 OYV786169:OYV786371 OOZ786169:OOZ786371 OFD786169:OFD786371 NVH786169:NVH786371 NLL786169:NLL786371 NBP786169:NBP786371 MRT786169:MRT786371 MHX786169:MHX786371 LYB786169:LYB786371 LOF786169:LOF786371 LEJ786169:LEJ786371 KUN786169:KUN786371 KKR786169:KKR786371 KAV786169:KAV786371 JQZ786169:JQZ786371 JHD786169:JHD786371 IXH786169:IXH786371 INL786169:INL786371 IDP786169:IDP786371 HTT786169:HTT786371 HJX786169:HJX786371 HAB786169:HAB786371 GQF786169:GQF786371 GGJ786169:GGJ786371 FWN786169:FWN786371 FMR786169:FMR786371 FCV786169:FCV786371 ESZ786169:ESZ786371 EJD786169:EJD786371 DZH786169:DZH786371 DPL786169:DPL786371 DFP786169:DFP786371 CVT786169:CVT786371 CLX786169:CLX786371 CCB786169:CCB786371 BSF786169:BSF786371 BIJ786169:BIJ786371 AYN786169:AYN786371 AOR786169:AOR786371 AEV786169:AEV786371 UZ786169:UZ786371 LD786169:LD786371 BH786169:BH786371 WXP720633:WXP720835 WNT720633:WNT720835 WDX720633:WDX720835 VUB720633:VUB720835 VKF720633:VKF720835 VAJ720633:VAJ720835 UQN720633:UQN720835 UGR720633:UGR720835 TWV720633:TWV720835 TMZ720633:TMZ720835 TDD720633:TDD720835 STH720633:STH720835 SJL720633:SJL720835 RZP720633:RZP720835 RPT720633:RPT720835 RFX720633:RFX720835 QWB720633:QWB720835 QMF720633:QMF720835 QCJ720633:QCJ720835 PSN720633:PSN720835 PIR720633:PIR720835 OYV720633:OYV720835 OOZ720633:OOZ720835 OFD720633:OFD720835 NVH720633:NVH720835 NLL720633:NLL720835 NBP720633:NBP720835 MRT720633:MRT720835 MHX720633:MHX720835 LYB720633:LYB720835 LOF720633:LOF720835 LEJ720633:LEJ720835 KUN720633:KUN720835 KKR720633:KKR720835 KAV720633:KAV720835 JQZ720633:JQZ720835 JHD720633:JHD720835 IXH720633:IXH720835 INL720633:INL720835 IDP720633:IDP720835 HTT720633:HTT720835 HJX720633:HJX720835 HAB720633:HAB720835 GQF720633:GQF720835 GGJ720633:GGJ720835 FWN720633:FWN720835 FMR720633:FMR720835 FCV720633:FCV720835 ESZ720633:ESZ720835 EJD720633:EJD720835 DZH720633:DZH720835 DPL720633:DPL720835 DFP720633:DFP720835 CVT720633:CVT720835 CLX720633:CLX720835 CCB720633:CCB720835 BSF720633:BSF720835 BIJ720633:BIJ720835 AYN720633:AYN720835 AOR720633:AOR720835 AEV720633:AEV720835 UZ720633:UZ720835 LD720633:LD720835 BH720633:BH720835 WXP655097:WXP655299 WNT655097:WNT655299 WDX655097:WDX655299 VUB655097:VUB655299 VKF655097:VKF655299 VAJ655097:VAJ655299 UQN655097:UQN655299 UGR655097:UGR655299 TWV655097:TWV655299 TMZ655097:TMZ655299 TDD655097:TDD655299 STH655097:STH655299 SJL655097:SJL655299 RZP655097:RZP655299 RPT655097:RPT655299 RFX655097:RFX655299 QWB655097:QWB655299 QMF655097:QMF655299 QCJ655097:QCJ655299 PSN655097:PSN655299 PIR655097:PIR655299 OYV655097:OYV655299 OOZ655097:OOZ655299 OFD655097:OFD655299 NVH655097:NVH655299 NLL655097:NLL655299 NBP655097:NBP655299 MRT655097:MRT655299 MHX655097:MHX655299 LYB655097:LYB655299 LOF655097:LOF655299 LEJ655097:LEJ655299 KUN655097:KUN655299 KKR655097:KKR655299 KAV655097:KAV655299 JQZ655097:JQZ655299 JHD655097:JHD655299 IXH655097:IXH655299 INL655097:INL655299 IDP655097:IDP655299 HTT655097:HTT655299 HJX655097:HJX655299 HAB655097:HAB655299 GQF655097:GQF655299 GGJ655097:GGJ655299 FWN655097:FWN655299 FMR655097:FMR655299 FCV655097:FCV655299 ESZ655097:ESZ655299 EJD655097:EJD655299 DZH655097:DZH655299 DPL655097:DPL655299 DFP655097:DFP655299 CVT655097:CVT655299 CLX655097:CLX655299 CCB655097:CCB655299 BSF655097:BSF655299 BIJ655097:BIJ655299 AYN655097:AYN655299 AOR655097:AOR655299 AEV655097:AEV655299 UZ655097:UZ655299 LD655097:LD655299 BH655097:BH655299 WXP589561:WXP589763 WNT589561:WNT589763 WDX589561:WDX589763 VUB589561:VUB589763 VKF589561:VKF589763 VAJ589561:VAJ589763 UQN589561:UQN589763 UGR589561:UGR589763 TWV589561:TWV589763 TMZ589561:TMZ589763 TDD589561:TDD589763 STH589561:STH589763 SJL589561:SJL589763 RZP589561:RZP589763 RPT589561:RPT589763 RFX589561:RFX589763 QWB589561:QWB589763 QMF589561:QMF589763 QCJ589561:QCJ589763 PSN589561:PSN589763 PIR589561:PIR589763 OYV589561:OYV589763 OOZ589561:OOZ589763 OFD589561:OFD589763 NVH589561:NVH589763 NLL589561:NLL589763 NBP589561:NBP589763 MRT589561:MRT589763 MHX589561:MHX589763 LYB589561:LYB589763 LOF589561:LOF589763 LEJ589561:LEJ589763 KUN589561:KUN589763 KKR589561:KKR589763 KAV589561:KAV589763 JQZ589561:JQZ589763 JHD589561:JHD589763 IXH589561:IXH589763 INL589561:INL589763 IDP589561:IDP589763 HTT589561:HTT589763 HJX589561:HJX589763 HAB589561:HAB589763 GQF589561:GQF589763 GGJ589561:GGJ589763 FWN589561:FWN589763 FMR589561:FMR589763 FCV589561:FCV589763 ESZ589561:ESZ589763 EJD589561:EJD589763 DZH589561:DZH589763 DPL589561:DPL589763 DFP589561:DFP589763 CVT589561:CVT589763 CLX589561:CLX589763 CCB589561:CCB589763 BSF589561:BSF589763 BIJ589561:BIJ589763 AYN589561:AYN589763 AOR589561:AOR589763 AEV589561:AEV589763 UZ589561:UZ589763 LD589561:LD589763 BH589561:BH589763 WXP524025:WXP524227 WNT524025:WNT524227 WDX524025:WDX524227 VUB524025:VUB524227 VKF524025:VKF524227 VAJ524025:VAJ524227 UQN524025:UQN524227 UGR524025:UGR524227 TWV524025:TWV524227 TMZ524025:TMZ524227 TDD524025:TDD524227 STH524025:STH524227 SJL524025:SJL524227 RZP524025:RZP524227 RPT524025:RPT524227 RFX524025:RFX524227 QWB524025:QWB524227 QMF524025:QMF524227 QCJ524025:QCJ524227 PSN524025:PSN524227 PIR524025:PIR524227 OYV524025:OYV524227 OOZ524025:OOZ524227 OFD524025:OFD524227 NVH524025:NVH524227 NLL524025:NLL524227 NBP524025:NBP524227 MRT524025:MRT524227 MHX524025:MHX524227 LYB524025:LYB524227 LOF524025:LOF524227 LEJ524025:LEJ524227 KUN524025:KUN524227 KKR524025:KKR524227 KAV524025:KAV524227 JQZ524025:JQZ524227 JHD524025:JHD524227 IXH524025:IXH524227 INL524025:INL524227 IDP524025:IDP524227 HTT524025:HTT524227 HJX524025:HJX524227 HAB524025:HAB524227 GQF524025:GQF524227 GGJ524025:GGJ524227 FWN524025:FWN524227 FMR524025:FMR524227 FCV524025:FCV524227 ESZ524025:ESZ524227 EJD524025:EJD524227 DZH524025:DZH524227 DPL524025:DPL524227 DFP524025:DFP524227 CVT524025:CVT524227 CLX524025:CLX524227 CCB524025:CCB524227 BSF524025:BSF524227 BIJ524025:BIJ524227 AYN524025:AYN524227 AOR524025:AOR524227 AEV524025:AEV524227 UZ524025:UZ524227 LD524025:LD524227 BH524025:BH524227 WXP458489:WXP458691 WNT458489:WNT458691 WDX458489:WDX458691 VUB458489:VUB458691 VKF458489:VKF458691 VAJ458489:VAJ458691 UQN458489:UQN458691 UGR458489:UGR458691 TWV458489:TWV458691 TMZ458489:TMZ458691 TDD458489:TDD458691 STH458489:STH458691 SJL458489:SJL458691 RZP458489:RZP458691 RPT458489:RPT458691 RFX458489:RFX458691 QWB458489:QWB458691 QMF458489:QMF458691 QCJ458489:QCJ458691 PSN458489:PSN458691 PIR458489:PIR458691 OYV458489:OYV458691 OOZ458489:OOZ458691 OFD458489:OFD458691 NVH458489:NVH458691 NLL458489:NLL458691 NBP458489:NBP458691 MRT458489:MRT458691 MHX458489:MHX458691 LYB458489:LYB458691 LOF458489:LOF458691 LEJ458489:LEJ458691 KUN458489:KUN458691 KKR458489:KKR458691 KAV458489:KAV458691 JQZ458489:JQZ458691 JHD458489:JHD458691 IXH458489:IXH458691 INL458489:INL458691 IDP458489:IDP458691 HTT458489:HTT458691 HJX458489:HJX458691 HAB458489:HAB458691 GQF458489:GQF458691 GGJ458489:GGJ458691 FWN458489:FWN458691 FMR458489:FMR458691 FCV458489:FCV458691 ESZ458489:ESZ458691 EJD458489:EJD458691 DZH458489:DZH458691 DPL458489:DPL458691 DFP458489:DFP458691 CVT458489:CVT458691 CLX458489:CLX458691 CCB458489:CCB458691 BSF458489:BSF458691 BIJ458489:BIJ458691 AYN458489:AYN458691 AOR458489:AOR458691 AEV458489:AEV458691 UZ458489:UZ458691 LD458489:LD458691 BH458489:BH458691 WXP392953:WXP393155 WNT392953:WNT393155 WDX392953:WDX393155 VUB392953:VUB393155 VKF392953:VKF393155 VAJ392953:VAJ393155 UQN392953:UQN393155 UGR392953:UGR393155 TWV392953:TWV393155 TMZ392953:TMZ393155 TDD392953:TDD393155 STH392953:STH393155 SJL392953:SJL393155 RZP392953:RZP393155 RPT392953:RPT393155 RFX392953:RFX393155 QWB392953:QWB393155 QMF392953:QMF393155 QCJ392953:QCJ393155 PSN392953:PSN393155 PIR392953:PIR393155 OYV392953:OYV393155 OOZ392953:OOZ393155 OFD392953:OFD393155 NVH392953:NVH393155 NLL392953:NLL393155 NBP392953:NBP393155 MRT392953:MRT393155 MHX392953:MHX393155 LYB392953:LYB393155 LOF392953:LOF393155 LEJ392953:LEJ393155 KUN392953:KUN393155 KKR392953:KKR393155 KAV392953:KAV393155 JQZ392953:JQZ393155 JHD392953:JHD393155 IXH392953:IXH393155 INL392953:INL393155 IDP392953:IDP393155 HTT392953:HTT393155 HJX392953:HJX393155 HAB392953:HAB393155 GQF392953:GQF393155 GGJ392953:GGJ393155 FWN392953:FWN393155 FMR392953:FMR393155 FCV392953:FCV393155 ESZ392953:ESZ393155 EJD392953:EJD393155 DZH392953:DZH393155 DPL392953:DPL393155 DFP392953:DFP393155 CVT392953:CVT393155 CLX392953:CLX393155 CCB392953:CCB393155 BSF392953:BSF393155 BIJ392953:BIJ393155 AYN392953:AYN393155 AOR392953:AOR393155 AEV392953:AEV393155 UZ392953:UZ393155 LD392953:LD393155 BH392953:BH393155 WXP327417:WXP327619 WNT327417:WNT327619 WDX327417:WDX327619 VUB327417:VUB327619 VKF327417:VKF327619 VAJ327417:VAJ327619 UQN327417:UQN327619 UGR327417:UGR327619 TWV327417:TWV327619 TMZ327417:TMZ327619 TDD327417:TDD327619 STH327417:STH327619 SJL327417:SJL327619 RZP327417:RZP327619 RPT327417:RPT327619 RFX327417:RFX327619 QWB327417:QWB327619 QMF327417:QMF327619 QCJ327417:QCJ327619 PSN327417:PSN327619 PIR327417:PIR327619 OYV327417:OYV327619 OOZ327417:OOZ327619 OFD327417:OFD327619 NVH327417:NVH327619 NLL327417:NLL327619 NBP327417:NBP327619 MRT327417:MRT327619 MHX327417:MHX327619 LYB327417:LYB327619 LOF327417:LOF327619 LEJ327417:LEJ327619 KUN327417:KUN327619 KKR327417:KKR327619 KAV327417:KAV327619 JQZ327417:JQZ327619 JHD327417:JHD327619 IXH327417:IXH327619 INL327417:INL327619 IDP327417:IDP327619 HTT327417:HTT327619 HJX327417:HJX327619 HAB327417:HAB327619 GQF327417:GQF327619 GGJ327417:GGJ327619 FWN327417:FWN327619 FMR327417:FMR327619 FCV327417:FCV327619 ESZ327417:ESZ327619 EJD327417:EJD327619 DZH327417:DZH327619 DPL327417:DPL327619 DFP327417:DFP327619 CVT327417:CVT327619 CLX327417:CLX327619 CCB327417:CCB327619 BSF327417:BSF327619 BIJ327417:BIJ327619 AYN327417:AYN327619 AOR327417:AOR327619 AEV327417:AEV327619 UZ327417:UZ327619 LD327417:LD327619 BH327417:BH327619 WXP261881:WXP262083 WNT261881:WNT262083 WDX261881:WDX262083 VUB261881:VUB262083 VKF261881:VKF262083 VAJ261881:VAJ262083 UQN261881:UQN262083 UGR261881:UGR262083 TWV261881:TWV262083 TMZ261881:TMZ262083 TDD261881:TDD262083 STH261881:STH262083 SJL261881:SJL262083 RZP261881:RZP262083 RPT261881:RPT262083 RFX261881:RFX262083 QWB261881:QWB262083 QMF261881:QMF262083 QCJ261881:QCJ262083 PSN261881:PSN262083 PIR261881:PIR262083 OYV261881:OYV262083 OOZ261881:OOZ262083 OFD261881:OFD262083 NVH261881:NVH262083 NLL261881:NLL262083 NBP261881:NBP262083 MRT261881:MRT262083 MHX261881:MHX262083 LYB261881:LYB262083 LOF261881:LOF262083 LEJ261881:LEJ262083 KUN261881:KUN262083 KKR261881:KKR262083 KAV261881:KAV262083 JQZ261881:JQZ262083 JHD261881:JHD262083 IXH261881:IXH262083 INL261881:INL262083 IDP261881:IDP262083 HTT261881:HTT262083 HJX261881:HJX262083 HAB261881:HAB262083 GQF261881:GQF262083 GGJ261881:GGJ262083 FWN261881:FWN262083 FMR261881:FMR262083 FCV261881:FCV262083 ESZ261881:ESZ262083 EJD261881:EJD262083 DZH261881:DZH262083 DPL261881:DPL262083 DFP261881:DFP262083 CVT261881:CVT262083 CLX261881:CLX262083 CCB261881:CCB262083 BSF261881:BSF262083 BIJ261881:BIJ262083 AYN261881:AYN262083 AOR261881:AOR262083 AEV261881:AEV262083 UZ261881:UZ262083 LD261881:LD262083 BH261881:BH262083 WXP196345:WXP196547 WNT196345:WNT196547 WDX196345:WDX196547 VUB196345:VUB196547 VKF196345:VKF196547 VAJ196345:VAJ196547 UQN196345:UQN196547 UGR196345:UGR196547 TWV196345:TWV196547 TMZ196345:TMZ196547 TDD196345:TDD196547 STH196345:STH196547 SJL196345:SJL196547 RZP196345:RZP196547 RPT196345:RPT196547 RFX196345:RFX196547 QWB196345:QWB196547 QMF196345:QMF196547 QCJ196345:QCJ196547 PSN196345:PSN196547 PIR196345:PIR196547 OYV196345:OYV196547 OOZ196345:OOZ196547 OFD196345:OFD196547 NVH196345:NVH196547 NLL196345:NLL196547 NBP196345:NBP196547 MRT196345:MRT196547 MHX196345:MHX196547 LYB196345:LYB196547 LOF196345:LOF196547 LEJ196345:LEJ196547 KUN196345:KUN196547 KKR196345:KKR196547 KAV196345:KAV196547 JQZ196345:JQZ196547 JHD196345:JHD196547 IXH196345:IXH196547 INL196345:INL196547 IDP196345:IDP196547 HTT196345:HTT196547 HJX196345:HJX196547 HAB196345:HAB196547 GQF196345:GQF196547 GGJ196345:GGJ196547 FWN196345:FWN196547 FMR196345:FMR196547 FCV196345:FCV196547 ESZ196345:ESZ196547 EJD196345:EJD196547 DZH196345:DZH196547 DPL196345:DPL196547 DFP196345:DFP196547 CVT196345:CVT196547 CLX196345:CLX196547 CCB196345:CCB196547 BSF196345:BSF196547 BIJ196345:BIJ196547 AYN196345:AYN196547 AOR196345:AOR196547 AEV196345:AEV196547 UZ196345:UZ196547 LD196345:LD196547 BH196345:BH196547 WXP130809:WXP131011 WNT130809:WNT131011 WDX130809:WDX131011 VUB130809:VUB131011 VKF130809:VKF131011 VAJ130809:VAJ131011 UQN130809:UQN131011 UGR130809:UGR131011 TWV130809:TWV131011 TMZ130809:TMZ131011 TDD130809:TDD131011 STH130809:STH131011 SJL130809:SJL131011 RZP130809:RZP131011 RPT130809:RPT131011 RFX130809:RFX131011 QWB130809:QWB131011 QMF130809:QMF131011 QCJ130809:QCJ131011 PSN130809:PSN131011 PIR130809:PIR131011 OYV130809:OYV131011 OOZ130809:OOZ131011 OFD130809:OFD131011 NVH130809:NVH131011 NLL130809:NLL131011 NBP130809:NBP131011 MRT130809:MRT131011 MHX130809:MHX131011 LYB130809:LYB131011 LOF130809:LOF131011 LEJ130809:LEJ131011 KUN130809:KUN131011 KKR130809:KKR131011 KAV130809:KAV131011 JQZ130809:JQZ131011 JHD130809:JHD131011 IXH130809:IXH131011 INL130809:INL131011 IDP130809:IDP131011 HTT130809:HTT131011 HJX130809:HJX131011 HAB130809:HAB131011 GQF130809:GQF131011 GGJ130809:GGJ131011 FWN130809:FWN131011 FMR130809:FMR131011 FCV130809:FCV131011 ESZ130809:ESZ131011 EJD130809:EJD131011 DZH130809:DZH131011 DPL130809:DPL131011 DFP130809:DFP131011 CVT130809:CVT131011 CLX130809:CLX131011 CCB130809:CCB131011 BSF130809:BSF131011 BIJ130809:BIJ131011 AYN130809:AYN131011 AOR130809:AOR131011 AEV130809:AEV131011 UZ130809:UZ131011 LD130809:LD131011 BH130809:BH131011 WXP65273:WXP65475 WNT65273:WNT65475 WDX65273:WDX65475 VUB65273:VUB65475 VKF65273:VKF65475 VAJ65273:VAJ65475 UQN65273:UQN65475 UGR65273:UGR65475 TWV65273:TWV65475 TMZ65273:TMZ65475 TDD65273:TDD65475 STH65273:STH65475 SJL65273:SJL65475 RZP65273:RZP65475 RPT65273:RPT65475 RFX65273:RFX65475 QWB65273:QWB65475 QMF65273:QMF65475 QCJ65273:QCJ65475 PSN65273:PSN65475 PIR65273:PIR65475 OYV65273:OYV65475 OOZ65273:OOZ65475 OFD65273:OFD65475 NVH65273:NVH65475 NLL65273:NLL65475 NBP65273:NBP65475 MRT65273:MRT65475 MHX65273:MHX65475 LYB65273:LYB65475 LOF65273:LOF65475 LEJ65273:LEJ65475 KUN65273:KUN65475 KKR65273:KKR65475 KAV65273:KAV65475 JQZ65273:JQZ65475 JHD65273:JHD65475 IXH65273:IXH65475 INL65273:INL65475 IDP65273:IDP65475 HTT65273:HTT65475 HJX65273:HJX65475 HAB65273:HAB65475 GQF65273:GQF65475 GGJ65273:GGJ65475 FWN65273:FWN65475 FMR65273:FMR65475 FCV65273:FCV65475 ESZ65273:ESZ65475 EJD65273:EJD65475 DZH65273:DZH65475 DPL65273:DPL65475 DFP65273:DFP65475 CVT65273:CVT65475 CLX65273:CLX65475 CCB65273:CCB65475 BSF65273:BSF65475 BIJ65273:BIJ65475 AYN65273:AYN65475 AOR65273:AOR65475 AEV65273:AEV65475 UZ65273:UZ65475 LD65273:LD65475 WXP5:WXP11 WNT5:WNT11 WDX5:WDX11 VUB5:VUB11 VKF5:VKF11 VAJ5:VAJ11 UQN5:UQN11 UGR5:UGR11 TWV5:TWV11 TMZ5:TMZ11 TDD5:TDD11 STH5:STH11 SJL5:SJL11 RZP5:RZP11 RPT5:RPT11 RFX5:RFX11 QWB5:QWB11 QMF5:QMF11 QCJ5:QCJ11 PSN5:PSN11 PIR5:PIR11 OYV5:OYV11 OOZ5:OOZ11 OFD5:OFD11 NVH5:NVH11 NLL5:NLL11 NBP5:NBP11 MRT5:MRT11 MHX5:MHX11 LYB5:LYB11 LOF5:LOF11 LEJ5:LEJ11 KUN5:KUN11 KKR5:KKR11 KAV5:KAV11 JQZ5:JQZ11 JHD5:JHD11 IXH5:IXH11 INL5:INL11 IDP5:IDP11 HTT5:HTT11 HJX5:HJX11 HAB5:HAB11 GQF5:GQF11 GGJ5:GGJ11 FWN5:FWN11 FMR5:FMR11 FCV5:FCV11 ESZ5:ESZ11 EJD5:EJD11 DZH5:DZH11 DPL5:DPL11 DFP5:DFP11 CVT5:CVT11 CLX5:CLX11 CCB5:CCB11 BSF5:BSF11 BIJ5:BIJ11 AYN5:AYN11 AOR5:AOR11 AEV5:AEV11">
      <formula1>$E$12:$E$12</formula1>
    </dataValidation>
    <dataValidation type="whole" allowBlank="1" showInputMessage="1" showErrorMessage="1" sqref="BG65273:BG65479 LC65273:LC65479 UY65273:UY65479 AEU65273:AEU65479 AOQ65273:AOQ65479 AYM65273:AYM65479 BII65273:BII65479 BSE65273:BSE65479 CCA65273:CCA65479 CLW65273:CLW65479 CVS65273:CVS65479 DFO65273:DFO65479 DPK65273:DPK65479 DZG65273:DZG65479 EJC65273:EJC65479 ESY65273:ESY65479 FCU65273:FCU65479 FMQ65273:FMQ65479 FWM65273:FWM65479 GGI65273:GGI65479 GQE65273:GQE65479 HAA65273:HAA65479 HJW65273:HJW65479 HTS65273:HTS65479 IDO65273:IDO65479 INK65273:INK65479 IXG65273:IXG65479 JHC65273:JHC65479 JQY65273:JQY65479 KAU65273:KAU65479 KKQ65273:KKQ65479 KUM65273:KUM65479 LEI65273:LEI65479 LOE65273:LOE65479 LYA65273:LYA65479 MHW65273:MHW65479 MRS65273:MRS65479 NBO65273:NBO65479 NLK65273:NLK65479 NVG65273:NVG65479 OFC65273:OFC65479 OOY65273:OOY65479 OYU65273:OYU65479 PIQ65273:PIQ65479 PSM65273:PSM65479 QCI65273:QCI65479 QME65273:QME65479 QWA65273:QWA65479 RFW65273:RFW65479 RPS65273:RPS65479 RZO65273:RZO65479 SJK65273:SJK65479 STG65273:STG65479 TDC65273:TDC65479 TMY65273:TMY65479 TWU65273:TWU65479 UGQ65273:UGQ65479 UQM65273:UQM65479 VAI65273:VAI65479 VKE65273:VKE65479 VUA65273:VUA65479 WDW65273:WDW65479 WNS65273:WNS65479 WXO65273:WXO65479 BG130809:BG131015 LC130809:LC131015 UY130809:UY131015 AEU130809:AEU131015 AOQ130809:AOQ131015 AYM130809:AYM131015 BII130809:BII131015 BSE130809:BSE131015 CCA130809:CCA131015 CLW130809:CLW131015 CVS130809:CVS131015 DFO130809:DFO131015 DPK130809:DPK131015 DZG130809:DZG131015 EJC130809:EJC131015 ESY130809:ESY131015 FCU130809:FCU131015 FMQ130809:FMQ131015 FWM130809:FWM131015 GGI130809:GGI131015 GQE130809:GQE131015 HAA130809:HAA131015 HJW130809:HJW131015 HTS130809:HTS131015 IDO130809:IDO131015 INK130809:INK131015 IXG130809:IXG131015 JHC130809:JHC131015 JQY130809:JQY131015 KAU130809:KAU131015 KKQ130809:KKQ131015 KUM130809:KUM131015 LEI130809:LEI131015 LOE130809:LOE131015 LYA130809:LYA131015 MHW130809:MHW131015 MRS130809:MRS131015 NBO130809:NBO131015 NLK130809:NLK131015 NVG130809:NVG131015 OFC130809:OFC131015 OOY130809:OOY131015 OYU130809:OYU131015 PIQ130809:PIQ131015 PSM130809:PSM131015 QCI130809:QCI131015 QME130809:QME131015 QWA130809:QWA131015 RFW130809:RFW131015 RPS130809:RPS131015 RZO130809:RZO131015 SJK130809:SJK131015 STG130809:STG131015 TDC130809:TDC131015 TMY130809:TMY131015 TWU130809:TWU131015 UGQ130809:UGQ131015 UQM130809:UQM131015 VAI130809:VAI131015 VKE130809:VKE131015 VUA130809:VUA131015 WDW130809:WDW131015 WNS130809:WNS131015 WXO130809:WXO131015 BG196345:BG196551 LC196345:LC196551 UY196345:UY196551 AEU196345:AEU196551 AOQ196345:AOQ196551 AYM196345:AYM196551 BII196345:BII196551 BSE196345:BSE196551 CCA196345:CCA196551 CLW196345:CLW196551 CVS196345:CVS196551 DFO196345:DFO196551 DPK196345:DPK196551 DZG196345:DZG196551 EJC196345:EJC196551 ESY196345:ESY196551 FCU196345:FCU196551 FMQ196345:FMQ196551 FWM196345:FWM196551 GGI196345:GGI196551 GQE196345:GQE196551 HAA196345:HAA196551 HJW196345:HJW196551 HTS196345:HTS196551 IDO196345:IDO196551 INK196345:INK196551 IXG196345:IXG196551 JHC196345:JHC196551 JQY196345:JQY196551 KAU196345:KAU196551 KKQ196345:KKQ196551 KUM196345:KUM196551 LEI196345:LEI196551 LOE196345:LOE196551 LYA196345:LYA196551 MHW196345:MHW196551 MRS196345:MRS196551 NBO196345:NBO196551 NLK196345:NLK196551 NVG196345:NVG196551 OFC196345:OFC196551 OOY196345:OOY196551 OYU196345:OYU196551 PIQ196345:PIQ196551 PSM196345:PSM196551 QCI196345:QCI196551 QME196345:QME196551 QWA196345:QWA196551 RFW196345:RFW196551 RPS196345:RPS196551 RZO196345:RZO196551 SJK196345:SJK196551 STG196345:STG196551 TDC196345:TDC196551 TMY196345:TMY196551 TWU196345:TWU196551 UGQ196345:UGQ196551 UQM196345:UQM196551 VAI196345:VAI196551 VKE196345:VKE196551 VUA196345:VUA196551 WDW196345:WDW196551 WNS196345:WNS196551 WXO196345:WXO196551 BG261881:BG262087 LC261881:LC262087 UY261881:UY262087 AEU261881:AEU262087 AOQ261881:AOQ262087 AYM261881:AYM262087 BII261881:BII262087 BSE261881:BSE262087 CCA261881:CCA262087 CLW261881:CLW262087 CVS261881:CVS262087 DFO261881:DFO262087 DPK261881:DPK262087 DZG261881:DZG262087 EJC261881:EJC262087 ESY261881:ESY262087 FCU261881:FCU262087 FMQ261881:FMQ262087 FWM261881:FWM262087 GGI261881:GGI262087 GQE261881:GQE262087 HAA261881:HAA262087 HJW261881:HJW262087 HTS261881:HTS262087 IDO261881:IDO262087 INK261881:INK262087 IXG261881:IXG262087 JHC261881:JHC262087 JQY261881:JQY262087 KAU261881:KAU262087 KKQ261881:KKQ262087 KUM261881:KUM262087 LEI261881:LEI262087 LOE261881:LOE262087 LYA261881:LYA262087 MHW261881:MHW262087 MRS261881:MRS262087 NBO261881:NBO262087 NLK261881:NLK262087 NVG261881:NVG262087 OFC261881:OFC262087 OOY261881:OOY262087 OYU261881:OYU262087 PIQ261881:PIQ262087 PSM261881:PSM262087 QCI261881:QCI262087 QME261881:QME262087 QWA261881:QWA262087 RFW261881:RFW262087 RPS261881:RPS262087 RZO261881:RZO262087 SJK261881:SJK262087 STG261881:STG262087 TDC261881:TDC262087 TMY261881:TMY262087 TWU261881:TWU262087 UGQ261881:UGQ262087 UQM261881:UQM262087 VAI261881:VAI262087 VKE261881:VKE262087 VUA261881:VUA262087 WDW261881:WDW262087 WNS261881:WNS262087 WXO261881:WXO262087 BG327417:BG327623 LC327417:LC327623 UY327417:UY327623 AEU327417:AEU327623 AOQ327417:AOQ327623 AYM327417:AYM327623 BII327417:BII327623 BSE327417:BSE327623 CCA327417:CCA327623 CLW327417:CLW327623 CVS327417:CVS327623 DFO327417:DFO327623 DPK327417:DPK327623 DZG327417:DZG327623 EJC327417:EJC327623 ESY327417:ESY327623 FCU327417:FCU327623 FMQ327417:FMQ327623 FWM327417:FWM327623 GGI327417:GGI327623 GQE327417:GQE327623 HAA327417:HAA327623 HJW327417:HJW327623 HTS327417:HTS327623 IDO327417:IDO327623 INK327417:INK327623 IXG327417:IXG327623 JHC327417:JHC327623 JQY327417:JQY327623 KAU327417:KAU327623 KKQ327417:KKQ327623 KUM327417:KUM327623 LEI327417:LEI327623 LOE327417:LOE327623 LYA327417:LYA327623 MHW327417:MHW327623 MRS327417:MRS327623 NBO327417:NBO327623 NLK327417:NLK327623 NVG327417:NVG327623 OFC327417:OFC327623 OOY327417:OOY327623 OYU327417:OYU327623 PIQ327417:PIQ327623 PSM327417:PSM327623 QCI327417:QCI327623 QME327417:QME327623 QWA327417:QWA327623 RFW327417:RFW327623 RPS327417:RPS327623 RZO327417:RZO327623 SJK327417:SJK327623 STG327417:STG327623 TDC327417:TDC327623 TMY327417:TMY327623 TWU327417:TWU327623 UGQ327417:UGQ327623 UQM327417:UQM327623 VAI327417:VAI327623 VKE327417:VKE327623 VUA327417:VUA327623 WDW327417:WDW327623 WNS327417:WNS327623 WXO327417:WXO327623 BG392953:BG393159 LC392953:LC393159 UY392953:UY393159 AEU392953:AEU393159 AOQ392953:AOQ393159 AYM392953:AYM393159 BII392953:BII393159 BSE392953:BSE393159 CCA392953:CCA393159 CLW392953:CLW393159 CVS392953:CVS393159 DFO392953:DFO393159 DPK392953:DPK393159 DZG392953:DZG393159 EJC392953:EJC393159 ESY392953:ESY393159 FCU392953:FCU393159 FMQ392953:FMQ393159 FWM392953:FWM393159 GGI392953:GGI393159 GQE392953:GQE393159 HAA392953:HAA393159 HJW392953:HJW393159 HTS392953:HTS393159 IDO392953:IDO393159 INK392953:INK393159 IXG392953:IXG393159 JHC392953:JHC393159 JQY392953:JQY393159 KAU392953:KAU393159 KKQ392953:KKQ393159 KUM392953:KUM393159 LEI392953:LEI393159 LOE392953:LOE393159 LYA392953:LYA393159 MHW392953:MHW393159 MRS392953:MRS393159 NBO392953:NBO393159 NLK392953:NLK393159 NVG392953:NVG393159 OFC392953:OFC393159 OOY392953:OOY393159 OYU392953:OYU393159 PIQ392953:PIQ393159 PSM392953:PSM393159 QCI392953:QCI393159 QME392953:QME393159 QWA392953:QWA393159 RFW392953:RFW393159 RPS392953:RPS393159 RZO392953:RZO393159 SJK392953:SJK393159 STG392953:STG393159 TDC392953:TDC393159 TMY392953:TMY393159 TWU392953:TWU393159 UGQ392953:UGQ393159 UQM392953:UQM393159 VAI392953:VAI393159 VKE392953:VKE393159 VUA392953:VUA393159 WDW392953:WDW393159 WNS392953:WNS393159 WXO392953:WXO393159 BG458489:BG458695 LC458489:LC458695 UY458489:UY458695 AEU458489:AEU458695 AOQ458489:AOQ458695 AYM458489:AYM458695 BII458489:BII458695 BSE458489:BSE458695 CCA458489:CCA458695 CLW458489:CLW458695 CVS458489:CVS458695 DFO458489:DFO458695 DPK458489:DPK458695 DZG458489:DZG458695 EJC458489:EJC458695 ESY458489:ESY458695 FCU458489:FCU458695 FMQ458489:FMQ458695 FWM458489:FWM458695 GGI458489:GGI458695 GQE458489:GQE458695 HAA458489:HAA458695 HJW458489:HJW458695 HTS458489:HTS458695 IDO458489:IDO458695 INK458489:INK458695 IXG458489:IXG458695 JHC458489:JHC458695 JQY458489:JQY458695 KAU458489:KAU458695 KKQ458489:KKQ458695 KUM458489:KUM458695 LEI458489:LEI458695 LOE458489:LOE458695 LYA458489:LYA458695 MHW458489:MHW458695 MRS458489:MRS458695 NBO458489:NBO458695 NLK458489:NLK458695 NVG458489:NVG458695 OFC458489:OFC458695 OOY458489:OOY458695 OYU458489:OYU458695 PIQ458489:PIQ458695 PSM458489:PSM458695 QCI458489:QCI458695 QME458489:QME458695 QWA458489:QWA458695 RFW458489:RFW458695 RPS458489:RPS458695 RZO458489:RZO458695 SJK458489:SJK458695 STG458489:STG458695 TDC458489:TDC458695 TMY458489:TMY458695 TWU458489:TWU458695 UGQ458489:UGQ458695 UQM458489:UQM458695 VAI458489:VAI458695 VKE458489:VKE458695 VUA458489:VUA458695 WDW458489:WDW458695 WNS458489:WNS458695 WXO458489:WXO458695 BG524025:BG524231 LC524025:LC524231 UY524025:UY524231 AEU524025:AEU524231 AOQ524025:AOQ524231 AYM524025:AYM524231 BII524025:BII524231 BSE524025:BSE524231 CCA524025:CCA524231 CLW524025:CLW524231 CVS524025:CVS524231 DFO524025:DFO524231 DPK524025:DPK524231 DZG524025:DZG524231 EJC524025:EJC524231 ESY524025:ESY524231 FCU524025:FCU524231 FMQ524025:FMQ524231 FWM524025:FWM524231 GGI524025:GGI524231 GQE524025:GQE524231 HAA524025:HAA524231 HJW524025:HJW524231 HTS524025:HTS524231 IDO524025:IDO524231 INK524025:INK524231 IXG524025:IXG524231 JHC524025:JHC524231 JQY524025:JQY524231 KAU524025:KAU524231 KKQ524025:KKQ524231 KUM524025:KUM524231 LEI524025:LEI524231 LOE524025:LOE524231 LYA524025:LYA524231 MHW524025:MHW524231 MRS524025:MRS524231 NBO524025:NBO524231 NLK524025:NLK524231 NVG524025:NVG524231 OFC524025:OFC524231 OOY524025:OOY524231 OYU524025:OYU524231 PIQ524025:PIQ524231 PSM524025:PSM524231 QCI524025:QCI524231 QME524025:QME524231 QWA524025:QWA524231 RFW524025:RFW524231 RPS524025:RPS524231 RZO524025:RZO524231 SJK524025:SJK524231 STG524025:STG524231 TDC524025:TDC524231 TMY524025:TMY524231 TWU524025:TWU524231 UGQ524025:UGQ524231 UQM524025:UQM524231 VAI524025:VAI524231 VKE524025:VKE524231 VUA524025:VUA524231 WDW524025:WDW524231 WNS524025:WNS524231 WXO524025:WXO524231 BG589561:BG589767 LC589561:LC589767 UY589561:UY589767 AEU589561:AEU589767 AOQ589561:AOQ589767 AYM589561:AYM589767 BII589561:BII589767 BSE589561:BSE589767 CCA589561:CCA589767 CLW589561:CLW589767 CVS589561:CVS589767 DFO589561:DFO589767 DPK589561:DPK589767 DZG589561:DZG589767 EJC589561:EJC589767 ESY589561:ESY589767 FCU589561:FCU589767 FMQ589561:FMQ589767 FWM589561:FWM589767 GGI589561:GGI589767 GQE589561:GQE589767 HAA589561:HAA589767 HJW589561:HJW589767 HTS589561:HTS589767 IDO589561:IDO589767 INK589561:INK589767 IXG589561:IXG589767 JHC589561:JHC589767 JQY589561:JQY589767 KAU589561:KAU589767 KKQ589561:KKQ589767 KUM589561:KUM589767 LEI589561:LEI589767 LOE589561:LOE589767 LYA589561:LYA589767 MHW589561:MHW589767 MRS589561:MRS589767 NBO589561:NBO589767 NLK589561:NLK589767 NVG589561:NVG589767 OFC589561:OFC589767 OOY589561:OOY589767 OYU589561:OYU589767 PIQ589561:PIQ589767 PSM589561:PSM589767 QCI589561:QCI589767 QME589561:QME589767 QWA589561:QWA589767 RFW589561:RFW589767 RPS589561:RPS589767 RZO589561:RZO589767 SJK589561:SJK589767 STG589561:STG589767 TDC589561:TDC589767 TMY589561:TMY589767 TWU589561:TWU589767 UGQ589561:UGQ589767 UQM589561:UQM589767 VAI589561:VAI589767 VKE589561:VKE589767 VUA589561:VUA589767 WDW589561:WDW589767 WNS589561:WNS589767 WXO589561:WXO589767 BG655097:BG655303 LC655097:LC655303 UY655097:UY655303 AEU655097:AEU655303 AOQ655097:AOQ655303 AYM655097:AYM655303 BII655097:BII655303 BSE655097:BSE655303 CCA655097:CCA655303 CLW655097:CLW655303 CVS655097:CVS655303 DFO655097:DFO655303 DPK655097:DPK655303 DZG655097:DZG655303 EJC655097:EJC655303 ESY655097:ESY655303 FCU655097:FCU655303 FMQ655097:FMQ655303 FWM655097:FWM655303 GGI655097:GGI655303 GQE655097:GQE655303 HAA655097:HAA655303 HJW655097:HJW655303 HTS655097:HTS655303 IDO655097:IDO655303 INK655097:INK655303 IXG655097:IXG655303 JHC655097:JHC655303 JQY655097:JQY655303 KAU655097:KAU655303 KKQ655097:KKQ655303 KUM655097:KUM655303 LEI655097:LEI655303 LOE655097:LOE655303 LYA655097:LYA655303 MHW655097:MHW655303 MRS655097:MRS655303 NBO655097:NBO655303 NLK655097:NLK655303 NVG655097:NVG655303 OFC655097:OFC655303 OOY655097:OOY655303 OYU655097:OYU655303 PIQ655097:PIQ655303 PSM655097:PSM655303 QCI655097:QCI655303 QME655097:QME655303 QWA655097:QWA655303 RFW655097:RFW655303 RPS655097:RPS655303 RZO655097:RZO655303 SJK655097:SJK655303 STG655097:STG655303 TDC655097:TDC655303 TMY655097:TMY655303 TWU655097:TWU655303 UGQ655097:UGQ655303 UQM655097:UQM655303 VAI655097:VAI655303 VKE655097:VKE655303 VUA655097:VUA655303 WDW655097:WDW655303 WNS655097:WNS655303 WXO655097:WXO655303 BG720633:BG720839 LC720633:LC720839 UY720633:UY720839 AEU720633:AEU720839 AOQ720633:AOQ720839 AYM720633:AYM720839 BII720633:BII720839 BSE720633:BSE720839 CCA720633:CCA720839 CLW720633:CLW720839 CVS720633:CVS720839 DFO720633:DFO720839 DPK720633:DPK720839 DZG720633:DZG720839 EJC720633:EJC720839 ESY720633:ESY720839 FCU720633:FCU720839 FMQ720633:FMQ720839 FWM720633:FWM720839 GGI720633:GGI720839 GQE720633:GQE720839 HAA720633:HAA720839 HJW720633:HJW720839 HTS720633:HTS720839 IDO720633:IDO720839 INK720633:INK720839 IXG720633:IXG720839 JHC720633:JHC720839 JQY720633:JQY720839 KAU720633:KAU720839 KKQ720633:KKQ720839 KUM720633:KUM720839 LEI720633:LEI720839 LOE720633:LOE720839 LYA720633:LYA720839 MHW720633:MHW720839 MRS720633:MRS720839 NBO720633:NBO720839 NLK720633:NLK720839 NVG720633:NVG720839 OFC720633:OFC720839 OOY720633:OOY720839 OYU720633:OYU720839 PIQ720633:PIQ720839 PSM720633:PSM720839 QCI720633:QCI720839 QME720633:QME720839 QWA720633:QWA720839 RFW720633:RFW720839 RPS720633:RPS720839 RZO720633:RZO720839 SJK720633:SJK720839 STG720633:STG720839 TDC720633:TDC720839 TMY720633:TMY720839 TWU720633:TWU720839 UGQ720633:UGQ720839 UQM720633:UQM720839 VAI720633:VAI720839 VKE720633:VKE720839 VUA720633:VUA720839 WDW720633:WDW720839 WNS720633:WNS720839 WXO720633:WXO720839 BG786169:BG786375 LC786169:LC786375 UY786169:UY786375 AEU786169:AEU786375 AOQ786169:AOQ786375 AYM786169:AYM786375 BII786169:BII786375 BSE786169:BSE786375 CCA786169:CCA786375 CLW786169:CLW786375 CVS786169:CVS786375 DFO786169:DFO786375 DPK786169:DPK786375 DZG786169:DZG786375 EJC786169:EJC786375 ESY786169:ESY786375 FCU786169:FCU786375 FMQ786169:FMQ786375 FWM786169:FWM786375 GGI786169:GGI786375 GQE786169:GQE786375 HAA786169:HAA786375 HJW786169:HJW786375 HTS786169:HTS786375 IDO786169:IDO786375 INK786169:INK786375 IXG786169:IXG786375 JHC786169:JHC786375 JQY786169:JQY786375 KAU786169:KAU786375 KKQ786169:KKQ786375 KUM786169:KUM786375 LEI786169:LEI786375 LOE786169:LOE786375 LYA786169:LYA786375 MHW786169:MHW786375 MRS786169:MRS786375 NBO786169:NBO786375 NLK786169:NLK786375 NVG786169:NVG786375 OFC786169:OFC786375 OOY786169:OOY786375 OYU786169:OYU786375 PIQ786169:PIQ786375 PSM786169:PSM786375 QCI786169:QCI786375 QME786169:QME786375 QWA786169:QWA786375 RFW786169:RFW786375 RPS786169:RPS786375 RZO786169:RZO786375 SJK786169:SJK786375 STG786169:STG786375 TDC786169:TDC786375 TMY786169:TMY786375 TWU786169:TWU786375 UGQ786169:UGQ786375 UQM786169:UQM786375 VAI786169:VAI786375 VKE786169:VKE786375 VUA786169:VUA786375 WDW786169:WDW786375 WNS786169:WNS786375 WXO786169:WXO786375 BG851705:BG851911 LC851705:LC851911 UY851705:UY851911 AEU851705:AEU851911 AOQ851705:AOQ851911 AYM851705:AYM851911 BII851705:BII851911 BSE851705:BSE851911 CCA851705:CCA851911 CLW851705:CLW851911 CVS851705:CVS851911 DFO851705:DFO851911 DPK851705:DPK851911 DZG851705:DZG851911 EJC851705:EJC851911 ESY851705:ESY851911 FCU851705:FCU851911 FMQ851705:FMQ851911 FWM851705:FWM851911 GGI851705:GGI851911 GQE851705:GQE851911 HAA851705:HAA851911 HJW851705:HJW851911 HTS851705:HTS851911 IDO851705:IDO851911 INK851705:INK851911 IXG851705:IXG851911 JHC851705:JHC851911 JQY851705:JQY851911 KAU851705:KAU851911 KKQ851705:KKQ851911 KUM851705:KUM851911 LEI851705:LEI851911 LOE851705:LOE851911 LYA851705:LYA851911 MHW851705:MHW851911 MRS851705:MRS851911 NBO851705:NBO851911 NLK851705:NLK851911 NVG851705:NVG851911 OFC851705:OFC851911 OOY851705:OOY851911 OYU851705:OYU851911 PIQ851705:PIQ851911 PSM851705:PSM851911 QCI851705:QCI851911 QME851705:QME851911 QWA851705:QWA851911 RFW851705:RFW851911 RPS851705:RPS851911 RZO851705:RZO851911 SJK851705:SJK851911 STG851705:STG851911 TDC851705:TDC851911 TMY851705:TMY851911 TWU851705:TWU851911 UGQ851705:UGQ851911 UQM851705:UQM851911 VAI851705:VAI851911 VKE851705:VKE851911 VUA851705:VUA851911 WDW851705:WDW851911 WNS851705:WNS851911 WXO851705:WXO851911 BG917241:BG917447 LC917241:LC917447 UY917241:UY917447 AEU917241:AEU917447 AOQ917241:AOQ917447 AYM917241:AYM917447 BII917241:BII917447 BSE917241:BSE917447 CCA917241:CCA917447 CLW917241:CLW917447 CVS917241:CVS917447 DFO917241:DFO917447 DPK917241:DPK917447 DZG917241:DZG917447 EJC917241:EJC917447 ESY917241:ESY917447 FCU917241:FCU917447 FMQ917241:FMQ917447 FWM917241:FWM917447 GGI917241:GGI917447 GQE917241:GQE917447 HAA917241:HAA917447 HJW917241:HJW917447 HTS917241:HTS917447 IDO917241:IDO917447 INK917241:INK917447 IXG917241:IXG917447 JHC917241:JHC917447 JQY917241:JQY917447 KAU917241:KAU917447 KKQ917241:KKQ917447 KUM917241:KUM917447 LEI917241:LEI917447 LOE917241:LOE917447 LYA917241:LYA917447 MHW917241:MHW917447 MRS917241:MRS917447 NBO917241:NBO917447 NLK917241:NLK917447 NVG917241:NVG917447 OFC917241:OFC917447 OOY917241:OOY917447 OYU917241:OYU917447 PIQ917241:PIQ917447 PSM917241:PSM917447 QCI917241:QCI917447 QME917241:QME917447 QWA917241:QWA917447 RFW917241:RFW917447 RPS917241:RPS917447 RZO917241:RZO917447 SJK917241:SJK917447 STG917241:STG917447 TDC917241:TDC917447 TMY917241:TMY917447 TWU917241:TWU917447 UGQ917241:UGQ917447 UQM917241:UQM917447 VAI917241:VAI917447 VKE917241:VKE917447 VUA917241:VUA917447 WDW917241:WDW917447 WNS917241:WNS917447 WXO917241:WXO917447 BG982777:BG982983 LC982777:LC982983 UY982777:UY982983 AEU982777:AEU982983 AOQ982777:AOQ982983 AYM982777:AYM982983 BII982777:BII982983 BSE982777:BSE982983 CCA982777:CCA982983 CLW982777:CLW982983 CVS982777:CVS982983 DFO982777:DFO982983 DPK982777:DPK982983 DZG982777:DZG982983 EJC982777:EJC982983 ESY982777:ESY982983 FCU982777:FCU982983 FMQ982777:FMQ982983 FWM982777:FWM982983 GGI982777:GGI982983 GQE982777:GQE982983 HAA982777:HAA982983 HJW982777:HJW982983 HTS982777:HTS982983 IDO982777:IDO982983 INK982777:INK982983 IXG982777:IXG982983 JHC982777:JHC982983 JQY982777:JQY982983 KAU982777:KAU982983 KKQ982777:KKQ982983 KUM982777:KUM982983 LEI982777:LEI982983 LOE982777:LOE982983 LYA982777:LYA982983 MHW982777:MHW982983 MRS982777:MRS982983 NBO982777:NBO982983 NLK982777:NLK982983 NVG982777:NVG982983 OFC982777:OFC982983 OOY982777:OOY982983 OYU982777:OYU982983 PIQ982777:PIQ982983 PSM982777:PSM982983 QCI982777:QCI982983 QME982777:QME982983 QWA982777:QWA982983 RFW982777:RFW982983 RPS982777:RPS982983 RZO982777:RZO982983 SJK982777:SJK982983 STG982777:STG982983 TDC982777:TDC982983 TMY982777:TMY982983 TWU982777:TWU982983 UGQ982777:UGQ982983 UQM982777:UQM982983 VAI982777:VAI982983 VKE982777:VKE982983 VUA982777:VUA982983 WDW982777:WDW982983 WNS982777:WNS982983 WXO982777:WXO982983 WXO5:WXO11 LC5:LC11 UY5:UY11 AEU5:AEU11 AOQ5:AOQ11 AYM5:AYM11 BII5:BII11 BSE5:BSE11 CCA5:CCA11 CLW5:CLW11 CVS5:CVS11 DFO5:DFO11 DPK5:DPK11 DZG5:DZG11 EJC5:EJC11 ESY5:ESY11 FCU5:FCU11 FMQ5:FMQ11 FWM5:FWM11 GGI5:GGI11 GQE5:GQE11 HAA5:HAA11 HJW5:HJW11 HTS5:HTS11 IDO5:IDO11 INK5:INK11 IXG5:IXG11 JHC5:JHC11 JQY5:JQY11 KAU5:KAU11 KKQ5:KKQ11 KUM5:KUM11 LEI5:LEI11 LOE5:LOE11 LYA5:LYA11 MHW5:MHW11 MRS5:MRS11 NBO5:NBO11 NLK5:NLK11 NVG5:NVG11 OFC5:OFC11 OOY5:OOY11 OYU5:OYU11 PIQ5:PIQ11 PSM5:PSM11 QCI5:QCI11 QME5:QME11 QWA5:QWA11 RFW5:RFW11 RPS5:RPS11 RZO5:RZO11 SJK5:SJK11 STG5:STG11 TDC5:TDC11 TMY5:TMY11 TWU5:TWU11 UGQ5:UGQ11 UQM5:UQM11 VAI5:VAI11 VKE5:VKE11 VUA5:VUA11 WDW5:WDW11 WNS5:WNS11">
      <formula1>0</formula1>
      <formula2>1000000000</formula2>
    </dataValidation>
    <dataValidation type="whole" allowBlank="1" showInputMessage="1" showErrorMessage="1" sqref="BN65273:BN65479 LG65273:LG65479 VC65273:VC65479 AEY65273:AEY65479 AOU65273:AOU65479 AYQ65273:AYQ65479 BIM65273:BIM65479 BSI65273:BSI65479 CCE65273:CCE65479 CMA65273:CMA65479 CVW65273:CVW65479 DFS65273:DFS65479 DPO65273:DPO65479 DZK65273:DZK65479 EJG65273:EJG65479 ETC65273:ETC65479 FCY65273:FCY65479 FMU65273:FMU65479 FWQ65273:FWQ65479 GGM65273:GGM65479 GQI65273:GQI65479 HAE65273:HAE65479 HKA65273:HKA65479 HTW65273:HTW65479 IDS65273:IDS65479 INO65273:INO65479 IXK65273:IXK65479 JHG65273:JHG65479 JRC65273:JRC65479 KAY65273:KAY65479 KKU65273:KKU65479 KUQ65273:KUQ65479 LEM65273:LEM65479 LOI65273:LOI65479 LYE65273:LYE65479 MIA65273:MIA65479 MRW65273:MRW65479 NBS65273:NBS65479 NLO65273:NLO65479 NVK65273:NVK65479 OFG65273:OFG65479 OPC65273:OPC65479 OYY65273:OYY65479 PIU65273:PIU65479 PSQ65273:PSQ65479 QCM65273:QCM65479 QMI65273:QMI65479 QWE65273:QWE65479 RGA65273:RGA65479 RPW65273:RPW65479 RZS65273:RZS65479 SJO65273:SJO65479 STK65273:STK65479 TDG65273:TDG65479 TNC65273:TNC65479 TWY65273:TWY65479 UGU65273:UGU65479 UQQ65273:UQQ65479 VAM65273:VAM65479 VKI65273:VKI65479 VUE65273:VUE65479 WEA65273:WEA65479 WNW65273:WNW65479 WXS65273:WXS65479 BN130809:BN131015 LG130809:LG131015 VC130809:VC131015 AEY130809:AEY131015 AOU130809:AOU131015 AYQ130809:AYQ131015 BIM130809:BIM131015 BSI130809:BSI131015 CCE130809:CCE131015 CMA130809:CMA131015 CVW130809:CVW131015 DFS130809:DFS131015 DPO130809:DPO131015 DZK130809:DZK131015 EJG130809:EJG131015 ETC130809:ETC131015 FCY130809:FCY131015 FMU130809:FMU131015 FWQ130809:FWQ131015 GGM130809:GGM131015 GQI130809:GQI131015 HAE130809:HAE131015 HKA130809:HKA131015 HTW130809:HTW131015 IDS130809:IDS131015 INO130809:INO131015 IXK130809:IXK131015 JHG130809:JHG131015 JRC130809:JRC131015 KAY130809:KAY131015 KKU130809:KKU131015 KUQ130809:KUQ131015 LEM130809:LEM131015 LOI130809:LOI131015 LYE130809:LYE131015 MIA130809:MIA131015 MRW130809:MRW131015 NBS130809:NBS131015 NLO130809:NLO131015 NVK130809:NVK131015 OFG130809:OFG131015 OPC130809:OPC131015 OYY130809:OYY131015 PIU130809:PIU131015 PSQ130809:PSQ131015 QCM130809:QCM131015 QMI130809:QMI131015 QWE130809:QWE131015 RGA130809:RGA131015 RPW130809:RPW131015 RZS130809:RZS131015 SJO130809:SJO131015 STK130809:STK131015 TDG130809:TDG131015 TNC130809:TNC131015 TWY130809:TWY131015 UGU130809:UGU131015 UQQ130809:UQQ131015 VAM130809:VAM131015 VKI130809:VKI131015 VUE130809:VUE131015 WEA130809:WEA131015 WNW130809:WNW131015 WXS130809:WXS131015 BN196345:BN196551 LG196345:LG196551 VC196345:VC196551 AEY196345:AEY196551 AOU196345:AOU196551 AYQ196345:AYQ196551 BIM196345:BIM196551 BSI196345:BSI196551 CCE196345:CCE196551 CMA196345:CMA196551 CVW196345:CVW196551 DFS196345:DFS196551 DPO196345:DPO196551 DZK196345:DZK196551 EJG196345:EJG196551 ETC196345:ETC196551 FCY196345:FCY196551 FMU196345:FMU196551 FWQ196345:FWQ196551 GGM196345:GGM196551 GQI196345:GQI196551 HAE196345:HAE196551 HKA196345:HKA196551 HTW196345:HTW196551 IDS196345:IDS196551 INO196345:INO196551 IXK196345:IXK196551 JHG196345:JHG196551 JRC196345:JRC196551 KAY196345:KAY196551 KKU196345:KKU196551 KUQ196345:KUQ196551 LEM196345:LEM196551 LOI196345:LOI196551 LYE196345:LYE196551 MIA196345:MIA196551 MRW196345:MRW196551 NBS196345:NBS196551 NLO196345:NLO196551 NVK196345:NVK196551 OFG196345:OFG196551 OPC196345:OPC196551 OYY196345:OYY196551 PIU196345:PIU196551 PSQ196345:PSQ196551 QCM196345:QCM196551 QMI196345:QMI196551 QWE196345:QWE196551 RGA196345:RGA196551 RPW196345:RPW196551 RZS196345:RZS196551 SJO196345:SJO196551 STK196345:STK196551 TDG196345:TDG196551 TNC196345:TNC196551 TWY196345:TWY196551 UGU196345:UGU196551 UQQ196345:UQQ196551 VAM196345:VAM196551 VKI196345:VKI196551 VUE196345:VUE196551 WEA196345:WEA196551 WNW196345:WNW196551 WXS196345:WXS196551 BN261881:BN262087 LG261881:LG262087 VC261881:VC262087 AEY261881:AEY262087 AOU261881:AOU262087 AYQ261881:AYQ262087 BIM261881:BIM262087 BSI261881:BSI262087 CCE261881:CCE262087 CMA261881:CMA262087 CVW261881:CVW262087 DFS261881:DFS262087 DPO261881:DPO262087 DZK261881:DZK262087 EJG261881:EJG262087 ETC261881:ETC262087 FCY261881:FCY262087 FMU261881:FMU262087 FWQ261881:FWQ262087 GGM261881:GGM262087 GQI261881:GQI262087 HAE261881:HAE262087 HKA261881:HKA262087 HTW261881:HTW262087 IDS261881:IDS262087 INO261881:INO262087 IXK261881:IXK262087 JHG261881:JHG262087 JRC261881:JRC262087 KAY261881:KAY262087 KKU261881:KKU262087 KUQ261881:KUQ262087 LEM261881:LEM262087 LOI261881:LOI262087 LYE261881:LYE262087 MIA261881:MIA262087 MRW261881:MRW262087 NBS261881:NBS262087 NLO261881:NLO262087 NVK261881:NVK262087 OFG261881:OFG262087 OPC261881:OPC262087 OYY261881:OYY262087 PIU261881:PIU262087 PSQ261881:PSQ262087 QCM261881:QCM262087 QMI261881:QMI262087 QWE261881:QWE262087 RGA261881:RGA262087 RPW261881:RPW262087 RZS261881:RZS262087 SJO261881:SJO262087 STK261881:STK262087 TDG261881:TDG262087 TNC261881:TNC262087 TWY261881:TWY262087 UGU261881:UGU262087 UQQ261881:UQQ262087 VAM261881:VAM262087 VKI261881:VKI262087 VUE261881:VUE262087 WEA261881:WEA262087 WNW261881:WNW262087 WXS261881:WXS262087 BN327417:BN327623 LG327417:LG327623 VC327417:VC327623 AEY327417:AEY327623 AOU327417:AOU327623 AYQ327417:AYQ327623 BIM327417:BIM327623 BSI327417:BSI327623 CCE327417:CCE327623 CMA327417:CMA327623 CVW327417:CVW327623 DFS327417:DFS327623 DPO327417:DPO327623 DZK327417:DZK327623 EJG327417:EJG327623 ETC327417:ETC327623 FCY327417:FCY327623 FMU327417:FMU327623 FWQ327417:FWQ327623 GGM327417:GGM327623 GQI327417:GQI327623 HAE327417:HAE327623 HKA327417:HKA327623 HTW327417:HTW327623 IDS327417:IDS327623 INO327417:INO327623 IXK327417:IXK327623 JHG327417:JHG327623 JRC327417:JRC327623 KAY327417:KAY327623 KKU327417:KKU327623 KUQ327417:KUQ327623 LEM327417:LEM327623 LOI327417:LOI327623 LYE327417:LYE327623 MIA327417:MIA327623 MRW327417:MRW327623 NBS327417:NBS327623 NLO327417:NLO327623 NVK327417:NVK327623 OFG327417:OFG327623 OPC327417:OPC327623 OYY327417:OYY327623 PIU327417:PIU327623 PSQ327417:PSQ327623 QCM327417:QCM327623 QMI327417:QMI327623 QWE327417:QWE327623 RGA327417:RGA327623 RPW327417:RPW327623 RZS327417:RZS327623 SJO327417:SJO327623 STK327417:STK327623 TDG327417:TDG327623 TNC327417:TNC327623 TWY327417:TWY327623 UGU327417:UGU327623 UQQ327417:UQQ327623 VAM327417:VAM327623 VKI327417:VKI327623 VUE327417:VUE327623 WEA327417:WEA327623 WNW327417:WNW327623 WXS327417:WXS327623 BN392953:BN393159 LG392953:LG393159 VC392953:VC393159 AEY392953:AEY393159 AOU392953:AOU393159 AYQ392953:AYQ393159 BIM392953:BIM393159 BSI392953:BSI393159 CCE392953:CCE393159 CMA392953:CMA393159 CVW392953:CVW393159 DFS392953:DFS393159 DPO392953:DPO393159 DZK392953:DZK393159 EJG392953:EJG393159 ETC392953:ETC393159 FCY392953:FCY393159 FMU392953:FMU393159 FWQ392953:FWQ393159 GGM392953:GGM393159 GQI392953:GQI393159 HAE392953:HAE393159 HKA392953:HKA393159 HTW392953:HTW393159 IDS392953:IDS393159 INO392953:INO393159 IXK392953:IXK393159 JHG392953:JHG393159 JRC392953:JRC393159 KAY392953:KAY393159 KKU392953:KKU393159 KUQ392953:KUQ393159 LEM392953:LEM393159 LOI392953:LOI393159 LYE392953:LYE393159 MIA392953:MIA393159 MRW392953:MRW393159 NBS392953:NBS393159 NLO392953:NLO393159 NVK392953:NVK393159 OFG392953:OFG393159 OPC392953:OPC393159 OYY392953:OYY393159 PIU392953:PIU393159 PSQ392953:PSQ393159 QCM392953:QCM393159 QMI392953:QMI393159 QWE392953:QWE393159 RGA392953:RGA393159 RPW392953:RPW393159 RZS392953:RZS393159 SJO392953:SJO393159 STK392953:STK393159 TDG392953:TDG393159 TNC392953:TNC393159 TWY392953:TWY393159 UGU392953:UGU393159 UQQ392953:UQQ393159 VAM392953:VAM393159 VKI392953:VKI393159 VUE392953:VUE393159 WEA392953:WEA393159 WNW392953:WNW393159 WXS392953:WXS393159 BN458489:BN458695 LG458489:LG458695 VC458489:VC458695 AEY458489:AEY458695 AOU458489:AOU458695 AYQ458489:AYQ458695 BIM458489:BIM458695 BSI458489:BSI458695 CCE458489:CCE458695 CMA458489:CMA458695 CVW458489:CVW458695 DFS458489:DFS458695 DPO458489:DPO458695 DZK458489:DZK458695 EJG458489:EJG458695 ETC458489:ETC458695 FCY458489:FCY458695 FMU458489:FMU458695 FWQ458489:FWQ458695 GGM458489:GGM458695 GQI458489:GQI458695 HAE458489:HAE458695 HKA458489:HKA458695 HTW458489:HTW458695 IDS458489:IDS458695 INO458489:INO458695 IXK458489:IXK458695 JHG458489:JHG458695 JRC458489:JRC458695 KAY458489:KAY458695 KKU458489:KKU458695 KUQ458489:KUQ458695 LEM458489:LEM458695 LOI458489:LOI458695 LYE458489:LYE458695 MIA458489:MIA458695 MRW458489:MRW458695 NBS458489:NBS458695 NLO458489:NLO458695 NVK458489:NVK458695 OFG458489:OFG458695 OPC458489:OPC458695 OYY458489:OYY458695 PIU458489:PIU458695 PSQ458489:PSQ458695 QCM458489:QCM458695 QMI458489:QMI458695 QWE458489:QWE458695 RGA458489:RGA458695 RPW458489:RPW458695 RZS458489:RZS458695 SJO458489:SJO458695 STK458489:STK458695 TDG458489:TDG458695 TNC458489:TNC458695 TWY458489:TWY458695 UGU458489:UGU458695 UQQ458489:UQQ458695 VAM458489:VAM458695 VKI458489:VKI458695 VUE458489:VUE458695 WEA458489:WEA458695 WNW458489:WNW458695 WXS458489:WXS458695 BN524025:BN524231 LG524025:LG524231 VC524025:VC524231 AEY524025:AEY524231 AOU524025:AOU524231 AYQ524025:AYQ524231 BIM524025:BIM524231 BSI524025:BSI524231 CCE524025:CCE524231 CMA524025:CMA524231 CVW524025:CVW524231 DFS524025:DFS524231 DPO524025:DPO524231 DZK524025:DZK524231 EJG524025:EJG524231 ETC524025:ETC524231 FCY524025:FCY524231 FMU524025:FMU524231 FWQ524025:FWQ524231 GGM524025:GGM524231 GQI524025:GQI524231 HAE524025:HAE524231 HKA524025:HKA524231 HTW524025:HTW524231 IDS524025:IDS524231 INO524025:INO524231 IXK524025:IXK524231 JHG524025:JHG524231 JRC524025:JRC524231 KAY524025:KAY524231 KKU524025:KKU524231 KUQ524025:KUQ524231 LEM524025:LEM524231 LOI524025:LOI524231 LYE524025:LYE524231 MIA524025:MIA524231 MRW524025:MRW524231 NBS524025:NBS524231 NLO524025:NLO524231 NVK524025:NVK524231 OFG524025:OFG524231 OPC524025:OPC524231 OYY524025:OYY524231 PIU524025:PIU524231 PSQ524025:PSQ524231 QCM524025:QCM524231 QMI524025:QMI524231 QWE524025:QWE524231 RGA524025:RGA524231 RPW524025:RPW524231 RZS524025:RZS524231 SJO524025:SJO524231 STK524025:STK524231 TDG524025:TDG524231 TNC524025:TNC524231 TWY524025:TWY524231 UGU524025:UGU524231 UQQ524025:UQQ524231 VAM524025:VAM524231 VKI524025:VKI524231 VUE524025:VUE524231 WEA524025:WEA524231 WNW524025:WNW524231 WXS524025:WXS524231 BN589561:BN589767 LG589561:LG589767 VC589561:VC589767 AEY589561:AEY589767 AOU589561:AOU589767 AYQ589561:AYQ589767 BIM589561:BIM589767 BSI589561:BSI589767 CCE589561:CCE589767 CMA589561:CMA589767 CVW589561:CVW589767 DFS589561:DFS589767 DPO589561:DPO589767 DZK589561:DZK589767 EJG589561:EJG589767 ETC589561:ETC589767 FCY589561:FCY589767 FMU589561:FMU589767 FWQ589561:FWQ589767 GGM589561:GGM589767 GQI589561:GQI589767 HAE589561:HAE589767 HKA589561:HKA589767 HTW589561:HTW589767 IDS589561:IDS589767 INO589561:INO589767 IXK589561:IXK589767 JHG589561:JHG589767 JRC589561:JRC589767 KAY589561:KAY589767 KKU589561:KKU589767 KUQ589561:KUQ589767 LEM589561:LEM589767 LOI589561:LOI589767 LYE589561:LYE589767 MIA589561:MIA589767 MRW589561:MRW589767 NBS589561:NBS589767 NLO589561:NLO589767 NVK589561:NVK589767 OFG589561:OFG589767 OPC589561:OPC589767 OYY589561:OYY589767 PIU589561:PIU589767 PSQ589561:PSQ589767 QCM589561:QCM589767 QMI589561:QMI589767 QWE589561:QWE589767 RGA589561:RGA589767 RPW589561:RPW589767 RZS589561:RZS589767 SJO589561:SJO589767 STK589561:STK589767 TDG589561:TDG589767 TNC589561:TNC589767 TWY589561:TWY589767 UGU589561:UGU589767 UQQ589561:UQQ589767 VAM589561:VAM589767 VKI589561:VKI589767 VUE589561:VUE589767 WEA589561:WEA589767 WNW589561:WNW589767 WXS589561:WXS589767 BN655097:BN655303 LG655097:LG655303 VC655097:VC655303 AEY655097:AEY655303 AOU655097:AOU655303 AYQ655097:AYQ655303 BIM655097:BIM655303 BSI655097:BSI655303 CCE655097:CCE655303 CMA655097:CMA655303 CVW655097:CVW655303 DFS655097:DFS655303 DPO655097:DPO655303 DZK655097:DZK655303 EJG655097:EJG655303 ETC655097:ETC655303 FCY655097:FCY655303 FMU655097:FMU655303 FWQ655097:FWQ655303 GGM655097:GGM655303 GQI655097:GQI655303 HAE655097:HAE655303 HKA655097:HKA655303 HTW655097:HTW655303 IDS655097:IDS655303 INO655097:INO655303 IXK655097:IXK655303 JHG655097:JHG655303 JRC655097:JRC655303 KAY655097:KAY655303 KKU655097:KKU655303 KUQ655097:KUQ655303 LEM655097:LEM655303 LOI655097:LOI655303 LYE655097:LYE655303 MIA655097:MIA655303 MRW655097:MRW655303 NBS655097:NBS655303 NLO655097:NLO655303 NVK655097:NVK655303 OFG655097:OFG655303 OPC655097:OPC655303 OYY655097:OYY655303 PIU655097:PIU655303 PSQ655097:PSQ655303 QCM655097:QCM655303 QMI655097:QMI655303 QWE655097:QWE655303 RGA655097:RGA655303 RPW655097:RPW655303 RZS655097:RZS655303 SJO655097:SJO655303 STK655097:STK655303 TDG655097:TDG655303 TNC655097:TNC655303 TWY655097:TWY655303 UGU655097:UGU655303 UQQ655097:UQQ655303 VAM655097:VAM655303 VKI655097:VKI655303 VUE655097:VUE655303 WEA655097:WEA655303 WNW655097:WNW655303 WXS655097:WXS655303 BN720633:BN720839 LG720633:LG720839 VC720633:VC720839 AEY720633:AEY720839 AOU720633:AOU720839 AYQ720633:AYQ720839 BIM720633:BIM720839 BSI720633:BSI720839 CCE720633:CCE720839 CMA720633:CMA720839 CVW720633:CVW720839 DFS720633:DFS720839 DPO720633:DPO720839 DZK720633:DZK720839 EJG720633:EJG720839 ETC720633:ETC720839 FCY720633:FCY720839 FMU720633:FMU720839 FWQ720633:FWQ720839 GGM720633:GGM720839 GQI720633:GQI720839 HAE720633:HAE720839 HKA720633:HKA720839 HTW720633:HTW720839 IDS720633:IDS720839 INO720633:INO720839 IXK720633:IXK720839 JHG720633:JHG720839 JRC720633:JRC720839 KAY720633:KAY720839 KKU720633:KKU720839 KUQ720633:KUQ720839 LEM720633:LEM720839 LOI720633:LOI720839 LYE720633:LYE720839 MIA720633:MIA720839 MRW720633:MRW720839 NBS720633:NBS720839 NLO720633:NLO720839 NVK720633:NVK720839 OFG720633:OFG720839 OPC720633:OPC720839 OYY720633:OYY720839 PIU720633:PIU720839 PSQ720633:PSQ720839 QCM720633:QCM720839 QMI720633:QMI720839 QWE720633:QWE720839 RGA720633:RGA720839 RPW720633:RPW720839 RZS720633:RZS720839 SJO720633:SJO720839 STK720633:STK720839 TDG720633:TDG720839 TNC720633:TNC720839 TWY720633:TWY720839 UGU720633:UGU720839 UQQ720633:UQQ720839 VAM720633:VAM720839 VKI720633:VKI720839 VUE720633:VUE720839 WEA720633:WEA720839 WNW720633:WNW720839 WXS720633:WXS720839 BN786169:BN786375 LG786169:LG786375 VC786169:VC786375 AEY786169:AEY786375 AOU786169:AOU786375 AYQ786169:AYQ786375 BIM786169:BIM786375 BSI786169:BSI786375 CCE786169:CCE786375 CMA786169:CMA786375 CVW786169:CVW786375 DFS786169:DFS786375 DPO786169:DPO786375 DZK786169:DZK786375 EJG786169:EJG786375 ETC786169:ETC786375 FCY786169:FCY786375 FMU786169:FMU786375 FWQ786169:FWQ786375 GGM786169:GGM786375 GQI786169:GQI786375 HAE786169:HAE786375 HKA786169:HKA786375 HTW786169:HTW786375 IDS786169:IDS786375 INO786169:INO786375 IXK786169:IXK786375 JHG786169:JHG786375 JRC786169:JRC786375 KAY786169:KAY786375 KKU786169:KKU786375 KUQ786169:KUQ786375 LEM786169:LEM786375 LOI786169:LOI786375 LYE786169:LYE786375 MIA786169:MIA786375 MRW786169:MRW786375 NBS786169:NBS786375 NLO786169:NLO786375 NVK786169:NVK786375 OFG786169:OFG786375 OPC786169:OPC786375 OYY786169:OYY786375 PIU786169:PIU786375 PSQ786169:PSQ786375 QCM786169:QCM786375 QMI786169:QMI786375 QWE786169:QWE786375 RGA786169:RGA786375 RPW786169:RPW786375 RZS786169:RZS786375 SJO786169:SJO786375 STK786169:STK786375 TDG786169:TDG786375 TNC786169:TNC786375 TWY786169:TWY786375 UGU786169:UGU786375 UQQ786169:UQQ786375 VAM786169:VAM786375 VKI786169:VKI786375 VUE786169:VUE786375 WEA786169:WEA786375 WNW786169:WNW786375 WXS786169:WXS786375 BN851705:BN851911 LG851705:LG851911 VC851705:VC851911 AEY851705:AEY851911 AOU851705:AOU851911 AYQ851705:AYQ851911 BIM851705:BIM851911 BSI851705:BSI851911 CCE851705:CCE851911 CMA851705:CMA851911 CVW851705:CVW851911 DFS851705:DFS851911 DPO851705:DPO851911 DZK851705:DZK851911 EJG851705:EJG851911 ETC851705:ETC851911 FCY851705:FCY851911 FMU851705:FMU851911 FWQ851705:FWQ851911 GGM851705:GGM851911 GQI851705:GQI851911 HAE851705:HAE851911 HKA851705:HKA851911 HTW851705:HTW851911 IDS851705:IDS851911 INO851705:INO851911 IXK851705:IXK851911 JHG851705:JHG851911 JRC851705:JRC851911 KAY851705:KAY851911 KKU851705:KKU851911 KUQ851705:KUQ851911 LEM851705:LEM851911 LOI851705:LOI851911 LYE851705:LYE851911 MIA851705:MIA851911 MRW851705:MRW851911 NBS851705:NBS851911 NLO851705:NLO851911 NVK851705:NVK851911 OFG851705:OFG851911 OPC851705:OPC851911 OYY851705:OYY851911 PIU851705:PIU851911 PSQ851705:PSQ851911 QCM851705:QCM851911 QMI851705:QMI851911 QWE851705:QWE851911 RGA851705:RGA851911 RPW851705:RPW851911 RZS851705:RZS851911 SJO851705:SJO851911 STK851705:STK851911 TDG851705:TDG851911 TNC851705:TNC851911 TWY851705:TWY851911 UGU851705:UGU851911 UQQ851705:UQQ851911 VAM851705:VAM851911 VKI851705:VKI851911 VUE851705:VUE851911 WEA851705:WEA851911 WNW851705:WNW851911 WXS851705:WXS851911 BN917241:BN917447 LG917241:LG917447 VC917241:VC917447 AEY917241:AEY917447 AOU917241:AOU917447 AYQ917241:AYQ917447 BIM917241:BIM917447 BSI917241:BSI917447 CCE917241:CCE917447 CMA917241:CMA917447 CVW917241:CVW917447 DFS917241:DFS917447 DPO917241:DPO917447 DZK917241:DZK917447 EJG917241:EJG917447 ETC917241:ETC917447 FCY917241:FCY917447 FMU917241:FMU917447 FWQ917241:FWQ917447 GGM917241:GGM917447 GQI917241:GQI917447 HAE917241:HAE917447 HKA917241:HKA917447 HTW917241:HTW917447 IDS917241:IDS917447 INO917241:INO917447 IXK917241:IXK917447 JHG917241:JHG917447 JRC917241:JRC917447 KAY917241:KAY917447 KKU917241:KKU917447 KUQ917241:KUQ917447 LEM917241:LEM917447 LOI917241:LOI917447 LYE917241:LYE917447 MIA917241:MIA917447 MRW917241:MRW917447 NBS917241:NBS917447 NLO917241:NLO917447 NVK917241:NVK917447 OFG917241:OFG917447 OPC917241:OPC917447 OYY917241:OYY917447 PIU917241:PIU917447 PSQ917241:PSQ917447 QCM917241:QCM917447 QMI917241:QMI917447 QWE917241:QWE917447 RGA917241:RGA917447 RPW917241:RPW917447 RZS917241:RZS917447 SJO917241:SJO917447 STK917241:STK917447 TDG917241:TDG917447 TNC917241:TNC917447 TWY917241:TWY917447 UGU917241:UGU917447 UQQ917241:UQQ917447 VAM917241:VAM917447 VKI917241:VKI917447 VUE917241:VUE917447 WEA917241:WEA917447 WNW917241:WNW917447 WXS917241:WXS917447 BN982777:BN982983 LG982777:LG982983 VC982777:VC982983 AEY982777:AEY982983 AOU982777:AOU982983 AYQ982777:AYQ982983 BIM982777:BIM982983 BSI982777:BSI982983 CCE982777:CCE982983 CMA982777:CMA982983 CVW982777:CVW982983 DFS982777:DFS982983 DPO982777:DPO982983 DZK982777:DZK982983 EJG982777:EJG982983 ETC982777:ETC982983 FCY982777:FCY982983 FMU982777:FMU982983 FWQ982777:FWQ982983 GGM982777:GGM982983 GQI982777:GQI982983 HAE982777:HAE982983 HKA982777:HKA982983 HTW982777:HTW982983 IDS982777:IDS982983 INO982777:INO982983 IXK982777:IXK982983 JHG982777:JHG982983 JRC982777:JRC982983 KAY982777:KAY982983 KKU982777:KKU982983 KUQ982777:KUQ982983 LEM982777:LEM982983 LOI982777:LOI982983 LYE982777:LYE982983 MIA982777:MIA982983 MRW982777:MRW982983 NBS982777:NBS982983 NLO982777:NLO982983 NVK982777:NVK982983 OFG982777:OFG982983 OPC982777:OPC982983 OYY982777:OYY982983 PIU982777:PIU982983 PSQ982777:PSQ982983 QCM982777:QCM982983 QMI982777:QMI982983 QWE982777:QWE982983 RGA982777:RGA982983 RPW982777:RPW982983 RZS982777:RZS982983 SJO982777:SJO982983 STK982777:STK982983 TDG982777:TDG982983 TNC982777:TNC982983 TWY982777:TWY982983 UGU982777:UGU982983 UQQ982777:UQQ982983 VAM982777:VAM982983 VKI982777:VKI982983 VUE982777:VUE982983 WEA982777:WEA982983 WNW982777:WNW982983 WXS982777:WXS982983 WXS5:WXS11 LG5:LG11 VC5:VC11 AEY5:AEY11 AOU5:AOU11 AYQ5:AYQ11 BIM5:BIM11 BSI5:BSI11 CCE5:CCE11 CMA5:CMA11 CVW5:CVW11 DFS5:DFS11 DPO5:DPO11 DZK5:DZK11 EJG5:EJG11 ETC5:ETC11 FCY5:FCY11 FMU5:FMU11 FWQ5:FWQ11 GGM5:GGM11 GQI5:GQI11 HAE5:HAE11 HKA5:HKA11 HTW5:HTW11 IDS5:IDS11 INO5:INO11 IXK5:IXK11 JHG5:JHG11 JRC5:JRC11 KAY5:KAY11 KKU5:KKU11 KUQ5:KUQ11 LEM5:LEM11 LOI5:LOI11 LYE5:LYE11 MIA5:MIA11 MRW5:MRW11 NBS5:NBS11 NLO5:NLO11 NVK5:NVK11 OFG5:OFG11 OPC5:OPC11 OYY5:OYY11 PIU5:PIU11 PSQ5:PSQ11 QCM5:QCM11 QMI5:QMI11 QWE5:QWE11 RGA5:RGA11 RPW5:RPW11 RZS5:RZS11 SJO5:SJO11 STK5:STK11 TDG5:TDG11 TNC5:TNC11 TWY5:TWY11 UGU5:UGU11 UQQ5:UQQ11 VAM5:VAM11 VKI5:VKI11 VUE5:VUE11 WEA5:WEA11 WNW5:WNW11">
      <formula1>0</formula1>
      <formula2>100000000</formula2>
    </dataValidation>
    <dataValidation type="whole" allowBlank="1" showInputMessage="1" showErrorMessage="1" sqref="BS65273:BU65479 LO65273:LO65479 VK65273:VK65479 AFG65273:AFG65479 APC65273:APC65479 AYY65273:AYY65479 BIU65273:BIU65479 BSQ65273:BSQ65479 CCM65273:CCM65479 CMI65273:CMI65479 CWE65273:CWE65479 DGA65273:DGA65479 DPW65273:DPW65479 DZS65273:DZS65479 EJO65273:EJO65479 ETK65273:ETK65479 FDG65273:FDG65479 FNC65273:FNC65479 FWY65273:FWY65479 GGU65273:GGU65479 GQQ65273:GQQ65479 HAM65273:HAM65479 HKI65273:HKI65479 HUE65273:HUE65479 IEA65273:IEA65479 INW65273:INW65479 IXS65273:IXS65479 JHO65273:JHO65479 JRK65273:JRK65479 KBG65273:KBG65479 KLC65273:KLC65479 KUY65273:KUY65479 LEU65273:LEU65479 LOQ65273:LOQ65479 LYM65273:LYM65479 MII65273:MII65479 MSE65273:MSE65479 NCA65273:NCA65479 NLW65273:NLW65479 NVS65273:NVS65479 OFO65273:OFO65479 OPK65273:OPK65479 OZG65273:OZG65479 PJC65273:PJC65479 PSY65273:PSY65479 QCU65273:QCU65479 QMQ65273:QMQ65479 QWM65273:QWM65479 RGI65273:RGI65479 RQE65273:RQE65479 SAA65273:SAA65479 SJW65273:SJW65479 STS65273:STS65479 TDO65273:TDO65479 TNK65273:TNK65479 TXG65273:TXG65479 UHC65273:UHC65479 UQY65273:UQY65479 VAU65273:VAU65479 VKQ65273:VKQ65479 VUM65273:VUM65479 WEI65273:WEI65479 WOE65273:WOE65479 WYA65273:WYA65479 BS130809:BU131015 LO130809:LO131015 VK130809:VK131015 AFG130809:AFG131015 APC130809:APC131015 AYY130809:AYY131015 BIU130809:BIU131015 BSQ130809:BSQ131015 CCM130809:CCM131015 CMI130809:CMI131015 CWE130809:CWE131015 DGA130809:DGA131015 DPW130809:DPW131015 DZS130809:DZS131015 EJO130809:EJO131015 ETK130809:ETK131015 FDG130809:FDG131015 FNC130809:FNC131015 FWY130809:FWY131015 GGU130809:GGU131015 GQQ130809:GQQ131015 HAM130809:HAM131015 HKI130809:HKI131015 HUE130809:HUE131015 IEA130809:IEA131015 INW130809:INW131015 IXS130809:IXS131015 JHO130809:JHO131015 JRK130809:JRK131015 KBG130809:KBG131015 KLC130809:KLC131015 KUY130809:KUY131015 LEU130809:LEU131015 LOQ130809:LOQ131015 LYM130809:LYM131015 MII130809:MII131015 MSE130809:MSE131015 NCA130809:NCA131015 NLW130809:NLW131015 NVS130809:NVS131015 OFO130809:OFO131015 OPK130809:OPK131015 OZG130809:OZG131015 PJC130809:PJC131015 PSY130809:PSY131015 QCU130809:QCU131015 QMQ130809:QMQ131015 QWM130809:QWM131015 RGI130809:RGI131015 RQE130809:RQE131015 SAA130809:SAA131015 SJW130809:SJW131015 STS130809:STS131015 TDO130809:TDO131015 TNK130809:TNK131015 TXG130809:TXG131015 UHC130809:UHC131015 UQY130809:UQY131015 VAU130809:VAU131015 VKQ130809:VKQ131015 VUM130809:VUM131015 WEI130809:WEI131015 WOE130809:WOE131015 WYA130809:WYA131015 BS196345:BU196551 LO196345:LO196551 VK196345:VK196551 AFG196345:AFG196551 APC196345:APC196551 AYY196345:AYY196551 BIU196345:BIU196551 BSQ196345:BSQ196551 CCM196345:CCM196551 CMI196345:CMI196551 CWE196345:CWE196551 DGA196345:DGA196551 DPW196345:DPW196551 DZS196345:DZS196551 EJO196345:EJO196551 ETK196345:ETK196551 FDG196345:FDG196551 FNC196345:FNC196551 FWY196345:FWY196551 GGU196345:GGU196551 GQQ196345:GQQ196551 HAM196345:HAM196551 HKI196345:HKI196551 HUE196345:HUE196551 IEA196345:IEA196551 INW196345:INW196551 IXS196345:IXS196551 JHO196345:JHO196551 JRK196345:JRK196551 KBG196345:KBG196551 KLC196345:KLC196551 KUY196345:KUY196551 LEU196345:LEU196551 LOQ196345:LOQ196551 LYM196345:LYM196551 MII196345:MII196551 MSE196345:MSE196551 NCA196345:NCA196551 NLW196345:NLW196551 NVS196345:NVS196551 OFO196345:OFO196551 OPK196345:OPK196551 OZG196345:OZG196551 PJC196345:PJC196551 PSY196345:PSY196551 QCU196345:QCU196551 QMQ196345:QMQ196551 QWM196345:QWM196551 RGI196345:RGI196551 RQE196345:RQE196551 SAA196345:SAA196551 SJW196345:SJW196551 STS196345:STS196551 TDO196345:TDO196551 TNK196345:TNK196551 TXG196345:TXG196551 UHC196345:UHC196551 UQY196345:UQY196551 VAU196345:VAU196551 VKQ196345:VKQ196551 VUM196345:VUM196551 WEI196345:WEI196551 WOE196345:WOE196551 WYA196345:WYA196551 BS261881:BU262087 LO261881:LO262087 VK261881:VK262087 AFG261881:AFG262087 APC261881:APC262087 AYY261881:AYY262087 BIU261881:BIU262087 BSQ261881:BSQ262087 CCM261881:CCM262087 CMI261881:CMI262087 CWE261881:CWE262087 DGA261881:DGA262087 DPW261881:DPW262087 DZS261881:DZS262087 EJO261881:EJO262087 ETK261881:ETK262087 FDG261881:FDG262087 FNC261881:FNC262087 FWY261881:FWY262087 GGU261881:GGU262087 GQQ261881:GQQ262087 HAM261881:HAM262087 HKI261881:HKI262087 HUE261881:HUE262087 IEA261881:IEA262087 INW261881:INW262087 IXS261881:IXS262087 JHO261881:JHO262087 JRK261881:JRK262087 KBG261881:KBG262087 KLC261881:KLC262087 KUY261881:KUY262087 LEU261881:LEU262087 LOQ261881:LOQ262087 LYM261881:LYM262087 MII261881:MII262087 MSE261881:MSE262087 NCA261881:NCA262087 NLW261881:NLW262087 NVS261881:NVS262087 OFO261881:OFO262087 OPK261881:OPK262087 OZG261881:OZG262087 PJC261881:PJC262087 PSY261881:PSY262087 QCU261881:QCU262087 QMQ261881:QMQ262087 QWM261881:QWM262087 RGI261881:RGI262087 RQE261881:RQE262087 SAA261881:SAA262087 SJW261881:SJW262087 STS261881:STS262087 TDO261881:TDO262087 TNK261881:TNK262087 TXG261881:TXG262087 UHC261881:UHC262087 UQY261881:UQY262087 VAU261881:VAU262087 VKQ261881:VKQ262087 VUM261881:VUM262087 WEI261881:WEI262087 WOE261881:WOE262087 WYA261881:WYA262087 BS327417:BU327623 LO327417:LO327623 VK327417:VK327623 AFG327417:AFG327623 APC327417:APC327623 AYY327417:AYY327623 BIU327417:BIU327623 BSQ327417:BSQ327623 CCM327417:CCM327623 CMI327417:CMI327623 CWE327417:CWE327623 DGA327417:DGA327623 DPW327417:DPW327623 DZS327417:DZS327623 EJO327417:EJO327623 ETK327417:ETK327623 FDG327417:FDG327623 FNC327417:FNC327623 FWY327417:FWY327623 GGU327417:GGU327623 GQQ327417:GQQ327623 HAM327417:HAM327623 HKI327417:HKI327623 HUE327417:HUE327623 IEA327417:IEA327623 INW327417:INW327623 IXS327417:IXS327623 JHO327417:JHO327623 JRK327417:JRK327623 KBG327417:KBG327623 KLC327417:KLC327623 KUY327417:KUY327623 LEU327417:LEU327623 LOQ327417:LOQ327623 LYM327417:LYM327623 MII327417:MII327623 MSE327417:MSE327623 NCA327417:NCA327623 NLW327417:NLW327623 NVS327417:NVS327623 OFO327417:OFO327623 OPK327417:OPK327623 OZG327417:OZG327623 PJC327417:PJC327623 PSY327417:PSY327623 QCU327417:QCU327623 QMQ327417:QMQ327623 QWM327417:QWM327623 RGI327417:RGI327623 RQE327417:RQE327623 SAA327417:SAA327623 SJW327417:SJW327623 STS327417:STS327623 TDO327417:TDO327623 TNK327417:TNK327623 TXG327417:TXG327623 UHC327417:UHC327623 UQY327417:UQY327623 VAU327417:VAU327623 VKQ327417:VKQ327623 VUM327417:VUM327623 WEI327417:WEI327623 WOE327417:WOE327623 WYA327417:WYA327623 BS392953:BU393159 LO392953:LO393159 VK392953:VK393159 AFG392953:AFG393159 APC392953:APC393159 AYY392953:AYY393159 BIU392953:BIU393159 BSQ392953:BSQ393159 CCM392953:CCM393159 CMI392953:CMI393159 CWE392953:CWE393159 DGA392953:DGA393159 DPW392953:DPW393159 DZS392953:DZS393159 EJO392953:EJO393159 ETK392953:ETK393159 FDG392953:FDG393159 FNC392953:FNC393159 FWY392953:FWY393159 GGU392953:GGU393159 GQQ392953:GQQ393159 HAM392953:HAM393159 HKI392953:HKI393159 HUE392953:HUE393159 IEA392953:IEA393159 INW392953:INW393159 IXS392953:IXS393159 JHO392953:JHO393159 JRK392953:JRK393159 KBG392953:KBG393159 KLC392953:KLC393159 KUY392953:KUY393159 LEU392953:LEU393159 LOQ392953:LOQ393159 LYM392953:LYM393159 MII392953:MII393159 MSE392953:MSE393159 NCA392953:NCA393159 NLW392953:NLW393159 NVS392953:NVS393159 OFO392953:OFO393159 OPK392953:OPK393159 OZG392953:OZG393159 PJC392953:PJC393159 PSY392953:PSY393159 QCU392953:QCU393159 QMQ392953:QMQ393159 QWM392953:QWM393159 RGI392953:RGI393159 RQE392953:RQE393159 SAA392953:SAA393159 SJW392953:SJW393159 STS392953:STS393159 TDO392953:TDO393159 TNK392953:TNK393159 TXG392953:TXG393159 UHC392953:UHC393159 UQY392953:UQY393159 VAU392953:VAU393159 VKQ392953:VKQ393159 VUM392953:VUM393159 WEI392953:WEI393159 WOE392953:WOE393159 WYA392953:WYA393159 BS458489:BU458695 LO458489:LO458695 VK458489:VK458695 AFG458489:AFG458695 APC458489:APC458695 AYY458489:AYY458695 BIU458489:BIU458695 BSQ458489:BSQ458695 CCM458489:CCM458695 CMI458489:CMI458695 CWE458489:CWE458695 DGA458489:DGA458695 DPW458489:DPW458695 DZS458489:DZS458695 EJO458489:EJO458695 ETK458489:ETK458695 FDG458489:FDG458695 FNC458489:FNC458695 FWY458489:FWY458695 GGU458489:GGU458695 GQQ458489:GQQ458695 HAM458489:HAM458695 HKI458489:HKI458695 HUE458489:HUE458695 IEA458489:IEA458695 INW458489:INW458695 IXS458489:IXS458695 JHO458489:JHO458695 JRK458489:JRK458695 KBG458489:KBG458695 KLC458489:KLC458695 KUY458489:KUY458695 LEU458489:LEU458695 LOQ458489:LOQ458695 LYM458489:LYM458695 MII458489:MII458695 MSE458489:MSE458695 NCA458489:NCA458695 NLW458489:NLW458695 NVS458489:NVS458695 OFO458489:OFO458695 OPK458489:OPK458695 OZG458489:OZG458695 PJC458489:PJC458695 PSY458489:PSY458695 QCU458489:QCU458695 QMQ458489:QMQ458695 QWM458489:QWM458695 RGI458489:RGI458695 RQE458489:RQE458695 SAA458489:SAA458695 SJW458489:SJW458695 STS458489:STS458695 TDO458489:TDO458695 TNK458489:TNK458695 TXG458489:TXG458695 UHC458489:UHC458695 UQY458489:UQY458695 VAU458489:VAU458695 VKQ458489:VKQ458695 VUM458489:VUM458695 WEI458489:WEI458695 WOE458489:WOE458695 WYA458489:WYA458695 BS524025:BU524231 LO524025:LO524231 VK524025:VK524231 AFG524025:AFG524231 APC524025:APC524231 AYY524025:AYY524231 BIU524025:BIU524231 BSQ524025:BSQ524231 CCM524025:CCM524231 CMI524025:CMI524231 CWE524025:CWE524231 DGA524025:DGA524231 DPW524025:DPW524231 DZS524025:DZS524231 EJO524025:EJO524231 ETK524025:ETK524231 FDG524025:FDG524231 FNC524025:FNC524231 FWY524025:FWY524231 GGU524025:GGU524231 GQQ524025:GQQ524231 HAM524025:HAM524231 HKI524025:HKI524231 HUE524025:HUE524231 IEA524025:IEA524231 INW524025:INW524231 IXS524025:IXS524231 JHO524025:JHO524231 JRK524025:JRK524231 KBG524025:KBG524231 KLC524025:KLC524231 KUY524025:KUY524231 LEU524025:LEU524231 LOQ524025:LOQ524231 LYM524025:LYM524231 MII524025:MII524231 MSE524025:MSE524231 NCA524025:NCA524231 NLW524025:NLW524231 NVS524025:NVS524231 OFO524025:OFO524231 OPK524025:OPK524231 OZG524025:OZG524231 PJC524025:PJC524231 PSY524025:PSY524231 QCU524025:QCU524231 QMQ524025:QMQ524231 QWM524025:QWM524231 RGI524025:RGI524231 RQE524025:RQE524231 SAA524025:SAA524231 SJW524025:SJW524231 STS524025:STS524231 TDO524025:TDO524231 TNK524025:TNK524231 TXG524025:TXG524231 UHC524025:UHC524231 UQY524025:UQY524231 VAU524025:VAU524231 VKQ524025:VKQ524231 VUM524025:VUM524231 WEI524025:WEI524231 WOE524025:WOE524231 WYA524025:WYA524231 BS589561:BU589767 LO589561:LO589767 VK589561:VK589767 AFG589561:AFG589767 APC589561:APC589767 AYY589561:AYY589767 BIU589561:BIU589767 BSQ589561:BSQ589767 CCM589561:CCM589767 CMI589561:CMI589767 CWE589561:CWE589767 DGA589561:DGA589767 DPW589561:DPW589767 DZS589561:DZS589767 EJO589561:EJO589767 ETK589561:ETK589767 FDG589561:FDG589767 FNC589561:FNC589767 FWY589561:FWY589767 GGU589561:GGU589767 GQQ589561:GQQ589767 HAM589561:HAM589767 HKI589561:HKI589767 HUE589561:HUE589767 IEA589561:IEA589767 INW589561:INW589767 IXS589561:IXS589767 JHO589561:JHO589767 JRK589561:JRK589767 KBG589561:KBG589767 KLC589561:KLC589767 KUY589561:KUY589767 LEU589561:LEU589767 LOQ589561:LOQ589767 LYM589561:LYM589767 MII589561:MII589767 MSE589561:MSE589767 NCA589561:NCA589767 NLW589561:NLW589767 NVS589561:NVS589767 OFO589561:OFO589767 OPK589561:OPK589767 OZG589561:OZG589767 PJC589561:PJC589767 PSY589561:PSY589767 QCU589561:QCU589767 QMQ589561:QMQ589767 QWM589561:QWM589767 RGI589561:RGI589767 RQE589561:RQE589767 SAA589561:SAA589767 SJW589561:SJW589767 STS589561:STS589767 TDO589561:TDO589767 TNK589561:TNK589767 TXG589561:TXG589767 UHC589561:UHC589767 UQY589561:UQY589767 VAU589561:VAU589767 VKQ589561:VKQ589767 VUM589561:VUM589767 WEI589561:WEI589767 WOE589561:WOE589767 WYA589561:WYA589767 BS655097:BU655303 LO655097:LO655303 VK655097:VK655303 AFG655097:AFG655303 APC655097:APC655303 AYY655097:AYY655303 BIU655097:BIU655303 BSQ655097:BSQ655303 CCM655097:CCM655303 CMI655097:CMI655303 CWE655097:CWE655303 DGA655097:DGA655303 DPW655097:DPW655303 DZS655097:DZS655303 EJO655097:EJO655303 ETK655097:ETK655303 FDG655097:FDG655303 FNC655097:FNC655303 FWY655097:FWY655303 GGU655097:GGU655303 GQQ655097:GQQ655303 HAM655097:HAM655303 HKI655097:HKI655303 HUE655097:HUE655303 IEA655097:IEA655303 INW655097:INW655303 IXS655097:IXS655303 JHO655097:JHO655303 JRK655097:JRK655303 KBG655097:KBG655303 KLC655097:KLC655303 KUY655097:KUY655303 LEU655097:LEU655303 LOQ655097:LOQ655303 LYM655097:LYM655303 MII655097:MII655303 MSE655097:MSE655303 NCA655097:NCA655303 NLW655097:NLW655303 NVS655097:NVS655303 OFO655097:OFO655303 OPK655097:OPK655303 OZG655097:OZG655303 PJC655097:PJC655303 PSY655097:PSY655303 QCU655097:QCU655303 QMQ655097:QMQ655303 QWM655097:QWM655303 RGI655097:RGI655303 RQE655097:RQE655303 SAA655097:SAA655303 SJW655097:SJW655303 STS655097:STS655303 TDO655097:TDO655303 TNK655097:TNK655303 TXG655097:TXG655303 UHC655097:UHC655303 UQY655097:UQY655303 VAU655097:VAU655303 VKQ655097:VKQ655303 VUM655097:VUM655303 WEI655097:WEI655303 WOE655097:WOE655303 WYA655097:WYA655303 BS720633:BU720839 LO720633:LO720839 VK720633:VK720839 AFG720633:AFG720839 APC720633:APC720839 AYY720633:AYY720839 BIU720633:BIU720839 BSQ720633:BSQ720839 CCM720633:CCM720839 CMI720633:CMI720839 CWE720633:CWE720839 DGA720633:DGA720839 DPW720633:DPW720839 DZS720633:DZS720839 EJO720633:EJO720839 ETK720633:ETK720839 FDG720633:FDG720839 FNC720633:FNC720839 FWY720633:FWY720839 GGU720633:GGU720839 GQQ720633:GQQ720839 HAM720633:HAM720839 HKI720633:HKI720839 HUE720633:HUE720839 IEA720633:IEA720839 INW720633:INW720839 IXS720633:IXS720839 JHO720633:JHO720839 JRK720633:JRK720839 KBG720633:KBG720839 KLC720633:KLC720839 KUY720633:KUY720839 LEU720633:LEU720839 LOQ720633:LOQ720839 LYM720633:LYM720839 MII720633:MII720839 MSE720633:MSE720839 NCA720633:NCA720839 NLW720633:NLW720839 NVS720633:NVS720839 OFO720633:OFO720839 OPK720633:OPK720839 OZG720633:OZG720839 PJC720633:PJC720839 PSY720633:PSY720839 QCU720633:QCU720839 QMQ720633:QMQ720839 QWM720633:QWM720839 RGI720633:RGI720839 RQE720633:RQE720839 SAA720633:SAA720839 SJW720633:SJW720839 STS720633:STS720839 TDO720633:TDO720839 TNK720633:TNK720839 TXG720633:TXG720839 UHC720633:UHC720839 UQY720633:UQY720839 VAU720633:VAU720839 VKQ720633:VKQ720839 VUM720633:VUM720839 WEI720633:WEI720839 WOE720633:WOE720839 WYA720633:WYA720839 BS786169:BU786375 LO786169:LO786375 VK786169:VK786375 AFG786169:AFG786375 APC786169:APC786375 AYY786169:AYY786375 BIU786169:BIU786375 BSQ786169:BSQ786375 CCM786169:CCM786375 CMI786169:CMI786375 CWE786169:CWE786375 DGA786169:DGA786375 DPW786169:DPW786375 DZS786169:DZS786375 EJO786169:EJO786375 ETK786169:ETK786375 FDG786169:FDG786375 FNC786169:FNC786375 FWY786169:FWY786375 GGU786169:GGU786375 GQQ786169:GQQ786375 HAM786169:HAM786375 HKI786169:HKI786375 HUE786169:HUE786375 IEA786169:IEA786375 INW786169:INW786375 IXS786169:IXS786375 JHO786169:JHO786375 JRK786169:JRK786375 KBG786169:KBG786375 KLC786169:KLC786375 KUY786169:KUY786375 LEU786169:LEU786375 LOQ786169:LOQ786375 LYM786169:LYM786375 MII786169:MII786375 MSE786169:MSE786375 NCA786169:NCA786375 NLW786169:NLW786375 NVS786169:NVS786375 OFO786169:OFO786375 OPK786169:OPK786375 OZG786169:OZG786375 PJC786169:PJC786375 PSY786169:PSY786375 QCU786169:QCU786375 QMQ786169:QMQ786375 QWM786169:QWM786375 RGI786169:RGI786375 RQE786169:RQE786375 SAA786169:SAA786375 SJW786169:SJW786375 STS786169:STS786375 TDO786169:TDO786375 TNK786169:TNK786375 TXG786169:TXG786375 UHC786169:UHC786375 UQY786169:UQY786375 VAU786169:VAU786375 VKQ786169:VKQ786375 VUM786169:VUM786375 WEI786169:WEI786375 WOE786169:WOE786375 WYA786169:WYA786375 BS851705:BU851911 LO851705:LO851911 VK851705:VK851911 AFG851705:AFG851911 APC851705:APC851911 AYY851705:AYY851911 BIU851705:BIU851911 BSQ851705:BSQ851911 CCM851705:CCM851911 CMI851705:CMI851911 CWE851705:CWE851911 DGA851705:DGA851911 DPW851705:DPW851911 DZS851705:DZS851911 EJO851705:EJO851911 ETK851705:ETK851911 FDG851705:FDG851911 FNC851705:FNC851911 FWY851705:FWY851911 GGU851705:GGU851911 GQQ851705:GQQ851911 HAM851705:HAM851911 HKI851705:HKI851911 HUE851705:HUE851911 IEA851705:IEA851911 INW851705:INW851911 IXS851705:IXS851911 JHO851705:JHO851911 JRK851705:JRK851911 KBG851705:KBG851911 KLC851705:KLC851911 KUY851705:KUY851911 LEU851705:LEU851911 LOQ851705:LOQ851911 LYM851705:LYM851911 MII851705:MII851911 MSE851705:MSE851911 NCA851705:NCA851911 NLW851705:NLW851911 NVS851705:NVS851911 OFO851705:OFO851911 OPK851705:OPK851911 OZG851705:OZG851911 PJC851705:PJC851911 PSY851705:PSY851911 QCU851705:QCU851911 QMQ851705:QMQ851911 QWM851705:QWM851911 RGI851705:RGI851911 RQE851705:RQE851911 SAA851705:SAA851911 SJW851705:SJW851911 STS851705:STS851911 TDO851705:TDO851911 TNK851705:TNK851911 TXG851705:TXG851911 UHC851705:UHC851911 UQY851705:UQY851911 VAU851705:VAU851911 VKQ851705:VKQ851911 VUM851705:VUM851911 WEI851705:WEI851911 WOE851705:WOE851911 WYA851705:WYA851911 BS917241:BU917447 LO917241:LO917447 VK917241:VK917447 AFG917241:AFG917447 APC917241:APC917447 AYY917241:AYY917447 BIU917241:BIU917447 BSQ917241:BSQ917447 CCM917241:CCM917447 CMI917241:CMI917447 CWE917241:CWE917447 DGA917241:DGA917447 DPW917241:DPW917447 DZS917241:DZS917447 EJO917241:EJO917447 ETK917241:ETK917447 FDG917241:FDG917447 FNC917241:FNC917447 FWY917241:FWY917447 GGU917241:GGU917447 GQQ917241:GQQ917447 HAM917241:HAM917447 HKI917241:HKI917447 HUE917241:HUE917447 IEA917241:IEA917447 INW917241:INW917447 IXS917241:IXS917447 JHO917241:JHO917447 JRK917241:JRK917447 KBG917241:KBG917447 KLC917241:KLC917447 KUY917241:KUY917447 LEU917241:LEU917447 LOQ917241:LOQ917447 LYM917241:LYM917447 MII917241:MII917447 MSE917241:MSE917447 NCA917241:NCA917447 NLW917241:NLW917447 NVS917241:NVS917447 OFO917241:OFO917447 OPK917241:OPK917447 OZG917241:OZG917447 PJC917241:PJC917447 PSY917241:PSY917447 QCU917241:QCU917447 QMQ917241:QMQ917447 QWM917241:QWM917447 RGI917241:RGI917447 RQE917241:RQE917447 SAA917241:SAA917447 SJW917241:SJW917447 STS917241:STS917447 TDO917241:TDO917447 TNK917241:TNK917447 TXG917241:TXG917447 UHC917241:UHC917447 UQY917241:UQY917447 VAU917241:VAU917447 VKQ917241:VKQ917447 VUM917241:VUM917447 WEI917241:WEI917447 WOE917241:WOE917447 WYA917241:WYA917447 BS982777:BU982983 LO982777:LO982983 VK982777:VK982983 AFG982777:AFG982983 APC982777:APC982983 AYY982777:AYY982983 BIU982777:BIU982983 BSQ982777:BSQ982983 CCM982777:CCM982983 CMI982777:CMI982983 CWE982777:CWE982983 DGA982777:DGA982983 DPW982777:DPW982983 DZS982777:DZS982983 EJO982777:EJO982983 ETK982777:ETK982983 FDG982777:FDG982983 FNC982777:FNC982983 FWY982777:FWY982983 GGU982777:GGU982983 GQQ982777:GQQ982983 HAM982777:HAM982983 HKI982777:HKI982983 HUE982777:HUE982983 IEA982777:IEA982983 INW982777:INW982983 IXS982777:IXS982983 JHO982777:JHO982983 JRK982777:JRK982983 KBG982777:KBG982983 KLC982777:KLC982983 KUY982777:KUY982983 LEU982777:LEU982983 LOQ982777:LOQ982983 LYM982777:LYM982983 MII982777:MII982983 MSE982777:MSE982983 NCA982777:NCA982983 NLW982777:NLW982983 NVS982777:NVS982983 OFO982777:OFO982983 OPK982777:OPK982983 OZG982777:OZG982983 PJC982777:PJC982983 PSY982777:PSY982983 QCU982777:QCU982983 QMQ982777:QMQ982983 QWM982777:QWM982983 RGI982777:RGI982983 RQE982777:RQE982983 SAA982777:SAA982983 SJW982777:SJW982983 STS982777:STS982983 TDO982777:TDO982983 TNK982777:TNK982983 TXG982777:TXG982983 UHC982777:UHC982983 UQY982777:UQY982983 VAU982777:VAU982983 VKQ982777:VKQ982983 VUM982777:VUM982983 WEI982777:WEI982983 WOE982777:WOE982983 WYA982777:WYA982983 WOE5:WOE11 WYA5:WYA11 LO5:LO11 VK5:VK11 AFG5:AFG11 APC5:APC11 AYY5:AYY11 BIU5:BIU11 BSQ5:BSQ11 CCM5:CCM11 CMI5:CMI11 CWE5:CWE11 DGA5:DGA11 DPW5:DPW11 DZS5:DZS11 EJO5:EJO11 ETK5:ETK11 FDG5:FDG11 FNC5:FNC11 FWY5:FWY11 GGU5:GGU11 GQQ5:GQQ11 HAM5:HAM11 HKI5:HKI11 HUE5:HUE11 IEA5:IEA11 INW5:INW11 IXS5:IXS11 JHO5:JHO11 JRK5:JRK11 KBG5:KBG11 KLC5:KLC11 KUY5:KUY11 LEU5:LEU11 LOQ5:LOQ11 LYM5:LYM11 MII5:MII11 MSE5:MSE11 NCA5:NCA11 NLW5:NLW11 NVS5:NVS11 OFO5:OFO11 OPK5:OPK11 OZG5:OZG11 PJC5:PJC11 PSY5:PSY11 QCU5:QCU11 QMQ5:QMQ11 QWM5:QWM11 RGI5:RGI11 RQE5:RQE11 SAA5:SAA11 SJW5:SJW11 STS5:STS11 TDO5:TDO11 TNK5:TNK11 TXG5:TXG11 UHC5:UHC11 UQY5:UQY11 VAU5:VAU11 VKQ5:VKQ11 VUM5:VUM11 WEI5:WEI11">
      <formula1>0</formula1>
      <formula2>1000000000000000</formula2>
    </dataValidation>
    <dataValidation type="whole" allowBlank="1" showInputMessage="1" showErrorMessage="1" sqref="BV65273:BV65479 LP65273:LP65479 VL65273:VL65479 AFH65273:AFH65479 APD65273:APD65479 AYZ65273:AYZ65479 BIV65273:BIV65479 BSR65273:BSR65479 CCN65273:CCN65479 CMJ65273:CMJ65479 CWF65273:CWF65479 DGB65273:DGB65479 DPX65273:DPX65479 DZT65273:DZT65479 EJP65273:EJP65479 ETL65273:ETL65479 FDH65273:FDH65479 FND65273:FND65479 FWZ65273:FWZ65479 GGV65273:GGV65479 GQR65273:GQR65479 HAN65273:HAN65479 HKJ65273:HKJ65479 HUF65273:HUF65479 IEB65273:IEB65479 INX65273:INX65479 IXT65273:IXT65479 JHP65273:JHP65479 JRL65273:JRL65479 KBH65273:KBH65479 KLD65273:KLD65479 KUZ65273:KUZ65479 LEV65273:LEV65479 LOR65273:LOR65479 LYN65273:LYN65479 MIJ65273:MIJ65479 MSF65273:MSF65479 NCB65273:NCB65479 NLX65273:NLX65479 NVT65273:NVT65479 OFP65273:OFP65479 OPL65273:OPL65479 OZH65273:OZH65479 PJD65273:PJD65479 PSZ65273:PSZ65479 QCV65273:QCV65479 QMR65273:QMR65479 QWN65273:QWN65479 RGJ65273:RGJ65479 RQF65273:RQF65479 SAB65273:SAB65479 SJX65273:SJX65479 STT65273:STT65479 TDP65273:TDP65479 TNL65273:TNL65479 TXH65273:TXH65479 UHD65273:UHD65479 UQZ65273:UQZ65479 VAV65273:VAV65479 VKR65273:VKR65479 VUN65273:VUN65479 WEJ65273:WEJ65479 WOF65273:WOF65479 WYB65273:WYB65479 BV130809:BV131015 LP130809:LP131015 VL130809:VL131015 AFH130809:AFH131015 APD130809:APD131015 AYZ130809:AYZ131015 BIV130809:BIV131015 BSR130809:BSR131015 CCN130809:CCN131015 CMJ130809:CMJ131015 CWF130809:CWF131015 DGB130809:DGB131015 DPX130809:DPX131015 DZT130809:DZT131015 EJP130809:EJP131015 ETL130809:ETL131015 FDH130809:FDH131015 FND130809:FND131015 FWZ130809:FWZ131015 GGV130809:GGV131015 GQR130809:GQR131015 HAN130809:HAN131015 HKJ130809:HKJ131015 HUF130809:HUF131015 IEB130809:IEB131015 INX130809:INX131015 IXT130809:IXT131015 JHP130809:JHP131015 JRL130809:JRL131015 KBH130809:KBH131015 KLD130809:KLD131015 KUZ130809:KUZ131015 LEV130809:LEV131015 LOR130809:LOR131015 LYN130809:LYN131015 MIJ130809:MIJ131015 MSF130809:MSF131015 NCB130809:NCB131015 NLX130809:NLX131015 NVT130809:NVT131015 OFP130809:OFP131015 OPL130809:OPL131015 OZH130809:OZH131015 PJD130809:PJD131015 PSZ130809:PSZ131015 QCV130809:QCV131015 QMR130809:QMR131015 QWN130809:QWN131015 RGJ130809:RGJ131015 RQF130809:RQF131015 SAB130809:SAB131015 SJX130809:SJX131015 STT130809:STT131015 TDP130809:TDP131015 TNL130809:TNL131015 TXH130809:TXH131015 UHD130809:UHD131015 UQZ130809:UQZ131015 VAV130809:VAV131015 VKR130809:VKR131015 VUN130809:VUN131015 WEJ130809:WEJ131015 WOF130809:WOF131015 WYB130809:WYB131015 BV196345:BV196551 LP196345:LP196551 VL196345:VL196551 AFH196345:AFH196551 APD196345:APD196551 AYZ196345:AYZ196551 BIV196345:BIV196551 BSR196345:BSR196551 CCN196345:CCN196551 CMJ196345:CMJ196551 CWF196345:CWF196551 DGB196345:DGB196551 DPX196345:DPX196551 DZT196345:DZT196551 EJP196345:EJP196551 ETL196345:ETL196551 FDH196345:FDH196551 FND196345:FND196551 FWZ196345:FWZ196551 GGV196345:GGV196551 GQR196345:GQR196551 HAN196345:HAN196551 HKJ196345:HKJ196551 HUF196345:HUF196551 IEB196345:IEB196551 INX196345:INX196551 IXT196345:IXT196551 JHP196345:JHP196551 JRL196345:JRL196551 KBH196345:KBH196551 KLD196345:KLD196551 KUZ196345:KUZ196551 LEV196345:LEV196551 LOR196345:LOR196551 LYN196345:LYN196551 MIJ196345:MIJ196551 MSF196345:MSF196551 NCB196345:NCB196551 NLX196345:NLX196551 NVT196345:NVT196551 OFP196345:OFP196551 OPL196345:OPL196551 OZH196345:OZH196551 PJD196345:PJD196551 PSZ196345:PSZ196551 QCV196345:QCV196551 QMR196345:QMR196551 QWN196345:QWN196551 RGJ196345:RGJ196551 RQF196345:RQF196551 SAB196345:SAB196551 SJX196345:SJX196551 STT196345:STT196551 TDP196345:TDP196551 TNL196345:TNL196551 TXH196345:TXH196551 UHD196345:UHD196551 UQZ196345:UQZ196551 VAV196345:VAV196551 VKR196345:VKR196551 VUN196345:VUN196551 WEJ196345:WEJ196551 WOF196345:WOF196551 WYB196345:WYB196551 BV261881:BV262087 LP261881:LP262087 VL261881:VL262087 AFH261881:AFH262087 APD261881:APD262087 AYZ261881:AYZ262087 BIV261881:BIV262087 BSR261881:BSR262087 CCN261881:CCN262087 CMJ261881:CMJ262087 CWF261881:CWF262087 DGB261881:DGB262087 DPX261881:DPX262087 DZT261881:DZT262087 EJP261881:EJP262087 ETL261881:ETL262087 FDH261881:FDH262087 FND261881:FND262087 FWZ261881:FWZ262087 GGV261881:GGV262087 GQR261881:GQR262087 HAN261881:HAN262087 HKJ261881:HKJ262087 HUF261881:HUF262087 IEB261881:IEB262087 INX261881:INX262087 IXT261881:IXT262087 JHP261881:JHP262087 JRL261881:JRL262087 KBH261881:KBH262087 KLD261881:KLD262087 KUZ261881:KUZ262087 LEV261881:LEV262087 LOR261881:LOR262087 LYN261881:LYN262087 MIJ261881:MIJ262087 MSF261881:MSF262087 NCB261881:NCB262087 NLX261881:NLX262087 NVT261881:NVT262087 OFP261881:OFP262087 OPL261881:OPL262087 OZH261881:OZH262087 PJD261881:PJD262087 PSZ261881:PSZ262087 QCV261881:QCV262087 QMR261881:QMR262087 QWN261881:QWN262087 RGJ261881:RGJ262087 RQF261881:RQF262087 SAB261881:SAB262087 SJX261881:SJX262087 STT261881:STT262087 TDP261881:TDP262087 TNL261881:TNL262087 TXH261881:TXH262087 UHD261881:UHD262087 UQZ261881:UQZ262087 VAV261881:VAV262087 VKR261881:VKR262087 VUN261881:VUN262087 WEJ261881:WEJ262087 WOF261881:WOF262087 WYB261881:WYB262087 BV327417:BV327623 LP327417:LP327623 VL327417:VL327623 AFH327417:AFH327623 APD327417:APD327623 AYZ327417:AYZ327623 BIV327417:BIV327623 BSR327417:BSR327623 CCN327417:CCN327623 CMJ327417:CMJ327623 CWF327417:CWF327623 DGB327417:DGB327623 DPX327417:DPX327623 DZT327417:DZT327623 EJP327417:EJP327623 ETL327417:ETL327623 FDH327417:FDH327623 FND327417:FND327623 FWZ327417:FWZ327623 GGV327417:GGV327623 GQR327417:GQR327623 HAN327417:HAN327623 HKJ327417:HKJ327623 HUF327417:HUF327623 IEB327417:IEB327623 INX327417:INX327623 IXT327417:IXT327623 JHP327417:JHP327623 JRL327417:JRL327623 KBH327417:KBH327623 KLD327417:KLD327623 KUZ327417:KUZ327623 LEV327417:LEV327623 LOR327417:LOR327623 LYN327417:LYN327623 MIJ327417:MIJ327623 MSF327417:MSF327623 NCB327417:NCB327623 NLX327417:NLX327623 NVT327417:NVT327623 OFP327417:OFP327623 OPL327417:OPL327623 OZH327417:OZH327623 PJD327417:PJD327623 PSZ327417:PSZ327623 QCV327417:QCV327623 QMR327417:QMR327623 QWN327417:QWN327623 RGJ327417:RGJ327623 RQF327417:RQF327623 SAB327417:SAB327623 SJX327417:SJX327623 STT327417:STT327623 TDP327417:TDP327623 TNL327417:TNL327623 TXH327417:TXH327623 UHD327417:UHD327623 UQZ327417:UQZ327623 VAV327417:VAV327623 VKR327417:VKR327623 VUN327417:VUN327623 WEJ327417:WEJ327623 WOF327417:WOF327623 WYB327417:WYB327623 BV392953:BV393159 LP392953:LP393159 VL392953:VL393159 AFH392953:AFH393159 APD392953:APD393159 AYZ392953:AYZ393159 BIV392953:BIV393159 BSR392953:BSR393159 CCN392953:CCN393159 CMJ392953:CMJ393159 CWF392953:CWF393159 DGB392953:DGB393159 DPX392953:DPX393159 DZT392953:DZT393159 EJP392953:EJP393159 ETL392953:ETL393159 FDH392953:FDH393159 FND392953:FND393159 FWZ392953:FWZ393159 GGV392953:GGV393159 GQR392953:GQR393159 HAN392953:HAN393159 HKJ392953:HKJ393159 HUF392953:HUF393159 IEB392953:IEB393159 INX392953:INX393159 IXT392953:IXT393159 JHP392953:JHP393159 JRL392953:JRL393159 KBH392953:KBH393159 KLD392953:KLD393159 KUZ392953:KUZ393159 LEV392953:LEV393159 LOR392953:LOR393159 LYN392953:LYN393159 MIJ392953:MIJ393159 MSF392953:MSF393159 NCB392953:NCB393159 NLX392953:NLX393159 NVT392953:NVT393159 OFP392953:OFP393159 OPL392953:OPL393159 OZH392953:OZH393159 PJD392953:PJD393159 PSZ392953:PSZ393159 QCV392953:QCV393159 QMR392953:QMR393159 QWN392953:QWN393159 RGJ392953:RGJ393159 RQF392953:RQF393159 SAB392953:SAB393159 SJX392953:SJX393159 STT392953:STT393159 TDP392953:TDP393159 TNL392953:TNL393159 TXH392953:TXH393159 UHD392953:UHD393159 UQZ392953:UQZ393159 VAV392953:VAV393159 VKR392953:VKR393159 VUN392953:VUN393159 WEJ392953:WEJ393159 WOF392953:WOF393159 WYB392953:WYB393159 BV458489:BV458695 LP458489:LP458695 VL458489:VL458695 AFH458489:AFH458695 APD458489:APD458695 AYZ458489:AYZ458695 BIV458489:BIV458695 BSR458489:BSR458695 CCN458489:CCN458695 CMJ458489:CMJ458695 CWF458489:CWF458695 DGB458489:DGB458695 DPX458489:DPX458695 DZT458489:DZT458695 EJP458489:EJP458695 ETL458489:ETL458695 FDH458489:FDH458695 FND458489:FND458695 FWZ458489:FWZ458695 GGV458489:GGV458695 GQR458489:GQR458695 HAN458489:HAN458695 HKJ458489:HKJ458695 HUF458489:HUF458695 IEB458489:IEB458695 INX458489:INX458695 IXT458489:IXT458695 JHP458489:JHP458695 JRL458489:JRL458695 KBH458489:KBH458695 KLD458489:KLD458695 KUZ458489:KUZ458695 LEV458489:LEV458695 LOR458489:LOR458695 LYN458489:LYN458695 MIJ458489:MIJ458695 MSF458489:MSF458695 NCB458489:NCB458695 NLX458489:NLX458695 NVT458489:NVT458695 OFP458489:OFP458695 OPL458489:OPL458695 OZH458489:OZH458695 PJD458489:PJD458695 PSZ458489:PSZ458695 QCV458489:QCV458695 QMR458489:QMR458695 QWN458489:QWN458695 RGJ458489:RGJ458695 RQF458489:RQF458695 SAB458489:SAB458695 SJX458489:SJX458695 STT458489:STT458695 TDP458489:TDP458695 TNL458489:TNL458695 TXH458489:TXH458695 UHD458489:UHD458695 UQZ458489:UQZ458695 VAV458489:VAV458695 VKR458489:VKR458695 VUN458489:VUN458695 WEJ458489:WEJ458695 WOF458489:WOF458695 WYB458489:WYB458695 BV524025:BV524231 LP524025:LP524231 VL524025:VL524231 AFH524025:AFH524231 APD524025:APD524231 AYZ524025:AYZ524231 BIV524025:BIV524231 BSR524025:BSR524231 CCN524025:CCN524231 CMJ524025:CMJ524231 CWF524025:CWF524231 DGB524025:DGB524231 DPX524025:DPX524231 DZT524025:DZT524231 EJP524025:EJP524231 ETL524025:ETL524231 FDH524025:FDH524231 FND524025:FND524231 FWZ524025:FWZ524231 GGV524025:GGV524231 GQR524025:GQR524231 HAN524025:HAN524231 HKJ524025:HKJ524231 HUF524025:HUF524231 IEB524025:IEB524231 INX524025:INX524231 IXT524025:IXT524231 JHP524025:JHP524231 JRL524025:JRL524231 KBH524025:KBH524231 KLD524025:KLD524231 KUZ524025:KUZ524231 LEV524025:LEV524231 LOR524025:LOR524231 LYN524025:LYN524231 MIJ524025:MIJ524231 MSF524025:MSF524231 NCB524025:NCB524231 NLX524025:NLX524231 NVT524025:NVT524231 OFP524025:OFP524231 OPL524025:OPL524231 OZH524025:OZH524231 PJD524025:PJD524231 PSZ524025:PSZ524231 QCV524025:QCV524231 QMR524025:QMR524231 QWN524025:QWN524231 RGJ524025:RGJ524231 RQF524025:RQF524231 SAB524025:SAB524231 SJX524025:SJX524231 STT524025:STT524231 TDP524025:TDP524231 TNL524025:TNL524231 TXH524025:TXH524231 UHD524025:UHD524231 UQZ524025:UQZ524231 VAV524025:VAV524231 VKR524025:VKR524231 VUN524025:VUN524231 WEJ524025:WEJ524231 WOF524025:WOF524231 WYB524025:WYB524231 BV589561:BV589767 LP589561:LP589767 VL589561:VL589767 AFH589561:AFH589767 APD589561:APD589767 AYZ589561:AYZ589767 BIV589561:BIV589767 BSR589561:BSR589767 CCN589561:CCN589767 CMJ589561:CMJ589767 CWF589561:CWF589767 DGB589561:DGB589767 DPX589561:DPX589767 DZT589561:DZT589767 EJP589561:EJP589767 ETL589561:ETL589767 FDH589561:FDH589767 FND589561:FND589767 FWZ589561:FWZ589767 GGV589561:GGV589767 GQR589561:GQR589767 HAN589561:HAN589767 HKJ589561:HKJ589767 HUF589561:HUF589767 IEB589561:IEB589767 INX589561:INX589767 IXT589561:IXT589767 JHP589561:JHP589767 JRL589561:JRL589767 KBH589561:KBH589767 KLD589561:KLD589767 KUZ589561:KUZ589767 LEV589561:LEV589767 LOR589561:LOR589767 LYN589561:LYN589767 MIJ589561:MIJ589767 MSF589561:MSF589767 NCB589561:NCB589767 NLX589561:NLX589767 NVT589561:NVT589767 OFP589561:OFP589767 OPL589561:OPL589767 OZH589561:OZH589767 PJD589561:PJD589767 PSZ589561:PSZ589767 QCV589561:QCV589767 QMR589561:QMR589767 QWN589561:QWN589767 RGJ589561:RGJ589767 RQF589561:RQF589767 SAB589561:SAB589767 SJX589561:SJX589767 STT589561:STT589767 TDP589561:TDP589767 TNL589561:TNL589767 TXH589561:TXH589767 UHD589561:UHD589767 UQZ589561:UQZ589767 VAV589561:VAV589767 VKR589561:VKR589767 VUN589561:VUN589767 WEJ589561:WEJ589767 WOF589561:WOF589767 WYB589561:WYB589767 BV655097:BV655303 LP655097:LP655303 VL655097:VL655303 AFH655097:AFH655303 APD655097:APD655303 AYZ655097:AYZ655303 BIV655097:BIV655303 BSR655097:BSR655303 CCN655097:CCN655303 CMJ655097:CMJ655303 CWF655097:CWF655303 DGB655097:DGB655303 DPX655097:DPX655303 DZT655097:DZT655303 EJP655097:EJP655303 ETL655097:ETL655303 FDH655097:FDH655303 FND655097:FND655303 FWZ655097:FWZ655303 GGV655097:GGV655303 GQR655097:GQR655303 HAN655097:HAN655303 HKJ655097:HKJ655303 HUF655097:HUF655303 IEB655097:IEB655303 INX655097:INX655303 IXT655097:IXT655303 JHP655097:JHP655303 JRL655097:JRL655303 KBH655097:KBH655303 KLD655097:KLD655303 KUZ655097:KUZ655303 LEV655097:LEV655303 LOR655097:LOR655303 LYN655097:LYN655303 MIJ655097:MIJ655303 MSF655097:MSF655303 NCB655097:NCB655303 NLX655097:NLX655303 NVT655097:NVT655303 OFP655097:OFP655303 OPL655097:OPL655303 OZH655097:OZH655303 PJD655097:PJD655303 PSZ655097:PSZ655303 QCV655097:QCV655303 QMR655097:QMR655303 QWN655097:QWN655303 RGJ655097:RGJ655303 RQF655097:RQF655303 SAB655097:SAB655303 SJX655097:SJX655303 STT655097:STT655303 TDP655097:TDP655303 TNL655097:TNL655303 TXH655097:TXH655303 UHD655097:UHD655303 UQZ655097:UQZ655303 VAV655097:VAV655303 VKR655097:VKR655303 VUN655097:VUN655303 WEJ655097:WEJ655303 WOF655097:WOF655303 WYB655097:WYB655303 BV720633:BV720839 LP720633:LP720839 VL720633:VL720839 AFH720633:AFH720839 APD720633:APD720839 AYZ720633:AYZ720839 BIV720633:BIV720839 BSR720633:BSR720839 CCN720633:CCN720839 CMJ720633:CMJ720839 CWF720633:CWF720839 DGB720633:DGB720839 DPX720633:DPX720839 DZT720633:DZT720839 EJP720633:EJP720839 ETL720633:ETL720839 FDH720633:FDH720839 FND720633:FND720839 FWZ720633:FWZ720839 GGV720633:GGV720839 GQR720633:GQR720839 HAN720633:HAN720839 HKJ720633:HKJ720839 HUF720633:HUF720839 IEB720633:IEB720839 INX720633:INX720839 IXT720633:IXT720839 JHP720633:JHP720839 JRL720633:JRL720839 KBH720633:KBH720839 KLD720633:KLD720839 KUZ720633:KUZ720839 LEV720633:LEV720839 LOR720633:LOR720839 LYN720633:LYN720839 MIJ720633:MIJ720839 MSF720633:MSF720839 NCB720633:NCB720839 NLX720633:NLX720839 NVT720633:NVT720839 OFP720633:OFP720839 OPL720633:OPL720839 OZH720633:OZH720839 PJD720633:PJD720839 PSZ720633:PSZ720839 QCV720633:QCV720839 QMR720633:QMR720839 QWN720633:QWN720839 RGJ720633:RGJ720839 RQF720633:RQF720839 SAB720633:SAB720839 SJX720633:SJX720839 STT720633:STT720839 TDP720633:TDP720839 TNL720633:TNL720839 TXH720633:TXH720839 UHD720633:UHD720839 UQZ720633:UQZ720839 VAV720633:VAV720839 VKR720633:VKR720839 VUN720633:VUN720839 WEJ720633:WEJ720839 WOF720633:WOF720839 WYB720633:WYB720839 BV786169:BV786375 LP786169:LP786375 VL786169:VL786375 AFH786169:AFH786375 APD786169:APD786375 AYZ786169:AYZ786375 BIV786169:BIV786375 BSR786169:BSR786375 CCN786169:CCN786375 CMJ786169:CMJ786375 CWF786169:CWF786375 DGB786169:DGB786375 DPX786169:DPX786375 DZT786169:DZT786375 EJP786169:EJP786375 ETL786169:ETL786375 FDH786169:FDH786375 FND786169:FND786375 FWZ786169:FWZ786375 GGV786169:GGV786375 GQR786169:GQR786375 HAN786169:HAN786375 HKJ786169:HKJ786375 HUF786169:HUF786375 IEB786169:IEB786375 INX786169:INX786375 IXT786169:IXT786375 JHP786169:JHP786375 JRL786169:JRL786375 KBH786169:KBH786375 KLD786169:KLD786375 KUZ786169:KUZ786375 LEV786169:LEV786375 LOR786169:LOR786375 LYN786169:LYN786375 MIJ786169:MIJ786375 MSF786169:MSF786375 NCB786169:NCB786375 NLX786169:NLX786375 NVT786169:NVT786375 OFP786169:OFP786375 OPL786169:OPL786375 OZH786169:OZH786375 PJD786169:PJD786375 PSZ786169:PSZ786375 QCV786169:QCV786375 QMR786169:QMR786375 QWN786169:QWN786375 RGJ786169:RGJ786375 RQF786169:RQF786375 SAB786169:SAB786375 SJX786169:SJX786375 STT786169:STT786375 TDP786169:TDP786375 TNL786169:TNL786375 TXH786169:TXH786375 UHD786169:UHD786375 UQZ786169:UQZ786375 VAV786169:VAV786375 VKR786169:VKR786375 VUN786169:VUN786375 WEJ786169:WEJ786375 WOF786169:WOF786375 WYB786169:WYB786375 BV851705:BV851911 LP851705:LP851911 VL851705:VL851911 AFH851705:AFH851911 APD851705:APD851911 AYZ851705:AYZ851911 BIV851705:BIV851911 BSR851705:BSR851911 CCN851705:CCN851911 CMJ851705:CMJ851911 CWF851705:CWF851911 DGB851705:DGB851911 DPX851705:DPX851911 DZT851705:DZT851911 EJP851705:EJP851911 ETL851705:ETL851911 FDH851705:FDH851911 FND851705:FND851911 FWZ851705:FWZ851911 GGV851705:GGV851911 GQR851705:GQR851911 HAN851705:HAN851911 HKJ851705:HKJ851911 HUF851705:HUF851911 IEB851705:IEB851911 INX851705:INX851911 IXT851705:IXT851911 JHP851705:JHP851911 JRL851705:JRL851911 KBH851705:KBH851911 KLD851705:KLD851911 KUZ851705:KUZ851911 LEV851705:LEV851911 LOR851705:LOR851911 LYN851705:LYN851911 MIJ851705:MIJ851911 MSF851705:MSF851911 NCB851705:NCB851911 NLX851705:NLX851911 NVT851705:NVT851911 OFP851705:OFP851911 OPL851705:OPL851911 OZH851705:OZH851911 PJD851705:PJD851911 PSZ851705:PSZ851911 QCV851705:QCV851911 QMR851705:QMR851911 QWN851705:QWN851911 RGJ851705:RGJ851911 RQF851705:RQF851911 SAB851705:SAB851911 SJX851705:SJX851911 STT851705:STT851911 TDP851705:TDP851911 TNL851705:TNL851911 TXH851705:TXH851911 UHD851705:UHD851911 UQZ851705:UQZ851911 VAV851705:VAV851911 VKR851705:VKR851911 VUN851705:VUN851911 WEJ851705:WEJ851911 WOF851705:WOF851911 WYB851705:WYB851911 BV917241:BV917447 LP917241:LP917447 VL917241:VL917447 AFH917241:AFH917447 APD917241:APD917447 AYZ917241:AYZ917447 BIV917241:BIV917447 BSR917241:BSR917447 CCN917241:CCN917447 CMJ917241:CMJ917447 CWF917241:CWF917447 DGB917241:DGB917447 DPX917241:DPX917447 DZT917241:DZT917447 EJP917241:EJP917447 ETL917241:ETL917447 FDH917241:FDH917447 FND917241:FND917447 FWZ917241:FWZ917447 GGV917241:GGV917447 GQR917241:GQR917447 HAN917241:HAN917447 HKJ917241:HKJ917447 HUF917241:HUF917447 IEB917241:IEB917447 INX917241:INX917447 IXT917241:IXT917447 JHP917241:JHP917447 JRL917241:JRL917447 KBH917241:KBH917447 KLD917241:KLD917447 KUZ917241:KUZ917447 LEV917241:LEV917447 LOR917241:LOR917447 LYN917241:LYN917447 MIJ917241:MIJ917447 MSF917241:MSF917447 NCB917241:NCB917447 NLX917241:NLX917447 NVT917241:NVT917447 OFP917241:OFP917447 OPL917241:OPL917447 OZH917241:OZH917447 PJD917241:PJD917447 PSZ917241:PSZ917447 QCV917241:QCV917447 QMR917241:QMR917447 QWN917241:QWN917447 RGJ917241:RGJ917447 RQF917241:RQF917447 SAB917241:SAB917447 SJX917241:SJX917447 STT917241:STT917447 TDP917241:TDP917447 TNL917241:TNL917447 TXH917241:TXH917447 UHD917241:UHD917447 UQZ917241:UQZ917447 VAV917241:VAV917447 VKR917241:VKR917447 VUN917241:VUN917447 WEJ917241:WEJ917447 WOF917241:WOF917447 WYB917241:WYB917447 BV982777:BV982983 LP982777:LP982983 VL982777:VL982983 AFH982777:AFH982983 APD982777:APD982983 AYZ982777:AYZ982983 BIV982777:BIV982983 BSR982777:BSR982983 CCN982777:CCN982983 CMJ982777:CMJ982983 CWF982777:CWF982983 DGB982777:DGB982983 DPX982777:DPX982983 DZT982777:DZT982983 EJP982777:EJP982983 ETL982777:ETL982983 FDH982777:FDH982983 FND982777:FND982983 FWZ982777:FWZ982983 GGV982777:GGV982983 GQR982777:GQR982983 HAN982777:HAN982983 HKJ982777:HKJ982983 HUF982777:HUF982983 IEB982777:IEB982983 INX982777:INX982983 IXT982777:IXT982983 JHP982777:JHP982983 JRL982777:JRL982983 KBH982777:KBH982983 KLD982777:KLD982983 KUZ982777:KUZ982983 LEV982777:LEV982983 LOR982777:LOR982983 LYN982777:LYN982983 MIJ982777:MIJ982983 MSF982777:MSF982983 NCB982777:NCB982983 NLX982777:NLX982983 NVT982777:NVT982983 OFP982777:OFP982983 OPL982777:OPL982983 OZH982777:OZH982983 PJD982777:PJD982983 PSZ982777:PSZ982983 QCV982777:QCV982983 QMR982777:QMR982983 QWN982777:QWN982983 RGJ982777:RGJ982983 RQF982777:RQF982983 SAB982777:SAB982983 SJX982777:SJX982983 STT982777:STT982983 TDP982777:TDP982983 TNL982777:TNL982983 TXH982777:TXH982983 UHD982777:UHD982983 UQZ982777:UQZ982983 VAV982777:VAV982983 VKR982777:VKR982983 VUN982777:VUN982983 WEJ982777:WEJ982983 WOF982777:WOF982983 WYB982777:WYB982983 WYB5:WYB11 LP5:LP11 VL5:VL11 AFH5:AFH11 APD5:APD11 AYZ5:AYZ11 BIV5:BIV11 BSR5:BSR11 CCN5:CCN11 CMJ5:CMJ11 CWF5:CWF11 DGB5:DGB11 DPX5:DPX11 DZT5:DZT11 EJP5:EJP11 ETL5:ETL11 FDH5:FDH11 FND5:FND11 FWZ5:FWZ11 GGV5:GGV11 GQR5:GQR11 HAN5:HAN11 HKJ5:HKJ11 HUF5:HUF11 IEB5:IEB11 INX5:INX11 IXT5:IXT11 JHP5:JHP11 JRL5:JRL11 KBH5:KBH11 KLD5:KLD11 KUZ5:KUZ11 LEV5:LEV11 LOR5:LOR11 LYN5:LYN11 MIJ5:MIJ11 MSF5:MSF11 NCB5:NCB11 NLX5:NLX11 NVT5:NVT11 OFP5:OFP11 OPL5:OPL11 OZH5:OZH11 PJD5:PJD11 PSZ5:PSZ11 QCV5:QCV11 QMR5:QMR11 QWN5:QWN11 RGJ5:RGJ11 RQF5:RQF11 SAB5:SAB11 SJX5:SJX11 STT5:STT11 TDP5:TDP11 TNL5:TNL11 TXH5:TXH11 UHD5:UHD11 UQZ5:UQZ11 VAV5:VAV11 VKR5:VKR11 VUN5:VUN11 WEJ5:WEJ11 WOF5:WOF11">
      <formula1>1</formula1>
      <formula2>12</formula2>
    </dataValidation>
    <dataValidation type="list" allowBlank="1" showInputMessage="1" showErrorMessage="1" sqref="CG65273:CG65475 WYI982777:WYK982979 LW5:LY11 VS5:VU11 AFO5:AFQ11 APK5:APM11 AZG5:AZI11 BJC5:BJE11 BSY5:BTA11 CCU5:CCW11 CMQ5:CMS11 CWM5:CWO11 DGI5:DGK11 DQE5:DQG11 EAA5:EAC11 EJW5:EJY11 ETS5:ETU11 FDO5:FDQ11 FNK5:FNM11 FXG5:FXI11 GHC5:GHE11 GQY5:GRA11 HAU5:HAW11 HKQ5:HKS11 HUM5:HUO11 IEI5:IEK11 IOE5:IOG11 IYA5:IYC11 JHW5:JHY11 JRS5:JRU11 KBO5:KBQ11 KLK5:KLM11 KVG5:KVI11 LFC5:LFE11 LOY5:LPA11 LYU5:LYW11 MIQ5:MIS11 MSM5:MSO11 NCI5:NCK11 NME5:NMG11 NWA5:NWC11 OFW5:OFY11 OPS5:OPU11 OZO5:OZQ11 PJK5:PJM11 PTG5:PTI11 QDC5:QDE11 QMY5:QNA11 QWU5:QWW11 RGQ5:RGS11 RQM5:RQO11 SAI5:SAK11 SKE5:SKG11 SUA5:SUC11 TDW5:TDY11 TNS5:TNU11 TXO5:TXQ11 UHK5:UHM11 URG5:URI11 VBC5:VBE11 VKY5:VLA11 VUU5:VUW11 WEQ5:WES11 WOM5:WOO11 WYI5:WYK11 LW65273:LY65475 VS65273:VU65475 AFO65273:AFQ65475 APK65273:APM65475 AZG65273:AZI65475 BJC65273:BJE65475 BSY65273:BTA65475 CCU65273:CCW65475 CMQ65273:CMS65475 CWM65273:CWO65475 DGI65273:DGK65475 DQE65273:DQG65475 EAA65273:EAC65475 EJW65273:EJY65475 ETS65273:ETU65475 FDO65273:FDQ65475 FNK65273:FNM65475 FXG65273:FXI65475 GHC65273:GHE65475 GQY65273:GRA65475 HAU65273:HAW65475 HKQ65273:HKS65475 HUM65273:HUO65475 IEI65273:IEK65475 IOE65273:IOG65475 IYA65273:IYC65475 JHW65273:JHY65475 JRS65273:JRU65475 KBO65273:KBQ65475 KLK65273:KLM65475 KVG65273:KVI65475 LFC65273:LFE65475 LOY65273:LPA65475 LYU65273:LYW65475 MIQ65273:MIS65475 MSM65273:MSO65475 NCI65273:NCK65475 NME65273:NMG65475 NWA65273:NWC65475 OFW65273:OFY65475 OPS65273:OPU65475 OZO65273:OZQ65475 PJK65273:PJM65475 PTG65273:PTI65475 QDC65273:QDE65475 QMY65273:QNA65475 QWU65273:QWW65475 RGQ65273:RGS65475 RQM65273:RQO65475 SAI65273:SAK65475 SKE65273:SKG65475 SUA65273:SUC65475 TDW65273:TDY65475 TNS65273:TNU65475 TXO65273:TXQ65475 UHK65273:UHM65475 URG65273:URI65475 VBC65273:VBE65475 VKY65273:VLA65475 VUU65273:VUW65475 WEQ65273:WES65475 WOM65273:WOO65475 WYI65273:WYK65475 CG130809:CG131011 LW130809:LY131011 VS130809:VU131011 AFO130809:AFQ131011 APK130809:APM131011 AZG130809:AZI131011 BJC130809:BJE131011 BSY130809:BTA131011 CCU130809:CCW131011 CMQ130809:CMS131011 CWM130809:CWO131011 DGI130809:DGK131011 DQE130809:DQG131011 EAA130809:EAC131011 EJW130809:EJY131011 ETS130809:ETU131011 FDO130809:FDQ131011 FNK130809:FNM131011 FXG130809:FXI131011 GHC130809:GHE131011 GQY130809:GRA131011 HAU130809:HAW131011 HKQ130809:HKS131011 HUM130809:HUO131011 IEI130809:IEK131011 IOE130809:IOG131011 IYA130809:IYC131011 JHW130809:JHY131011 JRS130809:JRU131011 KBO130809:KBQ131011 KLK130809:KLM131011 KVG130809:KVI131011 LFC130809:LFE131011 LOY130809:LPA131011 LYU130809:LYW131011 MIQ130809:MIS131011 MSM130809:MSO131011 NCI130809:NCK131011 NME130809:NMG131011 NWA130809:NWC131011 OFW130809:OFY131011 OPS130809:OPU131011 OZO130809:OZQ131011 PJK130809:PJM131011 PTG130809:PTI131011 QDC130809:QDE131011 QMY130809:QNA131011 QWU130809:QWW131011 RGQ130809:RGS131011 RQM130809:RQO131011 SAI130809:SAK131011 SKE130809:SKG131011 SUA130809:SUC131011 TDW130809:TDY131011 TNS130809:TNU131011 TXO130809:TXQ131011 UHK130809:UHM131011 URG130809:URI131011 VBC130809:VBE131011 VKY130809:VLA131011 VUU130809:VUW131011 WEQ130809:WES131011 WOM130809:WOO131011 WYI130809:WYK131011 CG196345:CG196547 LW196345:LY196547 VS196345:VU196547 AFO196345:AFQ196547 APK196345:APM196547 AZG196345:AZI196547 BJC196345:BJE196547 BSY196345:BTA196547 CCU196345:CCW196547 CMQ196345:CMS196547 CWM196345:CWO196547 DGI196345:DGK196547 DQE196345:DQG196547 EAA196345:EAC196547 EJW196345:EJY196547 ETS196345:ETU196547 FDO196345:FDQ196547 FNK196345:FNM196547 FXG196345:FXI196547 GHC196345:GHE196547 GQY196345:GRA196547 HAU196345:HAW196547 HKQ196345:HKS196547 HUM196345:HUO196547 IEI196345:IEK196547 IOE196345:IOG196547 IYA196345:IYC196547 JHW196345:JHY196547 JRS196345:JRU196547 KBO196345:KBQ196547 KLK196345:KLM196547 KVG196345:KVI196547 LFC196345:LFE196547 LOY196345:LPA196547 LYU196345:LYW196547 MIQ196345:MIS196547 MSM196345:MSO196547 NCI196345:NCK196547 NME196345:NMG196547 NWA196345:NWC196547 OFW196345:OFY196547 OPS196345:OPU196547 OZO196345:OZQ196547 PJK196345:PJM196547 PTG196345:PTI196547 QDC196345:QDE196547 QMY196345:QNA196547 QWU196345:QWW196547 RGQ196345:RGS196547 RQM196345:RQO196547 SAI196345:SAK196547 SKE196345:SKG196547 SUA196345:SUC196547 TDW196345:TDY196547 TNS196345:TNU196547 TXO196345:TXQ196547 UHK196345:UHM196547 URG196345:URI196547 VBC196345:VBE196547 VKY196345:VLA196547 VUU196345:VUW196547 WEQ196345:WES196547 WOM196345:WOO196547 WYI196345:WYK196547 CG261881:CG262083 LW261881:LY262083 VS261881:VU262083 AFO261881:AFQ262083 APK261881:APM262083 AZG261881:AZI262083 BJC261881:BJE262083 BSY261881:BTA262083 CCU261881:CCW262083 CMQ261881:CMS262083 CWM261881:CWO262083 DGI261881:DGK262083 DQE261881:DQG262083 EAA261881:EAC262083 EJW261881:EJY262083 ETS261881:ETU262083 FDO261881:FDQ262083 FNK261881:FNM262083 FXG261881:FXI262083 GHC261881:GHE262083 GQY261881:GRA262083 HAU261881:HAW262083 HKQ261881:HKS262083 HUM261881:HUO262083 IEI261881:IEK262083 IOE261881:IOG262083 IYA261881:IYC262083 JHW261881:JHY262083 JRS261881:JRU262083 KBO261881:KBQ262083 KLK261881:KLM262083 KVG261881:KVI262083 LFC261881:LFE262083 LOY261881:LPA262083 LYU261881:LYW262083 MIQ261881:MIS262083 MSM261881:MSO262083 NCI261881:NCK262083 NME261881:NMG262083 NWA261881:NWC262083 OFW261881:OFY262083 OPS261881:OPU262083 OZO261881:OZQ262083 PJK261881:PJM262083 PTG261881:PTI262083 QDC261881:QDE262083 QMY261881:QNA262083 QWU261881:QWW262083 RGQ261881:RGS262083 RQM261881:RQO262083 SAI261881:SAK262083 SKE261881:SKG262083 SUA261881:SUC262083 TDW261881:TDY262083 TNS261881:TNU262083 TXO261881:TXQ262083 UHK261881:UHM262083 URG261881:URI262083 VBC261881:VBE262083 VKY261881:VLA262083 VUU261881:VUW262083 WEQ261881:WES262083 WOM261881:WOO262083 WYI261881:WYK262083 CG327417:CG327619 LW327417:LY327619 VS327417:VU327619 AFO327417:AFQ327619 APK327417:APM327619 AZG327417:AZI327619 BJC327417:BJE327619 BSY327417:BTA327619 CCU327417:CCW327619 CMQ327417:CMS327619 CWM327417:CWO327619 DGI327417:DGK327619 DQE327417:DQG327619 EAA327417:EAC327619 EJW327417:EJY327619 ETS327417:ETU327619 FDO327417:FDQ327619 FNK327417:FNM327619 FXG327417:FXI327619 GHC327417:GHE327619 GQY327417:GRA327619 HAU327417:HAW327619 HKQ327417:HKS327619 HUM327417:HUO327619 IEI327417:IEK327619 IOE327417:IOG327619 IYA327417:IYC327619 JHW327417:JHY327619 JRS327417:JRU327619 KBO327417:KBQ327619 KLK327417:KLM327619 KVG327417:KVI327619 LFC327417:LFE327619 LOY327417:LPA327619 LYU327417:LYW327619 MIQ327417:MIS327619 MSM327417:MSO327619 NCI327417:NCK327619 NME327417:NMG327619 NWA327417:NWC327619 OFW327417:OFY327619 OPS327417:OPU327619 OZO327417:OZQ327619 PJK327417:PJM327619 PTG327417:PTI327619 QDC327417:QDE327619 QMY327417:QNA327619 QWU327417:QWW327619 RGQ327417:RGS327619 RQM327417:RQO327619 SAI327417:SAK327619 SKE327417:SKG327619 SUA327417:SUC327619 TDW327417:TDY327619 TNS327417:TNU327619 TXO327417:TXQ327619 UHK327417:UHM327619 URG327417:URI327619 VBC327417:VBE327619 VKY327417:VLA327619 VUU327417:VUW327619 WEQ327417:WES327619 WOM327417:WOO327619 WYI327417:WYK327619 CG392953:CG393155 LW392953:LY393155 VS392953:VU393155 AFO392953:AFQ393155 APK392953:APM393155 AZG392953:AZI393155 BJC392953:BJE393155 BSY392953:BTA393155 CCU392953:CCW393155 CMQ392953:CMS393155 CWM392953:CWO393155 DGI392953:DGK393155 DQE392953:DQG393155 EAA392953:EAC393155 EJW392953:EJY393155 ETS392953:ETU393155 FDO392953:FDQ393155 FNK392953:FNM393155 FXG392953:FXI393155 GHC392953:GHE393155 GQY392953:GRA393155 HAU392953:HAW393155 HKQ392953:HKS393155 HUM392953:HUO393155 IEI392953:IEK393155 IOE392953:IOG393155 IYA392953:IYC393155 JHW392953:JHY393155 JRS392953:JRU393155 KBO392953:KBQ393155 KLK392953:KLM393155 KVG392953:KVI393155 LFC392953:LFE393155 LOY392953:LPA393155 LYU392953:LYW393155 MIQ392953:MIS393155 MSM392953:MSO393155 NCI392953:NCK393155 NME392953:NMG393155 NWA392953:NWC393155 OFW392953:OFY393155 OPS392953:OPU393155 OZO392953:OZQ393155 PJK392953:PJM393155 PTG392953:PTI393155 QDC392953:QDE393155 QMY392953:QNA393155 QWU392953:QWW393155 RGQ392953:RGS393155 RQM392953:RQO393155 SAI392953:SAK393155 SKE392953:SKG393155 SUA392953:SUC393155 TDW392953:TDY393155 TNS392953:TNU393155 TXO392953:TXQ393155 UHK392953:UHM393155 URG392953:URI393155 VBC392953:VBE393155 VKY392953:VLA393155 VUU392953:VUW393155 WEQ392953:WES393155 WOM392953:WOO393155 WYI392953:WYK393155 CG458489:CG458691 LW458489:LY458691 VS458489:VU458691 AFO458489:AFQ458691 APK458489:APM458691 AZG458489:AZI458691 BJC458489:BJE458691 BSY458489:BTA458691 CCU458489:CCW458691 CMQ458489:CMS458691 CWM458489:CWO458691 DGI458489:DGK458691 DQE458489:DQG458691 EAA458489:EAC458691 EJW458489:EJY458691 ETS458489:ETU458691 FDO458489:FDQ458691 FNK458489:FNM458691 FXG458489:FXI458691 GHC458489:GHE458691 GQY458489:GRA458691 HAU458489:HAW458691 HKQ458489:HKS458691 HUM458489:HUO458691 IEI458489:IEK458691 IOE458489:IOG458691 IYA458489:IYC458691 JHW458489:JHY458691 JRS458489:JRU458691 KBO458489:KBQ458691 KLK458489:KLM458691 KVG458489:KVI458691 LFC458489:LFE458691 LOY458489:LPA458691 LYU458489:LYW458691 MIQ458489:MIS458691 MSM458489:MSO458691 NCI458489:NCK458691 NME458489:NMG458691 NWA458489:NWC458691 OFW458489:OFY458691 OPS458489:OPU458691 OZO458489:OZQ458691 PJK458489:PJM458691 PTG458489:PTI458691 QDC458489:QDE458691 QMY458489:QNA458691 QWU458489:QWW458691 RGQ458489:RGS458691 RQM458489:RQO458691 SAI458489:SAK458691 SKE458489:SKG458691 SUA458489:SUC458691 TDW458489:TDY458691 TNS458489:TNU458691 TXO458489:TXQ458691 UHK458489:UHM458691 URG458489:URI458691 VBC458489:VBE458691 VKY458489:VLA458691 VUU458489:VUW458691 WEQ458489:WES458691 WOM458489:WOO458691 WYI458489:WYK458691 CG524025:CG524227 LW524025:LY524227 VS524025:VU524227 AFO524025:AFQ524227 APK524025:APM524227 AZG524025:AZI524227 BJC524025:BJE524227 BSY524025:BTA524227 CCU524025:CCW524227 CMQ524025:CMS524227 CWM524025:CWO524227 DGI524025:DGK524227 DQE524025:DQG524227 EAA524025:EAC524227 EJW524025:EJY524227 ETS524025:ETU524227 FDO524025:FDQ524227 FNK524025:FNM524227 FXG524025:FXI524227 GHC524025:GHE524227 GQY524025:GRA524227 HAU524025:HAW524227 HKQ524025:HKS524227 HUM524025:HUO524227 IEI524025:IEK524227 IOE524025:IOG524227 IYA524025:IYC524227 JHW524025:JHY524227 JRS524025:JRU524227 KBO524025:KBQ524227 KLK524025:KLM524227 KVG524025:KVI524227 LFC524025:LFE524227 LOY524025:LPA524227 LYU524025:LYW524227 MIQ524025:MIS524227 MSM524025:MSO524227 NCI524025:NCK524227 NME524025:NMG524227 NWA524025:NWC524227 OFW524025:OFY524227 OPS524025:OPU524227 OZO524025:OZQ524227 PJK524025:PJM524227 PTG524025:PTI524227 QDC524025:QDE524227 QMY524025:QNA524227 QWU524025:QWW524227 RGQ524025:RGS524227 RQM524025:RQO524227 SAI524025:SAK524227 SKE524025:SKG524227 SUA524025:SUC524227 TDW524025:TDY524227 TNS524025:TNU524227 TXO524025:TXQ524227 UHK524025:UHM524227 URG524025:URI524227 VBC524025:VBE524227 VKY524025:VLA524227 VUU524025:VUW524227 WEQ524025:WES524227 WOM524025:WOO524227 WYI524025:WYK524227 CG589561:CG589763 LW589561:LY589763 VS589561:VU589763 AFO589561:AFQ589763 APK589561:APM589763 AZG589561:AZI589763 BJC589561:BJE589763 BSY589561:BTA589763 CCU589561:CCW589763 CMQ589561:CMS589763 CWM589561:CWO589763 DGI589561:DGK589763 DQE589561:DQG589763 EAA589561:EAC589763 EJW589561:EJY589763 ETS589561:ETU589763 FDO589561:FDQ589763 FNK589561:FNM589763 FXG589561:FXI589763 GHC589561:GHE589763 GQY589561:GRA589763 HAU589561:HAW589763 HKQ589561:HKS589763 HUM589561:HUO589763 IEI589561:IEK589763 IOE589561:IOG589763 IYA589561:IYC589763 JHW589561:JHY589763 JRS589561:JRU589763 KBO589561:KBQ589763 KLK589561:KLM589763 KVG589561:KVI589763 LFC589561:LFE589763 LOY589561:LPA589763 LYU589561:LYW589763 MIQ589561:MIS589763 MSM589561:MSO589763 NCI589561:NCK589763 NME589561:NMG589763 NWA589561:NWC589763 OFW589561:OFY589763 OPS589561:OPU589763 OZO589561:OZQ589763 PJK589561:PJM589763 PTG589561:PTI589763 QDC589561:QDE589763 QMY589561:QNA589763 QWU589561:QWW589763 RGQ589561:RGS589763 RQM589561:RQO589763 SAI589561:SAK589763 SKE589561:SKG589763 SUA589561:SUC589763 TDW589561:TDY589763 TNS589561:TNU589763 TXO589561:TXQ589763 UHK589561:UHM589763 URG589561:URI589763 VBC589561:VBE589763 VKY589561:VLA589763 VUU589561:VUW589763 WEQ589561:WES589763 WOM589561:WOO589763 WYI589561:WYK589763 CG655097:CG655299 LW655097:LY655299 VS655097:VU655299 AFO655097:AFQ655299 APK655097:APM655299 AZG655097:AZI655299 BJC655097:BJE655299 BSY655097:BTA655299 CCU655097:CCW655299 CMQ655097:CMS655299 CWM655097:CWO655299 DGI655097:DGK655299 DQE655097:DQG655299 EAA655097:EAC655299 EJW655097:EJY655299 ETS655097:ETU655299 FDO655097:FDQ655299 FNK655097:FNM655299 FXG655097:FXI655299 GHC655097:GHE655299 GQY655097:GRA655299 HAU655097:HAW655299 HKQ655097:HKS655299 HUM655097:HUO655299 IEI655097:IEK655299 IOE655097:IOG655299 IYA655097:IYC655299 JHW655097:JHY655299 JRS655097:JRU655299 KBO655097:KBQ655299 KLK655097:KLM655299 KVG655097:KVI655299 LFC655097:LFE655299 LOY655097:LPA655299 LYU655097:LYW655299 MIQ655097:MIS655299 MSM655097:MSO655299 NCI655097:NCK655299 NME655097:NMG655299 NWA655097:NWC655299 OFW655097:OFY655299 OPS655097:OPU655299 OZO655097:OZQ655299 PJK655097:PJM655299 PTG655097:PTI655299 QDC655097:QDE655299 QMY655097:QNA655299 QWU655097:QWW655299 RGQ655097:RGS655299 RQM655097:RQO655299 SAI655097:SAK655299 SKE655097:SKG655299 SUA655097:SUC655299 TDW655097:TDY655299 TNS655097:TNU655299 TXO655097:TXQ655299 UHK655097:UHM655299 URG655097:URI655299 VBC655097:VBE655299 VKY655097:VLA655299 VUU655097:VUW655299 WEQ655097:WES655299 WOM655097:WOO655299 WYI655097:WYK655299 CG720633:CG720835 LW720633:LY720835 VS720633:VU720835 AFO720633:AFQ720835 APK720633:APM720835 AZG720633:AZI720835 BJC720633:BJE720835 BSY720633:BTA720835 CCU720633:CCW720835 CMQ720633:CMS720835 CWM720633:CWO720835 DGI720633:DGK720835 DQE720633:DQG720835 EAA720633:EAC720835 EJW720633:EJY720835 ETS720633:ETU720835 FDO720633:FDQ720835 FNK720633:FNM720835 FXG720633:FXI720835 GHC720633:GHE720835 GQY720633:GRA720835 HAU720633:HAW720835 HKQ720633:HKS720835 HUM720633:HUO720835 IEI720633:IEK720835 IOE720633:IOG720835 IYA720633:IYC720835 JHW720633:JHY720835 JRS720633:JRU720835 KBO720633:KBQ720835 KLK720633:KLM720835 KVG720633:KVI720835 LFC720633:LFE720835 LOY720633:LPA720835 LYU720633:LYW720835 MIQ720633:MIS720835 MSM720633:MSO720835 NCI720633:NCK720835 NME720633:NMG720835 NWA720633:NWC720835 OFW720633:OFY720835 OPS720633:OPU720835 OZO720633:OZQ720835 PJK720633:PJM720835 PTG720633:PTI720835 QDC720633:QDE720835 QMY720633:QNA720835 QWU720633:QWW720835 RGQ720633:RGS720835 RQM720633:RQO720835 SAI720633:SAK720835 SKE720633:SKG720835 SUA720633:SUC720835 TDW720633:TDY720835 TNS720633:TNU720835 TXO720633:TXQ720835 UHK720633:UHM720835 URG720633:URI720835 VBC720633:VBE720835 VKY720633:VLA720835 VUU720633:VUW720835 WEQ720633:WES720835 WOM720633:WOO720835 WYI720633:WYK720835 CG786169:CG786371 LW786169:LY786371 VS786169:VU786371 AFO786169:AFQ786371 APK786169:APM786371 AZG786169:AZI786371 BJC786169:BJE786371 BSY786169:BTA786371 CCU786169:CCW786371 CMQ786169:CMS786371 CWM786169:CWO786371 DGI786169:DGK786371 DQE786169:DQG786371 EAA786169:EAC786371 EJW786169:EJY786371 ETS786169:ETU786371 FDO786169:FDQ786371 FNK786169:FNM786371 FXG786169:FXI786371 GHC786169:GHE786371 GQY786169:GRA786371 HAU786169:HAW786371 HKQ786169:HKS786371 HUM786169:HUO786371 IEI786169:IEK786371 IOE786169:IOG786371 IYA786169:IYC786371 JHW786169:JHY786371 JRS786169:JRU786371 KBO786169:KBQ786371 KLK786169:KLM786371 KVG786169:KVI786371 LFC786169:LFE786371 LOY786169:LPA786371 LYU786169:LYW786371 MIQ786169:MIS786371 MSM786169:MSO786371 NCI786169:NCK786371 NME786169:NMG786371 NWA786169:NWC786371 OFW786169:OFY786371 OPS786169:OPU786371 OZO786169:OZQ786371 PJK786169:PJM786371 PTG786169:PTI786371 QDC786169:QDE786371 QMY786169:QNA786371 QWU786169:QWW786371 RGQ786169:RGS786371 RQM786169:RQO786371 SAI786169:SAK786371 SKE786169:SKG786371 SUA786169:SUC786371 TDW786169:TDY786371 TNS786169:TNU786371 TXO786169:TXQ786371 UHK786169:UHM786371 URG786169:URI786371 VBC786169:VBE786371 VKY786169:VLA786371 VUU786169:VUW786371 WEQ786169:WES786371 WOM786169:WOO786371 WYI786169:WYK786371 CG851705:CG851907 LW851705:LY851907 VS851705:VU851907 AFO851705:AFQ851907 APK851705:APM851907 AZG851705:AZI851907 BJC851705:BJE851907 BSY851705:BTA851907 CCU851705:CCW851907 CMQ851705:CMS851907 CWM851705:CWO851907 DGI851705:DGK851907 DQE851705:DQG851907 EAA851705:EAC851907 EJW851705:EJY851907 ETS851705:ETU851907 FDO851705:FDQ851907 FNK851705:FNM851907 FXG851705:FXI851907 GHC851705:GHE851907 GQY851705:GRA851907 HAU851705:HAW851907 HKQ851705:HKS851907 HUM851705:HUO851907 IEI851705:IEK851907 IOE851705:IOG851907 IYA851705:IYC851907 JHW851705:JHY851907 JRS851705:JRU851907 KBO851705:KBQ851907 KLK851705:KLM851907 KVG851705:KVI851907 LFC851705:LFE851907 LOY851705:LPA851907 LYU851705:LYW851907 MIQ851705:MIS851907 MSM851705:MSO851907 NCI851705:NCK851907 NME851705:NMG851907 NWA851705:NWC851907 OFW851705:OFY851907 OPS851705:OPU851907 OZO851705:OZQ851907 PJK851705:PJM851907 PTG851705:PTI851907 QDC851705:QDE851907 QMY851705:QNA851907 QWU851705:QWW851907 RGQ851705:RGS851907 RQM851705:RQO851907 SAI851705:SAK851907 SKE851705:SKG851907 SUA851705:SUC851907 TDW851705:TDY851907 TNS851705:TNU851907 TXO851705:TXQ851907 UHK851705:UHM851907 URG851705:URI851907 VBC851705:VBE851907 VKY851705:VLA851907 VUU851705:VUW851907 WEQ851705:WES851907 WOM851705:WOO851907 WYI851705:WYK851907 CG917241:CG917443 LW917241:LY917443 VS917241:VU917443 AFO917241:AFQ917443 APK917241:APM917443 AZG917241:AZI917443 BJC917241:BJE917443 BSY917241:BTA917443 CCU917241:CCW917443 CMQ917241:CMS917443 CWM917241:CWO917443 DGI917241:DGK917443 DQE917241:DQG917443 EAA917241:EAC917443 EJW917241:EJY917443 ETS917241:ETU917443 FDO917241:FDQ917443 FNK917241:FNM917443 FXG917241:FXI917443 GHC917241:GHE917443 GQY917241:GRA917443 HAU917241:HAW917443 HKQ917241:HKS917443 HUM917241:HUO917443 IEI917241:IEK917443 IOE917241:IOG917443 IYA917241:IYC917443 JHW917241:JHY917443 JRS917241:JRU917443 KBO917241:KBQ917443 KLK917241:KLM917443 KVG917241:KVI917443 LFC917241:LFE917443 LOY917241:LPA917443 LYU917241:LYW917443 MIQ917241:MIS917443 MSM917241:MSO917443 NCI917241:NCK917443 NME917241:NMG917443 NWA917241:NWC917443 OFW917241:OFY917443 OPS917241:OPU917443 OZO917241:OZQ917443 PJK917241:PJM917443 PTG917241:PTI917443 QDC917241:QDE917443 QMY917241:QNA917443 QWU917241:QWW917443 RGQ917241:RGS917443 RQM917241:RQO917443 SAI917241:SAK917443 SKE917241:SKG917443 SUA917241:SUC917443 TDW917241:TDY917443 TNS917241:TNU917443 TXO917241:TXQ917443 UHK917241:UHM917443 URG917241:URI917443 VBC917241:VBE917443 VKY917241:VLA917443 VUU917241:VUW917443 WEQ917241:WES917443 WOM917241:WOO917443 WYI917241:WYK917443 CG982777:CG982979 LW982777:LY982979 VS982777:VU982979 AFO982777:AFQ982979 APK982777:APM982979 AZG982777:AZI982979 BJC982777:BJE982979 BSY982777:BTA982979 CCU982777:CCW982979 CMQ982777:CMS982979 CWM982777:CWO982979 DGI982777:DGK982979 DQE982777:DQG982979 EAA982777:EAC982979 EJW982777:EJY982979 ETS982777:ETU982979 FDO982777:FDQ982979 FNK982777:FNM982979 FXG982777:FXI982979 GHC982777:GHE982979 GQY982777:GRA982979 HAU982777:HAW982979 HKQ982777:HKS982979 HUM982777:HUO982979 IEI982777:IEK982979 IOE982777:IOG982979 IYA982777:IYC982979 JHW982777:JHY982979 JRS982777:JRU982979 KBO982777:KBQ982979 KLK982777:KLM982979 KVG982777:KVI982979 LFC982777:LFE982979 LOY982777:LPA982979 LYU982777:LYW982979 MIQ982777:MIS982979 MSM982777:MSO982979 NCI982777:NCK982979 NME982777:NMG982979 NWA982777:NWC982979 OFW982777:OFY982979 OPS982777:OPU982979 OZO982777:OZQ982979 PJK982777:PJM982979 PTG982777:PTI982979 QDC982777:QDE982979 QMY982777:QNA982979 QWU982777:QWW982979 RGQ982777:RGS982979 RQM982777:RQO982979 SAI982777:SAK982979 SKE982777:SKG982979 SUA982777:SUC982979 TDW982777:TDY982979 TNS982777:TNU982979 TXO982777:TXQ982979 UHK982777:UHM982979 URG982777:URI982979 VBC982777:VBE982979 VKY982777:VLA982979 VUU982777:VUW982979 WEQ982777:WES982979 WOM982777:WOO982979">
      <formula1>$G$12:$G$12</formula1>
    </dataValidation>
    <dataValidation type="list" allowBlank="1" showInputMessage="1" showErrorMessage="1" sqref="WWP982980:WWP982983 X65476:X65479 KD65476:KD65479 TZ65476:TZ65479 ADV65476:ADV65479 ANR65476:ANR65479 AXN65476:AXN65479 BHJ65476:BHJ65479 BRF65476:BRF65479 CBB65476:CBB65479 CKX65476:CKX65479 CUT65476:CUT65479 DEP65476:DEP65479 DOL65476:DOL65479 DYH65476:DYH65479 EID65476:EID65479 ERZ65476:ERZ65479 FBV65476:FBV65479 FLR65476:FLR65479 FVN65476:FVN65479 GFJ65476:GFJ65479 GPF65476:GPF65479 GZB65476:GZB65479 HIX65476:HIX65479 HST65476:HST65479 ICP65476:ICP65479 IML65476:IML65479 IWH65476:IWH65479 JGD65476:JGD65479 JPZ65476:JPZ65479 JZV65476:JZV65479 KJR65476:KJR65479 KTN65476:KTN65479 LDJ65476:LDJ65479 LNF65476:LNF65479 LXB65476:LXB65479 MGX65476:MGX65479 MQT65476:MQT65479 NAP65476:NAP65479 NKL65476:NKL65479 NUH65476:NUH65479 OED65476:OED65479 ONZ65476:ONZ65479 OXV65476:OXV65479 PHR65476:PHR65479 PRN65476:PRN65479 QBJ65476:QBJ65479 QLF65476:QLF65479 QVB65476:QVB65479 REX65476:REX65479 ROT65476:ROT65479 RYP65476:RYP65479 SIL65476:SIL65479 SSH65476:SSH65479 TCD65476:TCD65479 TLZ65476:TLZ65479 TVV65476:TVV65479 UFR65476:UFR65479 UPN65476:UPN65479 UZJ65476:UZJ65479 VJF65476:VJF65479 VTB65476:VTB65479 WCX65476:WCX65479 WMT65476:WMT65479 WWP65476:WWP65479 X131012:X131015 KD131012:KD131015 TZ131012:TZ131015 ADV131012:ADV131015 ANR131012:ANR131015 AXN131012:AXN131015 BHJ131012:BHJ131015 BRF131012:BRF131015 CBB131012:CBB131015 CKX131012:CKX131015 CUT131012:CUT131015 DEP131012:DEP131015 DOL131012:DOL131015 DYH131012:DYH131015 EID131012:EID131015 ERZ131012:ERZ131015 FBV131012:FBV131015 FLR131012:FLR131015 FVN131012:FVN131015 GFJ131012:GFJ131015 GPF131012:GPF131015 GZB131012:GZB131015 HIX131012:HIX131015 HST131012:HST131015 ICP131012:ICP131015 IML131012:IML131015 IWH131012:IWH131015 JGD131012:JGD131015 JPZ131012:JPZ131015 JZV131012:JZV131015 KJR131012:KJR131015 KTN131012:KTN131015 LDJ131012:LDJ131015 LNF131012:LNF131015 LXB131012:LXB131015 MGX131012:MGX131015 MQT131012:MQT131015 NAP131012:NAP131015 NKL131012:NKL131015 NUH131012:NUH131015 OED131012:OED131015 ONZ131012:ONZ131015 OXV131012:OXV131015 PHR131012:PHR131015 PRN131012:PRN131015 QBJ131012:QBJ131015 QLF131012:QLF131015 QVB131012:QVB131015 REX131012:REX131015 ROT131012:ROT131015 RYP131012:RYP131015 SIL131012:SIL131015 SSH131012:SSH131015 TCD131012:TCD131015 TLZ131012:TLZ131015 TVV131012:TVV131015 UFR131012:UFR131015 UPN131012:UPN131015 UZJ131012:UZJ131015 VJF131012:VJF131015 VTB131012:VTB131015 WCX131012:WCX131015 WMT131012:WMT131015 WWP131012:WWP131015 X196548:X196551 KD196548:KD196551 TZ196548:TZ196551 ADV196548:ADV196551 ANR196548:ANR196551 AXN196548:AXN196551 BHJ196548:BHJ196551 BRF196548:BRF196551 CBB196548:CBB196551 CKX196548:CKX196551 CUT196548:CUT196551 DEP196548:DEP196551 DOL196548:DOL196551 DYH196548:DYH196551 EID196548:EID196551 ERZ196548:ERZ196551 FBV196548:FBV196551 FLR196548:FLR196551 FVN196548:FVN196551 GFJ196548:GFJ196551 GPF196548:GPF196551 GZB196548:GZB196551 HIX196548:HIX196551 HST196548:HST196551 ICP196548:ICP196551 IML196548:IML196551 IWH196548:IWH196551 JGD196548:JGD196551 JPZ196548:JPZ196551 JZV196548:JZV196551 KJR196548:KJR196551 KTN196548:KTN196551 LDJ196548:LDJ196551 LNF196548:LNF196551 LXB196548:LXB196551 MGX196548:MGX196551 MQT196548:MQT196551 NAP196548:NAP196551 NKL196548:NKL196551 NUH196548:NUH196551 OED196548:OED196551 ONZ196548:ONZ196551 OXV196548:OXV196551 PHR196548:PHR196551 PRN196548:PRN196551 QBJ196548:QBJ196551 QLF196548:QLF196551 QVB196548:QVB196551 REX196548:REX196551 ROT196548:ROT196551 RYP196548:RYP196551 SIL196548:SIL196551 SSH196548:SSH196551 TCD196548:TCD196551 TLZ196548:TLZ196551 TVV196548:TVV196551 UFR196548:UFR196551 UPN196548:UPN196551 UZJ196548:UZJ196551 VJF196548:VJF196551 VTB196548:VTB196551 WCX196548:WCX196551 WMT196548:WMT196551 WWP196548:WWP196551 X262084:X262087 KD262084:KD262087 TZ262084:TZ262087 ADV262084:ADV262087 ANR262084:ANR262087 AXN262084:AXN262087 BHJ262084:BHJ262087 BRF262084:BRF262087 CBB262084:CBB262087 CKX262084:CKX262087 CUT262084:CUT262087 DEP262084:DEP262087 DOL262084:DOL262087 DYH262084:DYH262087 EID262084:EID262087 ERZ262084:ERZ262087 FBV262084:FBV262087 FLR262084:FLR262087 FVN262084:FVN262087 GFJ262084:GFJ262087 GPF262084:GPF262087 GZB262084:GZB262087 HIX262084:HIX262087 HST262084:HST262087 ICP262084:ICP262087 IML262084:IML262087 IWH262084:IWH262087 JGD262084:JGD262087 JPZ262084:JPZ262087 JZV262084:JZV262087 KJR262084:KJR262087 KTN262084:KTN262087 LDJ262084:LDJ262087 LNF262084:LNF262087 LXB262084:LXB262087 MGX262084:MGX262087 MQT262084:MQT262087 NAP262084:NAP262087 NKL262084:NKL262087 NUH262084:NUH262087 OED262084:OED262087 ONZ262084:ONZ262087 OXV262084:OXV262087 PHR262084:PHR262087 PRN262084:PRN262087 QBJ262084:QBJ262087 QLF262084:QLF262087 QVB262084:QVB262087 REX262084:REX262087 ROT262084:ROT262087 RYP262084:RYP262087 SIL262084:SIL262087 SSH262084:SSH262087 TCD262084:TCD262087 TLZ262084:TLZ262087 TVV262084:TVV262087 UFR262084:UFR262087 UPN262084:UPN262087 UZJ262084:UZJ262087 VJF262084:VJF262087 VTB262084:VTB262087 WCX262084:WCX262087 WMT262084:WMT262087 WWP262084:WWP262087 X327620:X327623 KD327620:KD327623 TZ327620:TZ327623 ADV327620:ADV327623 ANR327620:ANR327623 AXN327620:AXN327623 BHJ327620:BHJ327623 BRF327620:BRF327623 CBB327620:CBB327623 CKX327620:CKX327623 CUT327620:CUT327623 DEP327620:DEP327623 DOL327620:DOL327623 DYH327620:DYH327623 EID327620:EID327623 ERZ327620:ERZ327623 FBV327620:FBV327623 FLR327620:FLR327623 FVN327620:FVN327623 GFJ327620:GFJ327623 GPF327620:GPF327623 GZB327620:GZB327623 HIX327620:HIX327623 HST327620:HST327623 ICP327620:ICP327623 IML327620:IML327623 IWH327620:IWH327623 JGD327620:JGD327623 JPZ327620:JPZ327623 JZV327620:JZV327623 KJR327620:KJR327623 KTN327620:KTN327623 LDJ327620:LDJ327623 LNF327620:LNF327623 LXB327620:LXB327623 MGX327620:MGX327623 MQT327620:MQT327623 NAP327620:NAP327623 NKL327620:NKL327623 NUH327620:NUH327623 OED327620:OED327623 ONZ327620:ONZ327623 OXV327620:OXV327623 PHR327620:PHR327623 PRN327620:PRN327623 QBJ327620:QBJ327623 QLF327620:QLF327623 QVB327620:QVB327623 REX327620:REX327623 ROT327620:ROT327623 RYP327620:RYP327623 SIL327620:SIL327623 SSH327620:SSH327623 TCD327620:TCD327623 TLZ327620:TLZ327623 TVV327620:TVV327623 UFR327620:UFR327623 UPN327620:UPN327623 UZJ327620:UZJ327623 VJF327620:VJF327623 VTB327620:VTB327623 WCX327620:WCX327623 WMT327620:WMT327623 WWP327620:WWP327623 X393156:X393159 KD393156:KD393159 TZ393156:TZ393159 ADV393156:ADV393159 ANR393156:ANR393159 AXN393156:AXN393159 BHJ393156:BHJ393159 BRF393156:BRF393159 CBB393156:CBB393159 CKX393156:CKX393159 CUT393156:CUT393159 DEP393156:DEP393159 DOL393156:DOL393159 DYH393156:DYH393159 EID393156:EID393159 ERZ393156:ERZ393159 FBV393156:FBV393159 FLR393156:FLR393159 FVN393156:FVN393159 GFJ393156:GFJ393159 GPF393156:GPF393159 GZB393156:GZB393159 HIX393156:HIX393159 HST393156:HST393159 ICP393156:ICP393159 IML393156:IML393159 IWH393156:IWH393159 JGD393156:JGD393159 JPZ393156:JPZ393159 JZV393156:JZV393159 KJR393156:KJR393159 KTN393156:KTN393159 LDJ393156:LDJ393159 LNF393156:LNF393159 LXB393156:LXB393159 MGX393156:MGX393159 MQT393156:MQT393159 NAP393156:NAP393159 NKL393156:NKL393159 NUH393156:NUH393159 OED393156:OED393159 ONZ393156:ONZ393159 OXV393156:OXV393159 PHR393156:PHR393159 PRN393156:PRN393159 QBJ393156:QBJ393159 QLF393156:QLF393159 QVB393156:QVB393159 REX393156:REX393159 ROT393156:ROT393159 RYP393156:RYP393159 SIL393156:SIL393159 SSH393156:SSH393159 TCD393156:TCD393159 TLZ393156:TLZ393159 TVV393156:TVV393159 UFR393156:UFR393159 UPN393156:UPN393159 UZJ393156:UZJ393159 VJF393156:VJF393159 VTB393156:VTB393159 WCX393156:WCX393159 WMT393156:WMT393159 WWP393156:WWP393159 X458692:X458695 KD458692:KD458695 TZ458692:TZ458695 ADV458692:ADV458695 ANR458692:ANR458695 AXN458692:AXN458695 BHJ458692:BHJ458695 BRF458692:BRF458695 CBB458692:CBB458695 CKX458692:CKX458695 CUT458692:CUT458695 DEP458692:DEP458695 DOL458692:DOL458695 DYH458692:DYH458695 EID458692:EID458695 ERZ458692:ERZ458695 FBV458692:FBV458695 FLR458692:FLR458695 FVN458692:FVN458695 GFJ458692:GFJ458695 GPF458692:GPF458695 GZB458692:GZB458695 HIX458692:HIX458695 HST458692:HST458695 ICP458692:ICP458695 IML458692:IML458695 IWH458692:IWH458695 JGD458692:JGD458695 JPZ458692:JPZ458695 JZV458692:JZV458695 KJR458692:KJR458695 KTN458692:KTN458695 LDJ458692:LDJ458695 LNF458692:LNF458695 LXB458692:LXB458695 MGX458692:MGX458695 MQT458692:MQT458695 NAP458692:NAP458695 NKL458692:NKL458695 NUH458692:NUH458695 OED458692:OED458695 ONZ458692:ONZ458695 OXV458692:OXV458695 PHR458692:PHR458695 PRN458692:PRN458695 QBJ458692:QBJ458695 QLF458692:QLF458695 QVB458692:QVB458695 REX458692:REX458695 ROT458692:ROT458695 RYP458692:RYP458695 SIL458692:SIL458695 SSH458692:SSH458695 TCD458692:TCD458695 TLZ458692:TLZ458695 TVV458692:TVV458695 UFR458692:UFR458695 UPN458692:UPN458695 UZJ458692:UZJ458695 VJF458692:VJF458695 VTB458692:VTB458695 WCX458692:WCX458695 WMT458692:WMT458695 WWP458692:WWP458695 X524228:X524231 KD524228:KD524231 TZ524228:TZ524231 ADV524228:ADV524231 ANR524228:ANR524231 AXN524228:AXN524231 BHJ524228:BHJ524231 BRF524228:BRF524231 CBB524228:CBB524231 CKX524228:CKX524231 CUT524228:CUT524231 DEP524228:DEP524231 DOL524228:DOL524231 DYH524228:DYH524231 EID524228:EID524231 ERZ524228:ERZ524231 FBV524228:FBV524231 FLR524228:FLR524231 FVN524228:FVN524231 GFJ524228:GFJ524231 GPF524228:GPF524231 GZB524228:GZB524231 HIX524228:HIX524231 HST524228:HST524231 ICP524228:ICP524231 IML524228:IML524231 IWH524228:IWH524231 JGD524228:JGD524231 JPZ524228:JPZ524231 JZV524228:JZV524231 KJR524228:KJR524231 KTN524228:KTN524231 LDJ524228:LDJ524231 LNF524228:LNF524231 LXB524228:LXB524231 MGX524228:MGX524231 MQT524228:MQT524231 NAP524228:NAP524231 NKL524228:NKL524231 NUH524228:NUH524231 OED524228:OED524231 ONZ524228:ONZ524231 OXV524228:OXV524231 PHR524228:PHR524231 PRN524228:PRN524231 QBJ524228:QBJ524231 QLF524228:QLF524231 QVB524228:QVB524231 REX524228:REX524231 ROT524228:ROT524231 RYP524228:RYP524231 SIL524228:SIL524231 SSH524228:SSH524231 TCD524228:TCD524231 TLZ524228:TLZ524231 TVV524228:TVV524231 UFR524228:UFR524231 UPN524228:UPN524231 UZJ524228:UZJ524231 VJF524228:VJF524231 VTB524228:VTB524231 WCX524228:WCX524231 WMT524228:WMT524231 WWP524228:WWP524231 X589764:X589767 KD589764:KD589767 TZ589764:TZ589767 ADV589764:ADV589767 ANR589764:ANR589767 AXN589764:AXN589767 BHJ589764:BHJ589767 BRF589764:BRF589767 CBB589764:CBB589767 CKX589764:CKX589767 CUT589764:CUT589767 DEP589764:DEP589767 DOL589764:DOL589767 DYH589764:DYH589767 EID589764:EID589767 ERZ589764:ERZ589767 FBV589764:FBV589767 FLR589764:FLR589767 FVN589764:FVN589767 GFJ589764:GFJ589767 GPF589764:GPF589767 GZB589764:GZB589767 HIX589764:HIX589767 HST589764:HST589767 ICP589764:ICP589767 IML589764:IML589767 IWH589764:IWH589767 JGD589764:JGD589767 JPZ589764:JPZ589767 JZV589764:JZV589767 KJR589764:KJR589767 KTN589764:KTN589767 LDJ589764:LDJ589767 LNF589764:LNF589767 LXB589764:LXB589767 MGX589764:MGX589767 MQT589764:MQT589767 NAP589764:NAP589767 NKL589764:NKL589767 NUH589764:NUH589767 OED589764:OED589767 ONZ589764:ONZ589767 OXV589764:OXV589767 PHR589764:PHR589767 PRN589764:PRN589767 QBJ589764:QBJ589767 QLF589764:QLF589767 QVB589764:QVB589767 REX589764:REX589767 ROT589764:ROT589767 RYP589764:RYP589767 SIL589764:SIL589767 SSH589764:SSH589767 TCD589764:TCD589767 TLZ589764:TLZ589767 TVV589764:TVV589767 UFR589764:UFR589767 UPN589764:UPN589767 UZJ589764:UZJ589767 VJF589764:VJF589767 VTB589764:VTB589767 WCX589764:WCX589767 WMT589764:WMT589767 WWP589764:WWP589767 X655300:X655303 KD655300:KD655303 TZ655300:TZ655303 ADV655300:ADV655303 ANR655300:ANR655303 AXN655300:AXN655303 BHJ655300:BHJ655303 BRF655300:BRF655303 CBB655300:CBB655303 CKX655300:CKX655303 CUT655300:CUT655303 DEP655300:DEP655303 DOL655300:DOL655303 DYH655300:DYH655303 EID655300:EID655303 ERZ655300:ERZ655303 FBV655300:FBV655303 FLR655300:FLR655303 FVN655300:FVN655303 GFJ655300:GFJ655303 GPF655300:GPF655303 GZB655300:GZB655303 HIX655300:HIX655303 HST655300:HST655303 ICP655300:ICP655303 IML655300:IML655303 IWH655300:IWH655303 JGD655300:JGD655303 JPZ655300:JPZ655303 JZV655300:JZV655303 KJR655300:KJR655303 KTN655300:KTN655303 LDJ655300:LDJ655303 LNF655300:LNF655303 LXB655300:LXB655303 MGX655300:MGX655303 MQT655300:MQT655303 NAP655300:NAP655303 NKL655300:NKL655303 NUH655300:NUH655303 OED655300:OED655303 ONZ655300:ONZ655303 OXV655300:OXV655303 PHR655300:PHR655303 PRN655300:PRN655303 QBJ655300:QBJ655303 QLF655300:QLF655303 QVB655300:QVB655303 REX655300:REX655303 ROT655300:ROT655303 RYP655300:RYP655303 SIL655300:SIL655303 SSH655300:SSH655303 TCD655300:TCD655303 TLZ655300:TLZ655303 TVV655300:TVV655303 UFR655300:UFR655303 UPN655300:UPN655303 UZJ655300:UZJ655303 VJF655300:VJF655303 VTB655300:VTB655303 WCX655300:WCX655303 WMT655300:WMT655303 WWP655300:WWP655303 X720836:X720839 KD720836:KD720839 TZ720836:TZ720839 ADV720836:ADV720839 ANR720836:ANR720839 AXN720836:AXN720839 BHJ720836:BHJ720839 BRF720836:BRF720839 CBB720836:CBB720839 CKX720836:CKX720839 CUT720836:CUT720839 DEP720836:DEP720839 DOL720836:DOL720839 DYH720836:DYH720839 EID720836:EID720839 ERZ720836:ERZ720839 FBV720836:FBV720839 FLR720836:FLR720839 FVN720836:FVN720839 GFJ720836:GFJ720839 GPF720836:GPF720839 GZB720836:GZB720839 HIX720836:HIX720839 HST720836:HST720839 ICP720836:ICP720839 IML720836:IML720839 IWH720836:IWH720839 JGD720836:JGD720839 JPZ720836:JPZ720839 JZV720836:JZV720839 KJR720836:KJR720839 KTN720836:KTN720839 LDJ720836:LDJ720839 LNF720836:LNF720839 LXB720836:LXB720839 MGX720836:MGX720839 MQT720836:MQT720839 NAP720836:NAP720839 NKL720836:NKL720839 NUH720836:NUH720839 OED720836:OED720839 ONZ720836:ONZ720839 OXV720836:OXV720839 PHR720836:PHR720839 PRN720836:PRN720839 QBJ720836:QBJ720839 QLF720836:QLF720839 QVB720836:QVB720839 REX720836:REX720839 ROT720836:ROT720839 RYP720836:RYP720839 SIL720836:SIL720839 SSH720836:SSH720839 TCD720836:TCD720839 TLZ720836:TLZ720839 TVV720836:TVV720839 UFR720836:UFR720839 UPN720836:UPN720839 UZJ720836:UZJ720839 VJF720836:VJF720839 VTB720836:VTB720839 WCX720836:WCX720839 WMT720836:WMT720839 WWP720836:WWP720839 X786372:X786375 KD786372:KD786375 TZ786372:TZ786375 ADV786372:ADV786375 ANR786372:ANR786375 AXN786372:AXN786375 BHJ786372:BHJ786375 BRF786372:BRF786375 CBB786372:CBB786375 CKX786372:CKX786375 CUT786372:CUT786375 DEP786372:DEP786375 DOL786372:DOL786375 DYH786372:DYH786375 EID786372:EID786375 ERZ786372:ERZ786375 FBV786372:FBV786375 FLR786372:FLR786375 FVN786372:FVN786375 GFJ786372:GFJ786375 GPF786372:GPF786375 GZB786372:GZB786375 HIX786372:HIX786375 HST786372:HST786375 ICP786372:ICP786375 IML786372:IML786375 IWH786372:IWH786375 JGD786372:JGD786375 JPZ786372:JPZ786375 JZV786372:JZV786375 KJR786372:KJR786375 KTN786372:KTN786375 LDJ786372:LDJ786375 LNF786372:LNF786375 LXB786372:LXB786375 MGX786372:MGX786375 MQT786372:MQT786375 NAP786372:NAP786375 NKL786372:NKL786375 NUH786372:NUH786375 OED786372:OED786375 ONZ786372:ONZ786375 OXV786372:OXV786375 PHR786372:PHR786375 PRN786372:PRN786375 QBJ786372:QBJ786375 QLF786372:QLF786375 QVB786372:QVB786375 REX786372:REX786375 ROT786372:ROT786375 RYP786372:RYP786375 SIL786372:SIL786375 SSH786372:SSH786375 TCD786372:TCD786375 TLZ786372:TLZ786375 TVV786372:TVV786375 UFR786372:UFR786375 UPN786372:UPN786375 UZJ786372:UZJ786375 VJF786372:VJF786375 VTB786372:VTB786375 WCX786372:WCX786375 WMT786372:WMT786375 WWP786372:WWP786375 X851908:X851911 KD851908:KD851911 TZ851908:TZ851911 ADV851908:ADV851911 ANR851908:ANR851911 AXN851908:AXN851911 BHJ851908:BHJ851911 BRF851908:BRF851911 CBB851908:CBB851911 CKX851908:CKX851911 CUT851908:CUT851911 DEP851908:DEP851911 DOL851908:DOL851911 DYH851908:DYH851911 EID851908:EID851911 ERZ851908:ERZ851911 FBV851908:FBV851911 FLR851908:FLR851911 FVN851908:FVN851911 GFJ851908:GFJ851911 GPF851908:GPF851911 GZB851908:GZB851911 HIX851908:HIX851911 HST851908:HST851911 ICP851908:ICP851911 IML851908:IML851911 IWH851908:IWH851911 JGD851908:JGD851911 JPZ851908:JPZ851911 JZV851908:JZV851911 KJR851908:KJR851911 KTN851908:KTN851911 LDJ851908:LDJ851911 LNF851908:LNF851911 LXB851908:LXB851911 MGX851908:MGX851911 MQT851908:MQT851911 NAP851908:NAP851911 NKL851908:NKL851911 NUH851908:NUH851911 OED851908:OED851911 ONZ851908:ONZ851911 OXV851908:OXV851911 PHR851908:PHR851911 PRN851908:PRN851911 QBJ851908:QBJ851911 QLF851908:QLF851911 QVB851908:QVB851911 REX851908:REX851911 ROT851908:ROT851911 RYP851908:RYP851911 SIL851908:SIL851911 SSH851908:SSH851911 TCD851908:TCD851911 TLZ851908:TLZ851911 TVV851908:TVV851911 UFR851908:UFR851911 UPN851908:UPN851911 UZJ851908:UZJ851911 VJF851908:VJF851911 VTB851908:VTB851911 WCX851908:WCX851911 WMT851908:WMT851911 WWP851908:WWP851911 X917444:X917447 KD917444:KD917447 TZ917444:TZ917447 ADV917444:ADV917447 ANR917444:ANR917447 AXN917444:AXN917447 BHJ917444:BHJ917447 BRF917444:BRF917447 CBB917444:CBB917447 CKX917444:CKX917447 CUT917444:CUT917447 DEP917444:DEP917447 DOL917444:DOL917447 DYH917444:DYH917447 EID917444:EID917447 ERZ917444:ERZ917447 FBV917444:FBV917447 FLR917444:FLR917447 FVN917444:FVN917447 GFJ917444:GFJ917447 GPF917444:GPF917447 GZB917444:GZB917447 HIX917444:HIX917447 HST917444:HST917447 ICP917444:ICP917447 IML917444:IML917447 IWH917444:IWH917447 JGD917444:JGD917447 JPZ917444:JPZ917447 JZV917444:JZV917447 KJR917444:KJR917447 KTN917444:KTN917447 LDJ917444:LDJ917447 LNF917444:LNF917447 LXB917444:LXB917447 MGX917444:MGX917447 MQT917444:MQT917447 NAP917444:NAP917447 NKL917444:NKL917447 NUH917444:NUH917447 OED917444:OED917447 ONZ917444:ONZ917447 OXV917444:OXV917447 PHR917444:PHR917447 PRN917444:PRN917447 QBJ917444:QBJ917447 QLF917444:QLF917447 QVB917444:QVB917447 REX917444:REX917447 ROT917444:ROT917447 RYP917444:RYP917447 SIL917444:SIL917447 SSH917444:SSH917447 TCD917444:TCD917447 TLZ917444:TLZ917447 TVV917444:TVV917447 UFR917444:UFR917447 UPN917444:UPN917447 UZJ917444:UZJ917447 VJF917444:VJF917447 VTB917444:VTB917447 WCX917444:WCX917447 WMT917444:WMT917447 WWP917444:WWP917447 X982980:X982983 KD982980:KD982983 TZ982980:TZ982983 ADV982980:ADV982983 ANR982980:ANR982983 AXN982980:AXN982983 BHJ982980:BHJ982983 BRF982980:BRF982983 CBB982980:CBB982983 CKX982980:CKX982983 CUT982980:CUT982983 DEP982980:DEP982983 DOL982980:DOL982983 DYH982980:DYH982983 EID982980:EID982983 ERZ982980:ERZ982983 FBV982980:FBV982983 FLR982980:FLR982983 FVN982980:FVN982983 GFJ982980:GFJ982983 GPF982980:GPF982983 GZB982980:GZB982983 HIX982980:HIX982983 HST982980:HST982983 ICP982980:ICP982983 IML982980:IML982983 IWH982980:IWH982983 JGD982980:JGD982983 JPZ982980:JPZ982983 JZV982980:JZV982983 KJR982980:KJR982983 KTN982980:KTN982983 LDJ982980:LDJ982983 LNF982980:LNF982983 LXB982980:LXB982983 MGX982980:MGX982983 MQT982980:MQT982983 NAP982980:NAP982983 NKL982980:NKL982983 NUH982980:NUH982983 OED982980:OED982983 ONZ982980:ONZ982983 OXV982980:OXV982983 PHR982980:PHR982983 PRN982980:PRN982983 QBJ982980:QBJ982983 QLF982980:QLF982983 QVB982980:QVB982983 REX982980:REX982983 ROT982980:ROT982983 RYP982980:RYP982983 SIL982980:SIL982983 SSH982980:SSH982983 TCD982980:TCD982983 TLZ982980:TLZ982983 TVV982980:TVV982983 UFR982980:UFR982983 UPN982980:UPN982983 UZJ982980:UZJ982983 VJF982980:VJF982983 VTB982980:VTB982983 WCX982980:WCX982983 WMT982980:WMT982983">
      <formula1>$B$59:$B$62</formula1>
    </dataValidation>
    <dataValidation type="list" allowBlank="1" showInputMessage="1" showErrorMessage="1" sqref="WXP982980:WXP982983 AV65476:AV65479 KW65476:KW65479 US65476:US65479 AEO65476:AEO65479 AOK65476:AOK65479 AYG65476:AYG65479 BIC65476:BIC65479 BRY65476:BRY65479 CBU65476:CBU65479 CLQ65476:CLQ65479 CVM65476:CVM65479 DFI65476:DFI65479 DPE65476:DPE65479 DZA65476:DZA65479 EIW65476:EIW65479 ESS65476:ESS65479 FCO65476:FCO65479 FMK65476:FMK65479 FWG65476:FWG65479 GGC65476:GGC65479 GPY65476:GPY65479 GZU65476:GZU65479 HJQ65476:HJQ65479 HTM65476:HTM65479 IDI65476:IDI65479 INE65476:INE65479 IXA65476:IXA65479 JGW65476:JGW65479 JQS65476:JQS65479 KAO65476:KAO65479 KKK65476:KKK65479 KUG65476:KUG65479 LEC65476:LEC65479 LNY65476:LNY65479 LXU65476:LXU65479 MHQ65476:MHQ65479 MRM65476:MRM65479 NBI65476:NBI65479 NLE65476:NLE65479 NVA65476:NVA65479 OEW65476:OEW65479 OOS65476:OOS65479 OYO65476:OYO65479 PIK65476:PIK65479 PSG65476:PSG65479 QCC65476:QCC65479 QLY65476:QLY65479 QVU65476:QVU65479 RFQ65476:RFQ65479 RPM65476:RPM65479 RZI65476:RZI65479 SJE65476:SJE65479 STA65476:STA65479 TCW65476:TCW65479 TMS65476:TMS65479 TWO65476:TWO65479 UGK65476:UGK65479 UQG65476:UQG65479 VAC65476:VAC65479 VJY65476:VJY65479 VTU65476:VTU65479 WDQ65476:WDQ65479 WNM65476:WNM65479 WXI65476:WXI65479 AV131012:AV131015 KW131012:KW131015 US131012:US131015 AEO131012:AEO131015 AOK131012:AOK131015 AYG131012:AYG131015 BIC131012:BIC131015 BRY131012:BRY131015 CBU131012:CBU131015 CLQ131012:CLQ131015 CVM131012:CVM131015 DFI131012:DFI131015 DPE131012:DPE131015 DZA131012:DZA131015 EIW131012:EIW131015 ESS131012:ESS131015 FCO131012:FCO131015 FMK131012:FMK131015 FWG131012:FWG131015 GGC131012:GGC131015 GPY131012:GPY131015 GZU131012:GZU131015 HJQ131012:HJQ131015 HTM131012:HTM131015 IDI131012:IDI131015 INE131012:INE131015 IXA131012:IXA131015 JGW131012:JGW131015 JQS131012:JQS131015 KAO131012:KAO131015 KKK131012:KKK131015 KUG131012:KUG131015 LEC131012:LEC131015 LNY131012:LNY131015 LXU131012:LXU131015 MHQ131012:MHQ131015 MRM131012:MRM131015 NBI131012:NBI131015 NLE131012:NLE131015 NVA131012:NVA131015 OEW131012:OEW131015 OOS131012:OOS131015 OYO131012:OYO131015 PIK131012:PIK131015 PSG131012:PSG131015 QCC131012:QCC131015 QLY131012:QLY131015 QVU131012:QVU131015 RFQ131012:RFQ131015 RPM131012:RPM131015 RZI131012:RZI131015 SJE131012:SJE131015 STA131012:STA131015 TCW131012:TCW131015 TMS131012:TMS131015 TWO131012:TWO131015 UGK131012:UGK131015 UQG131012:UQG131015 VAC131012:VAC131015 VJY131012:VJY131015 VTU131012:VTU131015 WDQ131012:WDQ131015 WNM131012:WNM131015 WXI131012:WXI131015 AV196548:AV196551 KW196548:KW196551 US196548:US196551 AEO196548:AEO196551 AOK196548:AOK196551 AYG196548:AYG196551 BIC196548:BIC196551 BRY196548:BRY196551 CBU196548:CBU196551 CLQ196548:CLQ196551 CVM196548:CVM196551 DFI196548:DFI196551 DPE196548:DPE196551 DZA196548:DZA196551 EIW196548:EIW196551 ESS196548:ESS196551 FCO196548:FCO196551 FMK196548:FMK196551 FWG196548:FWG196551 GGC196548:GGC196551 GPY196548:GPY196551 GZU196548:GZU196551 HJQ196548:HJQ196551 HTM196548:HTM196551 IDI196548:IDI196551 INE196548:INE196551 IXA196548:IXA196551 JGW196548:JGW196551 JQS196548:JQS196551 KAO196548:KAO196551 KKK196548:KKK196551 KUG196548:KUG196551 LEC196548:LEC196551 LNY196548:LNY196551 LXU196548:LXU196551 MHQ196548:MHQ196551 MRM196548:MRM196551 NBI196548:NBI196551 NLE196548:NLE196551 NVA196548:NVA196551 OEW196548:OEW196551 OOS196548:OOS196551 OYO196548:OYO196551 PIK196548:PIK196551 PSG196548:PSG196551 QCC196548:QCC196551 QLY196548:QLY196551 QVU196548:QVU196551 RFQ196548:RFQ196551 RPM196548:RPM196551 RZI196548:RZI196551 SJE196548:SJE196551 STA196548:STA196551 TCW196548:TCW196551 TMS196548:TMS196551 TWO196548:TWO196551 UGK196548:UGK196551 UQG196548:UQG196551 VAC196548:VAC196551 VJY196548:VJY196551 VTU196548:VTU196551 WDQ196548:WDQ196551 WNM196548:WNM196551 WXI196548:WXI196551 AV262084:AV262087 KW262084:KW262087 US262084:US262087 AEO262084:AEO262087 AOK262084:AOK262087 AYG262084:AYG262087 BIC262084:BIC262087 BRY262084:BRY262087 CBU262084:CBU262087 CLQ262084:CLQ262087 CVM262084:CVM262087 DFI262084:DFI262087 DPE262084:DPE262087 DZA262084:DZA262087 EIW262084:EIW262087 ESS262084:ESS262087 FCO262084:FCO262087 FMK262084:FMK262087 FWG262084:FWG262087 GGC262084:GGC262087 GPY262084:GPY262087 GZU262084:GZU262087 HJQ262084:HJQ262087 HTM262084:HTM262087 IDI262084:IDI262087 INE262084:INE262087 IXA262084:IXA262087 JGW262084:JGW262087 JQS262084:JQS262087 KAO262084:KAO262087 KKK262084:KKK262087 KUG262084:KUG262087 LEC262084:LEC262087 LNY262084:LNY262087 LXU262084:LXU262087 MHQ262084:MHQ262087 MRM262084:MRM262087 NBI262084:NBI262087 NLE262084:NLE262087 NVA262084:NVA262087 OEW262084:OEW262087 OOS262084:OOS262087 OYO262084:OYO262087 PIK262084:PIK262087 PSG262084:PSG262087 QCC262084:QCC262087 QLY262084:QLY262087 QVU262084:QVU262087 RFQ262084:RFQ262087 RPM262084:RPM262087 RZI262084:RZI262087 SJE262084:SJE262087 STA262084:STA262087 TCW262084:TCW262087 TMS262084:TMS262087 TWO262084:TWO262087 UGK262084:UGK262087 UQG262084:UQG262087 VAC262084:VAC262087 VJY262084:VJY262087 VTU262084:VTU262087 WDQ262084:WDQ262087 WNM262084:WNM262087 WXI262084:WXI262087 AV327620:AV327623 KW327620:KW327623 US327620:US327623 AEO327620:AEO327623 AOK327620:AOK327623 AYG327620:AYG327623 BIC327620:BIC327623 BRY327620:BRY327623 CBU327620:CBU327623 CLQ327620:CLQ327623 CVM327620:CVM327623 DFI327620:DFI327623 DPE327620:DPE327623 DZA327620:DZA327623 EIW327620:EIW327623 ESS327620:ESS327623 FCO327620:FCO327623 FMK327620:FMK327623 FWG327620:FWG327623 GGC327620:GGC327623 GPY327620:GPY327623 GZU327620:GZU327623 HJQ327620:HJQ327623 HTM327620:HTM327623 IDI327620:IDI327623 INE327620:INE327623 IXA327620:IXA327623 JGW327620:JGW327623 JQS327620:JQS327623 KAO327620:KAO327623 KKK327620:KKK327623 KUG327620:KUG327623 LEC327620:LEC327623 LNY327620:LNY327623 LXU327620:LXU327623 MHQ327620:MHQ327623 MRM327620:MRM327623 NBI327620:NBI327623 NLE327620:NLE327623 NVA327620:NVA327623 OEW327620:OEW327623 OOS327620:OOS327623 OYO327620:OYO327623 PIK327620:PIK327623 PSG327620:PSG327623 QCC327620:QCC327623 QLY327620:QLY327623 QVU327620:QVU327623 RFQ327620:RFQ327623 RPM327620:RPM327623 RZI327620:RZI327623 SJE327620:SJE327623 STA327620:STA327623 TCW327620:TCW327623 TMS327620:TMS327623 TWO327620:TWO327623 UGK327620:UGK327623 UQG327620:UQG327623 VAC327620:VAC327623 VJY327620:VJY327623 VTU327620:VTU327623 WDQ327620:WDQ327623 WNM327620:WNM327623 WXI327620:WXI327623 AV393156:AV393159 KW393156:KW393159 US393156:US393159 AEO393156:AEO393159 AOK393156:AOK393159 AYG393156:AYG393159 BIC393156:BIC393159 BRY393156:BRY393159 CBU393156:CBU393159 CLQ393156:CLQ393159 CVM393156:CVM393159 DFI393156:DFI393159 DPE393156:DPE393159 DZA393156:DZA393159 EIW393156:EIW393159 ESS393156:ESS393159 FCO393156:FCO393159 FMK393156:FMK393159 FWG393156:FWG393159 GGC393156:GGC393159 GPY393156:GPY393159 GZU393156:GZU393159 HJQ393156:HJQ393159 HTM393156:HTM393159 IDI393156:IDI393159 INE393156:INE393159 IXA393156:IXA393159 JGW393156:JGW393159 JQS393156:JQS393159 KAO393156:KAO393159 KKK393156:KKK393159 KUG393156:KUG393159 LEC393156:LEC393159 LNY393156:LNY393159 LXU393156:LXU393159 MHQ393156:MHQ393159 MRM393156:MRM393159 NBI393156:NBI393159 NLE393156:NLE393159 NVA393156:NVA393159 OEW393156:OEW393159 OOS393156:OOS393159 OYO393156:OYO393159 PIK393156:PIK393159 PSG393156:PSG393159 QCC393156:QCC393159 QLY393156:QLY393159 QVU393156:QVU393159 RFQ393156:RFQ393159 RPM393156:RPM393159 RZI393156:RZI393159 SJE393156:SJE393159 STA393156:STA393159 TCW393156:TCW393159 TMS393156:TMS393159 TWO393156:TWO393159 UGK393156:UGK393159 UQG393156:UQG393159 VAC393156:VAC393159 VJY393156:VJY393159 VTU393156:VTU393159 WDQ393156:WDQ393159 WNM393156:WNM393159 WXI393156:WXI393159 AV458692:AV458695 KW458692:KW458695 US458692:US458695 AEO458692:AEO458695 AOK458692:AOK458695 AYG458692:AYG458695 BIC458692:BIC458695 BRY458692:BRY458695 CBU458692:CBU458695 CLQ458692:CLQ458695 CVM458692:CVM458695 DFI458692:DFI458695 DPE458692:DPE458695 DZA458692:DZA458695 EIW458692:EIW458695 ESS458692:ESS458695 FCO458692:FCO458695 FMK458692:FMK458695 FWG458692:FWG458695 GGC458692:GGC458695 GPY458692:GPY458695 GZU458692:GZU458695 HJQ458692:HJQ458695 HTM458692:HTM458695 IDI458692:IDI458695 INE458692:INE458695 IXA458692:IXA458695 JGW458692:JGW458695 JQS458692:JQS458695 KAO458692:KAO458695 KKK458692:KKK458695 KUG458692:KUG458695 LEC458692:LEC458695 LNY458692:LNY458695 LXU458692:LXU458695 MHQ458692:MHQ458695 MRM458692:MRM458695 NBI458692:NBI458695 NLE458692:NLE458695 NVA458692:NVA458695 OEW458692:OEW458695 OOS458692:OOS458695 OYO458692:OYO458695 PIK458692:PIK458695 PSG458692:PSG458695 QCC458692:QCC458695 QLY458692:QLY458695 QVU458692:QVU458695 RFQ458692:RFQ458695 RPM458692:RPM458695 RZI458692:RZI458695 SJE458692:SJE458695 STA458692:STA458695 TCW458692:TCW458695 TMS458692:TMS458695 TWO458692:TWO458695 UGK458692:UGK458695 UQG458692:UQG458695 VAC458692:VAC458695 VJY458692:VJY458695 VTU458692:VTU458695 WDQ458692:WDQ458695 WNM458692:WNM458695 WXI458692:WXI458695 AV524228:AV524231 KW524228:KW524231 US524228:US524231 AEO524228:AEO524231 AOK524228:AOK524231 AYG524228:AYG524231 BIC524228:BIC524231 BRY524228:BRY524231 CBU524228:CBU524231 CLQ524228:CLQ524231 CVM524228:CVM524231 DFI524228:DFI524231 DPE524228:DPE524231 DZA524228:DZA524231 EIW524228:EIW524231 ESS524228:ESS524231 FCO524228:FCO524231 FMK524228:FMK524231 FWG524228:FWG524231 GGC524228:GGC524231 GPY524228:GPY524231 GZU524228:GZU524231 HJQ524228:HJQ524231 HTM524228:HTM524231 IDI524228:IDI524231 INE524228:INE524231 IXA524228:IXA524231 JGW524228:JGW524231 JQS524228:JQS524231 KAO524228:KAO524231 KKK524228:KKK524231 KUG524228:KUG524231 LEC524228:LEC524231 LNY524228:LNY524231 LXU524228:LXU524231 MHQ524228:MHQ524231 MRM524228:MRM524231 NBI524228:NBI524231 NLE524228:NLE524231 NVA524228:NVA524231 OEW524228:OEW524231 OOS524228:OOS524231 OYO524228:OYO524231 PIK524228:PIK524231 PSG524228:PSG524231 QCC524228:QCC524231 QLY524228:QLY524231 QVU524228:QVU524231 RFQ524228:RFQ524231 RPM524228:RPM524231 RZI524228:RZI524231 SJE524228:SJE524231 STA524228:STA524231 TCW524228:TCW524231 TMS524228:TMS524231 TWO524228:TWO524231 UGK524228:UGK524231 UQG524228:UQG524231 VAC524228:VAC524231 VJY524228:VJY524231 VTU524228:VTU524231 WDQ524228:WDQ524231 WNM524228:WNM524231 WXI524228:WXI524231 AV589764:AV589767 KW589764:KW589767 US589764:US589767 AEO589764:AEO589767 AOK589764:AOK589767 AYG589764:AYG589767 BIC589764:BIC589767 BRY589764:BRY589767 CBU589764:CBU589767 CLQ589764:CLQ589767 CVM589764:CVM589767 DFI589764:DFI589767 DPE589764:DPE589767 DZA589764:DZA589767 EIW589764:EIW589767 ESS589764:ESS589767 FCO589764:FCO589767 FMK589764:FMK589767 FWG589764:FWG589767 GGC589764:GGC589767 GPY589764:GPY589767 GZU589764:GZU589767 HJQ589764:HJQ589767 HTM589764:HTM589767 IDI589764:IDI589767 INE589764:INE589767 IXA589764:IXA589767 JGW589764:JGW589767 JQS589764:JQS589767 KAO589764:KAO589767 KKK589764:KKK589767 KUG589764:KUG589767 LEC589764:LEC589767 LNY589764:LNY589767 LXU589764:LXU589767 MHQ589764:MHQ589767 MRM589764:MRM589767 NBI589764:NBI589767 NLE589764:NLE589767 NVA589764:NVA589767 OEW589764:OEW589767 OOS589764:OOS589767 OYO589764:OYO589767 PIK589764:PIK589767 PSG589764:PSG589767 QCC589764:QCC589767 QLY589764:QLY589767 QVU589764:QVU589767 RFQ589764:RFQ589767 RPM589764:RPM589767 RZI589764:RZI589767 SJE589764:SJE589767 STA589764:STA589767 TCW589764:TCW589767 TMS589764:TMS589767 TWO589764:TWO589767 UGK589764:UGK589767 UQG589764:UQG589767 VAC589764:VAC589767 VJY589764:VJY589767 VTU589764:VTU589767 WDQ589764:WDQ589767 WNM589764:WNM589767 WXI589764:WXI589767 AV655300:AV655303 KW655300:KW655303 US655300:US655303 AEO655300:AEO655303 AOK655300:AOK655303 AYG655300:AYG655303 BIC655300:BIC655303 BRY655300:BRY655303 CBU655300:CBU655303 CLQ655300:CLQ655303 CVM655300:CVM655303 DFI655300:DFI655303 DPE655300:DPE655303 DZA655300:DZA655303 EIW655300:EIW655303 ESS655300:ESS655303 FCO655300:FCO655303 FMK655300:FMK655303 FWG655300:FWG655303 GGC655300:GGC655303 GPY655300:GPY655303 GZU655300:GZU655303 HJQ655300:HJQ655303 HTM655300:HTM655303 IDI655300:IDI655303 INE655300:INE655303 IXA655300:IXA655303 JGW655300:JGW655303 JQS655300:JQS655303 KAO655300:KAO655303 KKK655300:KKK655303 KUG655300:KUG655303 LEC655300:LEC655303 LNY655300:LNY655303 LXU655300:LXU655303 MHQ655300:MHQ655303 MRM655300:MRM655303 NBI655300:NBI655303 NLE655300:NLE655303 NVA655300:NVA655303 OEW655300:OEW655303 OOS655300:OOS655303 OYO655300:OYO655303 PIK655300:PIK655303 PSG655300:PSG655303 QCC655300:QCC655303 QLY655300:QLY655303 QVU655300:QVU655303 RFQ655300:RFQ655303 RPM655300:RPM655303 RZI655300:RZI655303 SJE655300:SJE655303 STA655300:STA655303 TCW655300:TCW655303 TMS655300:TMS655303 TWO655300:TWO655303 UGK655300:UGK655303 UQG655300:UQG655303 VAC655300:VAC655303 VJY655300:VJY655303 VTU655300:VTU655303 WDQ655300:WDQ655303 WNM655300:WNM655303 WXI655300:WXI655303 AV720836:AV720839 KW720836:KW720839 US720836:US720839 AEO720836:AEO720839 AOK720836:AOK720839 AYG720836:AYG720839 BIC720836:BIC720839 BRY720836:BRY720839 CBU720836:CBU720839 CLQ720836:CLQ720839 CVM720836:CVM720839 DFI720836:DFI720839 DPE720836:DPE720839 DZA720836:DZA720839 EIW720836:EIW720839 ESS720836:ESS720839 FCO720836:FCO720839 FMK720836:FMK720839 FWG720836:FWG720839 GGC720836:GGC720839 GPY720836:GPY720839 GZU720836:GZU720839 HJQ720836:HJQ720839 HTM720836:HTM720839 IDI720836:IDI720839 INE720836:INE720839 IXA720836:IXA720839 JGW720836:JGW720839 JQS720836:JQS720839 KAO720836:KAO720839 KKK720836:KKK720839 KUG720836:KUG720839 LEC720836:LEC720839 LNY720836:LNY720839 LXU720836:LXU720839 MHQ720836:MHQ720839 MRM720836:MRM720839 NBI720836:NBI720839 NLE720836:NLE720839 NVA720836:NVA720839 OEW720836:OEW720839 OOS720836:OOS720839 OYO720836:OYO720839 PIK720836:PIK720839 PSG720836:PSG720839 QCC720836:QCC720839 QLY720836:QLY720839 QVU720836:QVU720839 RFQ720836:RFQ720839 RPM720836:RPM720839 RZI720836:RZI720839 SJE720836:SJE720839 STA720836:STA720839 TCW720836:TCW720839 TMS720836:TMS720839 TWO720836:TWO720839 UGK720836:UGK720839 UQG720836:UQG720839 VAC720836:VAC720839 VJY720836:VJY720839 VTU720836:VTU720839 WDQ720836:WDQ720839 WNM720836:WNM720839 WXI720836:WXI720839 AV786372:AV786375 KW786372:KW786375 US786372:US786375 AEO786372:AEO786375 AOK786372:AOK786375 AYG786372:AYG786375 BIC786372:BIC786375 BRY786372:BRY786375 CBU786372:CBU786375 CLQ786372:CLQ786375 CVM786372:CVM786375 DFI786372:DFI786375 DPE786372:DPE786375 DZA786372:DZA786375 EIW786372:EIW786375 ESS786372:ESS786375 FCO786372:FCO786375 FMK786372:FMK786375 FWG786372:FWG786375 GGC786372:GGC786375 GPY786372:GPY786375 GZU786372:GZU786375 HJQ786372:HJQ786375 HTM786372:HTM786375 IDI786372:IDI786375 INE786372:INE786375 IXA786372:IXA786375 JGW786372:JGW786375 JQS786372:JQS786375 KAO786372:KAO786375 KKK786372:KKK786375 KUG786372:KUG786375 LEC786372:LEC786375 LNY786372:LNY786375 LXU786372:LXU786375 MHQ786372:MHQ786375 MRM786372:MRM786375 NBI786372:NBI786375 NLE786372:NLE786375 NVA786372:NVA786375 OEW786372:OEW786375 OOS786372:OOS786375 OYO786372:OYO786375 PIK786372:PIK786375 PSG786372:PSG786375 QCC786372:QCC786375 QLY786372:QLY786375 QVU786372:QVU786375 RFQ786372:RFQ786375 RPM786372:RPM786375 RZI786372:RZI786375 SJE786372:SJE786375 STA786372:STA786375 TCW786372:TCW786375 TMS786372:TMS786375 TWO786372:TWO786375 UGK786372:UGK786375 UQG786372:UQG786375 VAC786372:VAC786375 VJY786372:VJY786375 VTU786372:VTU786375 WDQ786372:WDQ786375 WNM786372:WNM786375 WXI786372:WXI786375 AV851908:AV851911 KW851908:KW851911 US851908:US851911 AEO851908:AEO851911 AOK851908:AOK851911 AYG851908:AYG851911 BIC851908:BIC851911 BRY851908:BRY851911 CBU851908:CBU851911 CLQ851908:CLQ851911 CVM851908:CVM851911 DFI851908:DFI851911 DPE851908:DPE851911 DZA851908:DZA851911 EIW851908:EIW851911 ESS851908:ESS851911 FCO851908:FCO851911 FMK851908:FMK851911 FWG851908:FWG851911 GGC851908:GGC851911 GPY851908:GPY851911 GZU851908:GZU851911 HJQ851908:HJQ851911 HTM851908:HTM851911 IDI851908:IDI851911 INE851908:INE851911 IXA851908:IXA851911 JGW851908:JGW851911 JQS851908:JQS851911 KAO851908:KAO851911 KKK851908:KKK851911 KUG851908:KUG851911 LEC851908:LEC851911 LNY851908:LNY851911 LXU851908:LXU851911 MHQ851908:MHQ851911 MRM851908:MRM851911 NBI851908:NBI851911 NLE851908:NLE851911 NVA851908:NVA851911 OEW851908:OEW851911 OOS851908:OOS851911 OYO851908:OYO851911 PIK851908:PIK851911 PSG851908:PSG851911 QCC851908:QCC851911 QLY851908:QLY851911 QVU851908:QVU851911 RFQ851908:RFQ851911 RPM851908:RPM851911 RZI851908:RZI851911 SJE851908:SJE851911 STA851908:STA851911 TCW851908:TCW851911 TMS851908:TMS851911 TWO851908:TWO851911 UGK851908:UGK851911 UQG851908:UQG851911 VAC851908:VAC851911 VJY851908:VJY851911 VTU851908:VTU851911 WDQ851908:WDQ851911 WNM851908:WNM851911 WXI851908:WXI851911 AV917444:AV917447 KW917444:KW917447 US917444:US917447 AEO917444:AEO917447 AOK917444:AOK917447 AYG917444:AYG917447 BIC917444:BIC917447 BRY917444:BRY917447 CBU917444:CBU917447 CLQ917444:CLQ917447 CVM917444:CVM917447 DFI917444:DFI917447 DPE917444:DPE917447 DZA917444:DZA917447 EIW917444:EIW917447 ESS917444:ESS917447 FCO917444:FCO917447 FMK917444:FMK917447 FWG917444:FWG917447 GGC917444:GGC917447 GPY917444:GPY917447 GZU917444:GZU917447 HJQ917444:HJQ917447 HTM917444:HTM917447 IDI917444:IDI917447 INE917444:INE917447 IXA917444:IXA917447 JGW917444:JGW917447 JQS917444:JQS917447 KAO917444:KAO917447 KKK917444:KKK917447 KUG917444:KUG917447 LEC917444:LEC917447 LNY917444:LNY917447 LXU917444:LXU917447 MHQ917444:MHQ917447 MRM917444:MRM917447 NBI917444:NBI917447 NLE917444:NLE917447 NVA917444:NVA917447 OEW917444:OEW917447 OOS917444:OOS917447 OYO917444:OYO917447 PIK917444:PIK917447 PSG917444:PSG917447 QCC917444:QCC917447 QLY917444:QLY917447 QVU917444:QVU917447 RFQ917444:RFQ917447 RPM917444:RPM917447 RZI917444:RZI917447 SJE917444:SJE917447 STA917444:STA917447 TCW917444:TCW917447 TMS917444:TMS917447 TWO917444:TWO917447 UGK917444:UGK917447 UQG917444:UQG917447 VAC917444:VAC917447 VJY917444:VJY917447 VTU917444:VTU917447 WDQ917444:WDQ917447 WNM917444:WNM917447 WXI917444:WXI917447 AV982980:AV982983 KW982980:KW982983 US982980:US982983 AEO982980:AEO982983 AOK982980:AOK982983 AYG982980:AYG982983 BIC982980:BIC982983 BRY982980:BRY982983 CBU982980:CBU982983 CLQ982980:CLQ982983 CVM982980:CVM982983 DFI982980:DFI982983 DPE982980:DPE982983 DZA982980:DZA982983 EIW982980:EIW982983 ESS982980:ESS982983 FCO982980:FCO982983 FMK982980:FMK982983 FWG982980:FWG982983 GGC982980:GGC982983 GPY982980:GPY982983 GZU982980:GZU982983 HJQ982980:HJQ982983 HTM982980:HTM982983 IDI982980:IDI982983 INE982980:INE982983 IXA982980:IXA982983 JGW982980:JGW982983 JQS982980:JQS982983 KAO982980:KAO982983 KKK982980:KKK982983 KUG982980:KUG982983 LEC982980:LEC982983 LNY982980:LNY982983 LXU982980:LXU982983 MHQ982980:MHQ982983 MRM982980:MRM982983 NBI982980:NBI982983 NLE982980:NLE982983 NVA982980:NVA982983 OEW982980:OEW982983 OOS982980:OOS982983 OYO982980:OYO982983 PIK982980:PIK982983 PSG982980:PSG982983 QCC982980:QCC982983 QLY982980:QLY982983 QVU982980:QVU982983 RFQ982980:RFQ982983 RPM982980:RPM982983 RZI982980:RZI982983 SJE982980:SJE982983 STA982980:STA982983 TCW982980:TCW982983 TMS982980:TMS982983 TWO982980:TWO982983 UGK982980:UGK982983 UQG982980:UQG982983 VAC982980:VAC982983 VJY982980:VJY982983 VTU982980:VTU982983 WDQ982980:WDQ982983 WNM982980:WNM982983 WXI982980:WXI982983 BH65476:BH65479 LD65476:LD65479 UZ65476:UZ65479 AEV65476:AEV65479 AOR65476:AOR65479 AYN65476:AYN65479 BIJ65476:BIJ65479 BSF65476:BSF65479 CCB65476:CCB65479 CLX65476:CLX65479 CVT65476:CVT65479 DFP65476:DFP65479 DPL65476:DPL65479 DZH65476:DZH65479 EJD65476:EJD65479 ESZ65476:ESZ65479 FCV65476:FCV65479 FMR65476:FMR65479 FWN65476:FWN65479 GGJ65476:GGJ65479 GQF65476:GQF65479 HAB65476:HAB65479 HJX65476:HJX65479 HTT65476:HTT65479 IDP65476:IDP65479 INL65476:INL65479 IXH65476:IXH65479 JHD65476:JHD65479 JQZ65476:JQZ65479 KAV65476:KAV65479 KKR65476:KKR65479 KUN65476:KUN65479 LEJ65476:LEJ65479 LOF65476:LOF65479 LYB65476:LYB65479 MHX65476:MHX65479 MRT65476:MRT65479 NBP65476:NBP65479 NLL65476:NLL65479 NVH65476:NVH65479 OFD65476:OFD65479 OOZ65476:OOZ65479 OYV65476:OYV65479 PIR65476:PIR65479 PSN65476:PSN65479 QCJ65476:QCJ65479 QMF65476:QMF65479 QWB65476:QWB65479 RFX65476:RFX65479 RPT65476:RPT65479 RZP65476:RZP65479 SJL65476:SJL65479 STH65476:STH65479 TDD65476:TDD65479 TMZ65476:TMZ65479 TWV65476:TWV65479 UGR65476:UGR65479 UQN65476:UQN65479 VAJ65476:VAJ65479 VKF65476:VKF65479 VUB65476:VUB65479 WDX65476:WDX65479 WNT65476:WNT65479 WXP65476:WXP65479 BH131012:BH131015 LD131012:LD131015 UZ131012:UZ131015 AEV131012:AEV131015 AOR131012:AOR131015 AYN131012:AYN131015 BIJ131012:BIJ131015 BSF131012:BSF131015 CCB131012:CCB131015 CLX131012:CLX131015 CVT131012:CVT131015 DFP131012:DFP131015 DPL131012:DPL131015 DZH131012:DZH131015 EJD131012:EJD131015 ESZ131012:ESZ131015 FCV131012:FCV131015 FMR131012:FMR131015 FWN131012:FWN131015 GGJ131012:GGJ131015 GQF131012:GQF131015 HAB131012:HAB131015 HJX131012:HJX131015 HTT131012:HTT131015 IDP131012:IDP131015 INL131012:INL131015 IXH131012:IXH131015 JHD131012:JHD131015 JQZ131012:JQZ131015 KAV131012:KAV131015 KKR131012:KKR131015 KUN131012:KUN131015 LEJ131012:LEJ131015 LOF131012:LOF131015 LYB131012:LYB131015 MHX131012:MHX131015 MRT131012:MRT131015 NBP131012:NBP131015 NLL131012:NLL131015 NVH131012:NVH131015 OFD131012:OFD131015 OOZ131012:OOZ131015 OYV131012:OYV131015 PIR131012:PIR131015 PSN131012:PSN131015 QCJ131012:QCJ131015 QMF131012:QMF131015 QWB131012:QWB131015 RFX131012:RFX131015 RPT131012:RPT131015 RZP131012:RZP131015 SJL131012:SJL131015 STH131012:STH131015 TDD131012:TDD131015 TMZ131012:TMZ131015 TWV131012:TWV131015 UGR131012:UGR131015 UQN131012:UQN131015 VAJ131012:VAJ131015 VKF131012:VKF131015 VUB131012:VUB131015 WDX131012:WDX131015 WNT131012:WNT131015 WXP131012:WXP131015 BH196548:BH196551 LD196548:LD196551 UZ196548:UZ196551 AEV196548:AEV196551 AOR196548:AOR196551 AYN196548:AYN196551 BIJ196548:BIJ196551 BSF196548:BSF196551 CCB196548:CCB196551 CLX196548:CLX196551 CVT196548:CVT196551 DFP196548:DFP196551 DPL196548:DPL196551 DZH196548:DZH196551 EJD196548:EJD196551 ESZ196548:ESZ196551 FCV196548:FCV196551 FMR196548:FMR196551 FWN196548:FWN196551 GGJ196548:GGJ196551 GQF196548:GQF196551 HAB196548:HAB196551 HJX196548:HJX196551 HTT196548:HTT196551 IDP196548:IDP196551 INL196548:INL196551 IXH196548:IXH196551 JHD196548:JHD196551 JQZ196548:JQZ196551 KAV196548:KAV196551 KKR196548:KKR196551 KUN196548:KUN196551 LEJ196548:LEJ196551 LOF196548:LOF196551 LYB196548:LYB196551 MHX196548:MHX196551 MRT196548:MRT196551 NBP196548:NBP196551 NLL196548:NLL196551 NVH196548:NVH196551 OFD196548:OFD196551 OOZ196548:OOZ196551 OYV196548:OYV196551 PIR196548:PIR196551 PSN196548:PSN196551 QCJ196548:QCJ196551 QMF196548:QMF196551 QWB196548:QWB196551 RFX196548:RFX196551 RPT196548:RPT196551 RZP196548:RZP196551 SJL196548:SJL196551 STH196548:STH196551 TDD196548:TDD196551 TMZ196548:TMZ196551 TWV196548:TWV196551 UGR196548:UGR196551 UQN196548:UQN196551 VAJ196548:VAJ196551 VKF196548:VKF196551 VUB196548:VUB196551 WDX196548:WDX196551 WNT196548:WNT196551 WXP196548:WXP196551 BH262084:BH262087 LD262084:LD262087 UZ262084:UZ262087 AEV262084:AEV262087 AOR262084:AOR262087 AYN262084:AYN262087 BIJ262084:BIJ262087 BSF262084:BSF262087 CCB262084:CCB262087 CLX262084:CLX262087 CVT262084:CVT262087 DFP262084:DFP262087 DPL262084:DPL262087 DZH262084:DZH262087 EJD262084:EJD262087 ESZ262084:ESZ262087 FCV262084:FCV262087 FMR262084:FMR262087 FWN262084:FWN262087 GGJ262084:GGJ262087 GQF262084:GQF262087 HAB262084:HAB262087 HJX262084:HJX262087 HTT262084:HTT262087 IDP262084:IDP262087 INL262084:INL262087 IXH262084:IXH262087 JHD262084:JHD262087 JQZ262084:JQZ262087 KAV262084:KAV262087 KKR262084:KKR262087 KUN262084:KUN262087 LEJ262084:LEJ262087 LOF262084:LOF262087 LYB262084:LYB262087 MHX262084:MHX262087 MRT262084:MRT262087 NBP262084:NBP262087 NLL262084:NLL262087 NVH262084:NVH262087 OFD262084:OFD262087 OOZ262084:OOZ262087 OYV262084:OYV262087 PIR262084:PIR262087 PSN262084:PSN262087 QCJ262084:QCJ262087 QMF262084:QMF262087 QWB262084:QWB262087 RFX262084:RFX262087 RPT262084:RPT262087 RZP262084:RZP262087 SJL262084:SJL262087 STH262084:STH262087 TDD262084:TDD262087 TMZ262084:TMZ262087 TWV262084:TWV262087 UGR262084:UGR262087 UQN262084:UQN262087 VAJ262084:VAJ262087 VKF262084:VKF262087 VUB262084:VUB262087 WDX262084:WDX262087 WNT262084:WNT262087 WXP262084:WXP262087 BH327620:BH327623 LD327620:LD327623 UZ327620:UZ327623 AEV327620:AEV327623 AOR327620:AOR327623 AYN327620:AYN327623 BIJ327620:BIJ327623 BSF327620:BSF327623 CCB327620:CCB327623 CLX327620:CLX327623 CVT327620:CVT327623 DFP327620:DFP327623 DPL327620:DPL327623 DZH327620:DZH327623 EJD327620:EJD327623 ESZ327620:ESZ327623 FCV327620:FCV327623 FMR327620:FMR327623 FWN327620:FWN327623 GGJ327620:GGJ327623 GQF327620:GQF327623 HAB327620:HAB327623 HJX327620:HJX327623 HTT327620:HTT327623 IDP327620:IDP327623 INL327620:INL327623 IXH327620:IXH327623 JHD327620:JHD327623 JQZ327620:JQZ327623 KAV327620:KAV327623 KKR327620:KKR327623 KUN327620:KUN327623 LEJ327620:LEJ327623 LOF327620:LOF327623 LYB327620:LYB327623 MHX327620:MHX327623 MRT327620:MRT327623 NBP327620:NBP327623 NLL327620:NLL327623 NVH327620:NVH327623 OFD327620:OFD327623 OOZ327620:OOZ327623 OYV327620:OYV327623 PIR327620:PIR327623 PSN327620:PSN327623 QCJ327620:QCJ327623 QMF327620:QMF327623 QWB327620:QWB327623 RFX327620:RFX327623 RPT327620:RPT327623 RZP327620:RZP327623 SJL327620:SJL327623 STH327620:STH327623 TDD327620:TDD327623 TMZ327620:TMZ327623 TWV327620:TWV327623 UGR327620:UGR327623 UQN327620:UQN327623 VAJ327620:VAJ327623 VKF327620:VKF327623 VUB327620:VUB327623 WDX327620:WDX327623 WNT327620:WNT327623 WXP327620:WXP327623 BH393156:BH393159 LD393156:LD393159 UZ393156:UZ393159 AEV393156:AEV393159 AOR393156:AOR393159 AYN393156:AYN393159 BIJ393156:BIJ393159 BSF393156:BSF393159 CCB393156:CCB393159 CLX393156:CLX393159 CVT393156:CVT393159 DFP393156:DFP393159 DPL393156:DPL393159 DZH393156:DZH393159 EJD393156:EJD393159 ESZ393156:ESZ393159 FCV393156:FCV393159 FMR393156:FMR393159 FWN393156:FWN393159 GGJ393156:GGJ393159 GQF393156:GQF393159 HAB393156:HAB393159 HJX393156:HJX393159 HTT393156:HTT393159 IDP393156:IDP393159 INL393156:INL393159 IXH393156:IXH393159 JHD393156:JHD393159 JQZ393156:JQZ393159 KAV393156:KAV393159 KKR393156:KKR393159 KUN393156:KUN393159 LEJ393156:LEJ393159 LOF393156:LOF393159 LYB393156:LYB393159 MHX393156:MHX393159 MRT393156:MRT393159 NBP393156:NBP393159 NLL393156:NLL393159 NVH393156:NVH393159 OFD393156:OFD393159 OOZ393156:OOZ393159 OYV393156:OYV393159 PIR393156:PIR393159 PSN393156:PSN393159 QCJ393156:QCJ393159 QMF393156:QMF393159 QWB393156:QWB393159 RFX393156:RFX393159 RPT393156:RPT393159 RZP393156:RZP393159 SJL393156:SJL393159 STH393156:STH393159 TDD393156:TDD393159 TMZ393156:TMZ393159 TWV393156:TWV393159 UGR393156:UGR393159 UQN393156:UQN393159 VAJ393156:VAJ393159 VKF393156:VKF393159 VUB393156:VUB393159 WDX393156:WDX393159 WNT393156:WNT393159 WXP393156:WXP393159 BH458692:BH458695 LD458692:LD458695 UZ458692:UZ458695 AEV458692:AEV458695 AOR458692:AOR458695 AYN458692:AYN458695 BIJ458692:BIJ458695 BSF458692:BSF458695 CCB458692:CCB458695 CLX458692:CLX458695 CVT458692:CVT458695 DFP458692:DFP458695 DPL458692:DPL458695 DZH458692:DZH458695 EJD458692:EJD458695 ESZ458692:ESZ458695 FCV458692:FCV458695 FMR458692:FMR458695 FWN458692:FWN458695 GGJ458692:GGJ458695 GQF458692:GQF458695 HAB458692:HAB458695 HJX458692:HJX458695 HTT458692:HTT458695 IDP458692:IDP458695 INL458692:INL458695 IXH458692:IXH458695 JHD458692:JHD458695 JQZ458692:JQZ458695 KAV458692:KAV458695 KKR458692:KKR458695 KUN458692:KUN458695 LEJ458692:LEJ458695 LOF458692:LOF458695 LYB458692:LYB458695 MHX458692:MHX458695 MRT458692:MRT458695 NBP458692:NBP458695 NLL458692:NLL458695 NVH458692:NVH458695 OFD458692:OFD458695 OOZ458692:OOZ458695 OYV458692:OYV458695 PIR458692:PIR458695 PSN458692:PSN458695 QCJ458692:QCJ458695 QMF458692:QMF458695 QWB458692:QWB458695 RFX458692:RFX458695 RPT458692:RPT458695 RZP458692:RZP458695 SJL458692:SJL458695 STH458692:STH458695 TDD458692:TDD458695 TMZ458692:TMZ458695 TWV458692:TWV458695 UGR458692:UGR458695 UQN458692:UQN458695 VAJ458692:VAJ458695 VKF458692:VKF458695 VUB458692:VUB458695 WDX458692:WDX458695 WNT458692:WNT458695 WXP458692:WXP458695 BH524228:BH524231 LD524228:LD524231 UZ524228:UZ524231 AEV524228:AEV524231 AOR524228:AOR524231 AYN524228:AYN524231 BIJ524228:BIJ524231 BSF524228:BSF524231 CCB524228:CCB524231 CLX524228:CLX524231 CVT524228:CVT524231 DFP524228:DFP524231 DPL524228:DPL524231 DZH524228:DZH524231 EJD524228:EJD524231 ESZ524228:ESZ524231 FCV524228:FCV524231 FMR524228:FMR524231 FWN524228:FWN524231 GGJ524228:GGJ524231 GQF524228:GQF524231 HAB524228:HAB524231 HJX524228:HJX524231 HTT524228:HTT524231 IDP524228:IDP524231 INL524228:INL524231 IXH524228:IXH524231 JHD524228:JHD524231 JQZ524228:JQZ524231 KAV524228:KAV524231 KKR524228:KKR524231 KUN524228:KUN524231 LEJ524228:LEJ524231 LOF524228:LOF524231 LYB524228:LYB524231 MHX524228:MHX524231 MRT524228:MRT524231 NBP524228:NBP524231 NLL524228:NLL524231 NVH524228:NVH524231 OFD524228:OFD524231 OOZ524228:OOZ524231 OYV524228:OYV524231 PIR524228:PIR524231 PSN524228:PSN524231 QCJ524228:QCJ524231 QMF524228:QMF524231 QWB524228:QWB524231 RFX524228:RFX524231 RPT524228:RPT524231 RZP524228:RZP524231 SJL524228:SJL524231 STH524228:STH524231 TDD524228:TDD524231 TMZ524228:TMZ524231 TWV524228:TWV524231 UGR524228:UGR524231 UQN524228:UQN524231 VAJ524228:VAJ524231 VKF524228:VKF524231 VUB524228:VUB524231 WDX524228:WDX524231 WNT524228:WNT524231 WXP524228:WXP524231 BH589764:BH589767 LD589764:LD589767 UZ589764:UZ589767 AEV589764:AEV589767 AOR589764:AOR589767 AYN589764:AYN589767 BIJ589764:BIJ589767 BSF589764:BSF589767 CCB589764:CCB589767 CLX589764:CLX589767 CVT589764:CVT589767 DFP589764:DFP589767 DPL589764:DPL589767 DZH589764:DZH589767 EJD589764:EJD589767 ESZ589764:ESZ589767 FCV589764:FCV589767 FMR589764:FMR589767 FWN589764:FWN589767 GGJ589764:GGJ589767 GQF589764:GQF589767 HAB589764:HAB589767 HJX589764:HJX589767 HTT589764:HTT589767 IDP589764:IDP589767 INL589764:INL589767 IXH589764:IXH589767 JHD589764:JHD589767 JQZ589764:JQZ589767 KAV589764:KAV589767 KKR589764:KKR589767 KUN589764:KUN589767 LEJ589764:LEJ589767 LOF589764:LOF589767 LYB589764:LYB589767 MHX589764:MHX589767 MRT589764:MRT589767 NBP589764:NBP589767 NLL589764:NLL589767 NVH589764:NVH589767 OFD589764:OFD589767 OOZ589764:OOZ589767 OYV589764:OYV589767 PIR589764:PIR589767 PSN589764:PSN589767 QCJ589764:QCJ589767 QMF589764:QMF589767 QWB589764:QWB589767 RFX589764:RFX589767 RPT589764:RPT589767 RZP589764:RZP589767 SJL589764:SJL589767 STH589764:STH589767 TDD589764:TDD589767 TMZ589764:TMZ589767 TWV589764:TWV589767 UGR589764:UGR589767 UQN589764:UQN589767 VAJ589764:VAJ589767 VKF589764:VKF589767 VUB589764:VUB589767 WDX589764:WDX589767 WNT589764:WNT589767 WXP589764:WXP589767 BH655300:BH655303 LD655300:LD655303 UZ655300:UZ655303 AEV655300:AEV655303 AOR655300:AOR655303 AYN655300:AYN655303 BIJ655300:BIJ655303 BSF655300:BSF655303 CCB655300:CCB655303 CLX655300:CLX655303 CVT655300:CVT655303 DFP655300:DFP655303 DPL655300:DPL655303 DZH655300:DZH655303 EJD655300:EJD655303 ESZ655300:ESZ655303 FCV655300:FCV655303 FMR655300:FMR655303 FWN655300:FWN655303 GGJ655300:GGJ655303 GQF655300:GQF655303 HAB655300:HAB655303 HJX655300:HJX655303 HTT655300:HTT655303 IDP655300:IDP655303 INL655300:INL655303 IXH655300:IXH655303 JHD655300:JHD655303 JQZ655300:JQZ655303 KAV655300:KAV655303 KKR655300:KKR655303 KUN655300:KUN655303 LEJ655300:LEJ655303 LOF655300:LOF655303 LYB655300:LYB655303 MHX655300:MHX655303 MRT655300:MRT655303 NBP655300:NBP655303 NLL655300:NLL655303 NVH655300:NVH655303 OFD655300:OFD655303 OOZ655300:OOZ655303 OYV655300:OYV655303 PIR655300:PIR655303 PSN655300:PSN655303 QCJ655300:QCJ655303 QMF655300:QMF655303 QWB655300:QWB655303 RFX655300:RFX655303 RPT655300:RPT655303 RZP655300:RZP655303 SJL655300:SJL655303 STH655300:STH655303 TDD655300:TDD655303 TMZ655300:TMZ655303 TWV655300:TWV655303 UGR655300:UGR655303 UQN655300:UQN655303 VAJ655300:VAJ655303 VKF655300:VKF655303 VUB655300:VUB655303 WDX655300:WDX655303 WNT655300:WNT655303 WXP655300:WXP655303 BH720836:BH720839 LD720836:LD720839 UZ720836:UZ720839 AEV720836:AEV720839 AOR720836:AOR720839 AYN720836:AYN720839 BIJ720836:BIJ720839 BSF720836:BSF720839 CCB720836:CCB720839 CLX720836:CLX720839 CVT720836:CVT720839 DFP720836:DFP720839 DPL720836:DPL720839 DZH720836:DZH720839 EJD720836:EJD720839 ESZ720836:ESZ720839 FCV720836:FCV720839 FMR720836:FMR720839 FWN720836:FWN720839 GGJ720836:GGJ720839 GQF720836:GQF720839 HAB720836:HAB720839 HJX720836:HJX720839 HTT720836:HTT720839 IDP720836:IDP720839 INL720836:INL720839 IXH720836:IXH720839 JHD720836:JHD720839 JQZ720836:JQZ720839 KAV720836:KAV720839 KKR720836:KKR720839 KUN720836:KUN720839 LEJ720836:LEJ720839 LOF720836:LOF720839 LYB720836:LYB720839 MHX720836:MHX720839 MRT720836:MRT720839 NBP720836:NBP720839 NLL720836:NLL720839 NVH720836:NVH720839 OFD720836:OFD720839 OOZ720836:OOZ720839 OYV720836:OYV720839 PIR720836:PIR720839 PSN720836:PSN720839 QCJ720836:QCJ720839 QMF720836:QMF720839 QWB720836:QWB720839 RFX720836:RFX720839 RPT720836:RPT720839 RZP720836:RZP720839 SJL720836:SJL720839 STH720836:STH720839 TDD720836:TDD720839 TMZ720836:TMZ720839 TWV720836:TWV720839 UGR720836:UGR720839 UQN720836:UQN720839 VAJ720836:VAJ720839 VKF720836:VKF720839 VUB720836:VUB720839 WDX720836:WDX720839 WNT720836:WNT720839 WXP720836:WXP720839 BH786372:BH786375 LD786372:LD786375 UZ786372:UZ786375 AEV786372:AEV786375 AOR786372:AOR786375 AYN786372:AYN786375 BIJ786372:BIJ786375 BSF786372:BSF786375 CCB786372:CCB786375 CLX786372:CLX786375 CVT786372:CVT786375 DFP786372:DFP786375 DPL786372:DPL786375 DZH786372:DZH786375 EJD786372:EJD786375 ESZ786372:ESZ786375 FCV786372:FCV786375 FMR786372:FMR786375 FWN786372:FWN786375 GGJ786372:GGJ786375 GQF786372:GQF786375 HAB786372:HAB786375 HJX786372:HJX786375 HTT786372:HTT786375 IDP786372:IDP786375 INL786372:INL786375 IXH786372:IXH786375 JHD786372:JHD786375 JQZ786372:JQZ786375 KAV786372:KAV786375 KKR786372:KKR786375 KUN786372:KUN786375 LEJ786372:LEJ786375 LOF786372:LOF786375 LYB786372:LYB786375 MHX786372:MHX786375 MRT786372:MRT786375 NBP786372:NBP786375 NLL786372:NLL786375 NVH786372:NVH786375 OFD786372:OFD786375 OOZ786372:OOZ786375 OYV786372:OYV786375 PIR786372:PIR786375 PSN786372:PSN786375 QCJ786372:QCJ786375 QMF786372:QMF786375 QWB786372:QWB786375 RFX786372:RFX786375 RPT786372:RPT786375 RZP786372:RZP786375 SJL786372:SJL786375 STH786372:STH786375 TDD786372:TDD786375 TMZ786372:TMZ786375 TWV786372:TWV786375 UGR786372:UGR786375 UQN786372:UQN786375 VAJ786372:VAJ786375 VKF786372:VKF786375 VUB786372:VUB786375 WDX786372:WDX786375 WNT786372:WNT786375 WXP786372:WXP786375 BH851908:BH851911 LD851908:LD851911 UZ851908:UZ851911 AEV851908:AEV851911 AOR851908:AOR851911 AYN851908:AYN851911 BIJ851908:BIJ851911 BSF851908:BSF851911 CCB851908:CCB851911 CLX851908:CLX851911 CVT851908:CVT851911 DFP851908:DFP851911 DPL851908:DPL851911 DZH851908:DZH851911 EJD851908:EJD851911 ESZ851908:ESZ851911 FCV851908:FCV851911 FMR851908:FMR851911 FWN851908:FWN851911 GGJ851908:GGJ851911 GQF851908:GQF851911 HAB851908:HAB851911 HJX851908:HJX851911 HTT851908:HTT851911 IDP851908:IDP851911 INL851908:INL851911 IXH851908:IXH851911 JHD851908:JHD851911 JQZ851908:JQZ851911 KAV851908:KAV851911 KKR851908:KKR851911 KUN851908:KUN851911 LEJ851908:LEJ851911 LOF851908:LOF851911 LYB851908:LYB851911 MHX851908:MHX851911 MRT851908:MRT851911 NBP851908:NBP851911 NLL851908:NLL851911 NVH851908:NVH851911 OFD851908:OFD851911 OOZ851908:OOZ851911 OYV851908:OYV851911 PIR851908:PIR851911 PSN851908:PSN851911 QCJ851908:QCJ851911 QMF851908:QMF851911 QWB851908:QWB851911 RFX851908:RFX851911 RPT851908:RPT851911 RZP851908:RZP851911 SJL851908:SJL851911 STH851908:STH851911 TDD851908:TDD851911 TMZ851908:TMZ851911 TWV851908:TWV851911 UGR851908:UGR851911 UQN851908:UQN851911 VAJ851908:VAJ851911 VKF851908:VKF851911 VUB851908:VUB851911 WDX851908:WDX851911 WNT851908:WNT851911 WXP851908:WXP851911 BH917444:BH917447 LD917444:LD917447 UZ917444:UZ917447 AEV917444:AEV917447 AOR917444:AOR917447 AYN917444:AYN917447 BIJ917444:BIJ917447 BSF917444:BSF917447 CCB917444:CCB917447 CLX917444:CLX917447 CVT917444:CVT917447 DFP917444:DFP917447 DPL917444:DPL917447 DZH917444:DZH917447 EJD917444:EJD917447 ESZ917444:ESZ917447 FCV917444:FCV917447 FMR917444:FMR917447 FWN917444:FWN917447 GGJ917444:GGJ917447 GQF917444:GQF917447 HAB917444:HAB917447 HJX917444:HJX917447 HTT917444:HTT917447 IDP917444:IDP917447 INL917444:INL917447 IXH917444:IXH917447 JHD917444:JHD917447 JQZ917444:JQZ917447 KAV917444:KAV917447 KKR917444:KKR917447 KUN917444:KUN917447 LEJ917444:LEJ917447 LOF917444:LOF917447 LYB917444:LYB917447 MHX917444:MHX917447 MRT917444:MRT917447 NBP917444:NBP917447 NLL917444:NLL917447 NVH917444:NVH917447 OFD917444:OFD917447 OOZ917444:OOZ917447 OYV917444:OYV917447 PIR917444:PIR917447 PSN917444:PSN917447 QCJ917444:QCJ917447 QMF917444:QMF917447 QWB917444:QWB917447 RFX917444:RFX917447 RPT917444:RPT917447 RZP917444:RZP917447 SJL917444:SJL917447 STH917444:STH917447 TDD917444:TDD917447 TMZ917444:TMZ917447 TWV917444:TWV917447 UGR917444:UGR917447 UQN917444:UQN917447 VAJ917444:VAJ917447 VKF917444:VKF917447 VUB917444:VUB917447 WDX917444:WDX917447 WNT917444:WNT917447 WXP917444:WXP917447 BH982980:BH982983 LD982980:LD982983 UZ982980:UZ982983 AEV982980:AEV982983 AOR982980:AOR982983 AYN982980:AYN982983 BIJ982980:BIJ982983 BSF982980:BSF982983 CCB982980:CCB982983 CLX982980:CLX982983 CVT982980:CVT982983 DFP982980:DFP982983 DPL982980:DPL982983 DZH982980:DZH982983 EJD982980:EJD982983 ESZ982980:ESZ982983 FCV982980:FCV982983 FMR982980:FMR982983 FWN982980:FWN982983 GGJ982980:GGJ982983 GQF982980:GQF982983 HAB982980:HAB982983 HJX982980:HJX982983 HTT982980:HTT982983 IDP982980:IDP982983 INL982980:INL982983 IXH982980:IXH982983 JHD982980:JHD982983 JQZ982980:JQZ982983 KAV982980:KAV982983 KKR982980:KKR982983 KUN982980:KUN982983 LEJ982980:LEJ982983 LOF982980:LOF982983 LYB982980:LYB982983 MHX982980:MHX982983 MRT982980:MRT982983 NBP982980:NBP982983 NLL982980:NLL982983 NVH982980:NVH982983 OFD982980:OFD982983 OOZ982980:OOZ982983 OYV982980:OYV982983 PIR982980:PIR982983 PSN982980:PSN982983 QCJ982980:QCJ982983 QMF982980:QMF982983 QWB982980:QWB982983 RFX982980:RFX982983 RPT982980:RPT982983 RZP982980:RZP982983 SJL982980:SJL982983 STH982980:STH982983 TDD982980:TDD982983 TMZ982980:TMZ982983 TWV982980:TWV982983 UGR982980:UGR982983 UQN982980:UQN982983 VAJ982980:VAJ982983 VKF982980:VKF982983 VUB982980:VUB982983 WDX982980:WDX982983 WNT982980:WNT982983">
      <formula1>$E$59:$E$62</formula1>
    </dataValidation>
    <dataValidation type="list" allowBlank="1" showInputMessage="1" showErrorMessage="1" sqref="WYI982980:WYK982983 CG65476:CG65479 LW65476:LY65479 VS65476:VU65479 AFO65476:AFQ65479 APK65476:APM65479 AZG65476:AZI65479 BJC65476:BJE65479 BSY65476:BTA65479 CCU65476:CCW65479 CMQ65476:CMS65479 CWM65476:CWO65479 DGI65476:DGK65479 DQE65476:DQG65479 EAA65476:EAC65479 EJW65476:EJY65479 ETS65476:ETU65479 FDO65476:FDQ65479 FNK65476:FNM65479 FXG65476:FXI65479 GHC65476:GHE65479 GQY65476:GRA65479 HAU65476:HAW65479 HKQ65476:HKS65479 HUM65476:HUO65479 IEI65476:IEK65479 IOE65476:IOG65479 IYA65476:IYC65479 JHW65476:JHY65479 JRS65476:JRU65479 KBO65476:KBQ65479 KLK65476:KLM65479 KVG65476:KVI65479 LFC65476:LFE65479 LOY65476:LPA65479 LYU65476:LYW65479 MIQ65476:MIS65479 MSM65476:MSO65479 NCI65476:NCK65479 NME65476:NMG65479 NWA65476:NWC65479 OFW65476:OFY65479 OPS65476:OPU65479 OZO65476:OZQ65479 PJK65476:PJM65479 PTG65476:PTI65479 QDC65476:QDE65479 QMY65476:QNA65479 QWU65476:QWW65479 RGQ65476:RGS65479 RQM65476:RQO65479 SAI65476:SAK65479 SKE65476:SKG65479 SUA65476:SUC65479 TDW65476:TDY65479 TNS65476:TNU65479 TXO65476:TXQ65479 UHK65476:UHM65479 URG65476:URI65479 VBC65476:VBE65479 VKY65476:VLA65479 VUU65476:VUW65479 WEQ65476:WES65479 WOM65476:WOO65479 WYI65476:WYK65479 CG131012:CG131015 LW131012:LY131015 VS131012:VU131015 AFO131012:AFQ131015 APK131012:APM131015 AZG131012:AZI131015 BJC131012:BJE131015 BSY131012:BTA131015 CCU131012:CCW131015 CMQ131012:CMS131015 CWM131012:CWO131015 DGI131012:DGK131015 DQE131012:DQG131015 EAA131012:EAC131015 EJW131012:EJY131015 ETS131012:ETU131015 FDO131012:FDQ131015 FNK131012:FNM131015 FXG131012:FXI131015 GHC131012:GHE131015 GQY131012:GRA131015 HAU131012:HAW131015 HKQ131012:HKS131015 HUM131012:HUO131015 IEI131012:IEK131015 IOE131012:IOG131015 IYA131012:IYC131015 JHW131012:JHY131015 JRS131012:JRU131015 KBO131012:KBQ131015 KLK131012:KLM131015 KVG131012:KVI131015 LFC131012:LFE131015 LOY131012:LPA131015 LYU131012:LYW131015 MIQ131012:MIS131015 MSM131012:MSO131015 NCI131012:NCK131015 NME131012:NMG131015 NWA131012:NWC131015 OFW131012:OFY131015 OPS131012:OPU131015 OZO131012:OZQ131015 PJK131012:PJM131015 PTG131012:PTI131015 QDC131012:QDE131015 QMY131012:QNA131015 QWU131012:QWW131015 RGQ131012:RGS131015 RQM131012:RQO131015 SAI131012:SAK131015 SKE131012:SKG131015 SUA131012:SUC131015 TDW131012:TDY131015 TNS131012:TNU131015 TXO131012:TXQ131015 UHK131012:UHM131015 URG131012:URI131015 VBC131012:VBE131015 VKY131012:VLA131015 VUU131012:VUW131015 WEQ131012:WES131015 WOM131012:WOO131015 WYI131012:WYK131015 CG196548:CG196551 LW196548:LY196551 VS196548:VU196551 AFO196548:AFQ196551 APK196548:APM196551 AZG196548:AZI196551 BJC196548:BJE196551 BSY196548:BTA196551 CCU196548:CCW196551 CMQ196548:CMS196551 CWM196548:CWO196551 DGI196548:DGK196551 DQE196548:DQG196551 EAA196548:EAC196551 EJW196548:EJY196551 ETS196548:ETU196551 FDO196548:FDQ196551 FNK196548:FNM196551 FXG196548:FXI196551 GHC196548:GHE196551 GQY196548:GRA196551 HAU196548:HAW196551 HKQ196548:HKS196551 HUM196548:HUO196551 IEI196548:IEK196551 IOE196548:IOG196551 IYA196548:IYC196551 JHW196548:JHY196551 JRS196548:JRU196551 KBO196548:KBQ196551 KLK196548:KLM196551 KVG196548:KVI196551 LFC196548:LFE196551 LOY196548:LPA196551 LYU196548:LYW196551 MIQ196548:MIS196551 MSM196548:MSO196551 NCI196548:NCK196551 NME196548:NMG196551 NWA196548:NWC196551 OFW196548:OFY196551 OPS196548:OPU196551 OZO196548:OZQ196551 PJK196548:PJM196551 PTG196548:PTI196551 QDC196548:QDE196551 QMY196548:QNA196551 QWU196548:QWW196551 RGQ196548:RGS196551 RQM196548:RQO196551 SAI196548:SAK196551 SKE196548:SKG196551 SUA196548:SUC196551 TDW196548:TDY196551 TNS196548:TNU196551 TXO196548:TXQ196551 UHK196548:UHM196551 URG196548:URI196551 VBC196548:VBE196551 VKY196548:VLA196551 VUU196548:VUW196551 WEQ196548:WES196551 WOM196548:WOO196551 WYI196548:WYK196551 CG262084:CG262087 LW262084:LY262087 VS262084:VU262087 AFO262084:AFQ262087 APK262084:APM262087 AZG262084:AZI262087 BJC262084:BJE262087 BSY262084:BTA262087 CCU262084:CCW262087 CMQ262084:CMS262087 CWM262084:CWO262087 DGI262084:DGK262087 DQE262084:DQG262087 EAA262084:EAC262087 EJW262084:EJY262087 ETS262084:ETU262087 FDO262084:FDQ262087 FNK262084:FNM262087 FXG262084:FXI262087 GHC262084:GHE262087 GQY262084:GRA262087 HAU262084:HAW262087 HKQ262084:HKS262087 HUM262084:HUO262087 IEI262084:IEK262087 IOE262084:IOG262087 IYA262084:IYC262087 JHW262084:JHY262087 JRS262084:JRU262087 KBO262084:KBQ262087 KLK262084:KLM262087 KVG262084:KVI262087 LFC262084:LFE262087 LOY262084:LPA262087 LYU262084:LYW262087 MIQ262084:MIS262087 MSM262084:MSO262087 NCI262084:NCK262087 NME262084:NMG262087 NWA262084:NWC262087 OFW262084:OFY262087 OPS262084:OPU262087 OZO262084:OZQ262087 PJK262084:PJM262087 PTG262084:PTI262087 QDC262084:QDE262087 QMY262084:QNA262087 QWU262084:QWW262087 RGQ262084:RGS262087 RQM262084:RQO262087 SAI262084:SAK262087 SKE262084:SKG262087 SUA262084:SUC262087 TDW262084:TDY262087 TNS262084:TNU262087 TXO262084:TXQ262087 UHK262084:UHM262087 URG262084:URI262087 VBC262084:VBE262087 VKY262084:VLA262087 VUU262084:VUW262087 WEQ262084:WES262087 WOM262084:WOO262087 WYI262084:WYK262087 CG327620:CG327623 LW327620:LY327623 VS327620:VU327623 AFO327620:AFQ327623 APK327620:APM327623 AZG327620:AZI327623 BJC327620:BJE327623 BSY327620:BTA327623 CCU327620:CCW327623 CMQ327620:CMS327623 CWM327620:CWO327623 DGI327620:DGK327623 DQE327620:DQG327623 EAA327620:EAC327623 EJW327620:EJY327623 ETS327620:ETU327623 FDO327620:FDQ327623 FNK327620:FNM327623 FXG327620:FXI327623 GHC327620:GHE327623 GQY327620:GRA327623 HAU327620:HAW327623 HKQ327620:HKS327623 HUM327620:HUO327623 IEI327620:IEK327623 IOE327620:IOG327623 IYA327620:IYC327623 JHW327620:JHY327623 JRS327620:JRU327623 KBO327620:KBQ327623 KLK327620:KLM327623 KVG327620:KVI327623 LFC327620:LFE327623 LOY327620:LPA327623 LYU327620:LYW327623 MIQ327620:MIS327623 MSM327620:MSO327623 NCI327620:NCK327623 NME327620:NMG327623 NWA327620:NWC327623 OFW327620:OFY327623 OPS327620:OPU327623 OZO327620:OZQ327623 PJK327620:PJM327623 PTG327620:PTI327623 QDC327620:QDE327623 QMY327620:QNA327623 QWU327620:QWW327623 RGQ327620:RGS327623 RQM327620:RQO327623 SAI327620:SAK327623 SKE327620:SKG327623 SUA327620:SUC327623 TDW327620:TDY327623 TNS327620:TNU327623 TXO327620:TXQ327623 UHK327620:UHM327623 URG327620:URI327623 VBC327620:VBE327623 VKY327620:VLA327623 VUU327620:VUW327623 WEQ327620:WES327623 WOM327620:WOO327623 WYI327620:WYK327623 CG393156:CG393159 LW393156:LY393159 VS393156:VU393159 AFO393156:AFQ393159 APK393156:APM393159 AZG393156:AZI393159 BJC393156:BJE393159 BSY393156:BTA393159 CCU393156:CCW393159 CMQ393156:CMS393159 CWM393156:CWO393159 DGI393156:DGK393159 DQE393156:DQG393159 EAA393156:EAC393159 EJW393156:EJY393159 ETS393156:ETU393159 FDO393156:FDQ393159 FNK393156:FNM393159 FXG393156:FXI393159 GHC393156:GHE393159 GQY393156:GRA393159 HAU393156:HAW393159 HKQ393156:HKS393159 HUM393156:HUO393159 IEI393156:IEK393159 IOE393156:IOG393159 IYA393156:IYC393159 JHW393156:JHY393159 JRS393156:JRU393159 KBO393156:KBQ393159 KLK393156:KLM393159 KVG393156:KVI393159 LFC393156:LFE393159 LOY393156:LPA393159 LYU393156:LYW393159 MIQ393156:MIS393159 MSM393156:MSO393159 NCI393156:NCK393159 NME393156:NMG393159 NWA393156:NWC393159 OFW393156:OFY393159 OPS393156:OPU393159 OZO393156:OZQ393159 PJK393156:PJM393159 PTG393156:PTI393159 QDC393156:QDE393159 QMY393156:QNA393159 QWU393156:QWW393159 RGQ393156:RGS393159 RQM393156:RQO393159 SAI393156:SAK393159 SKE393156:SKG393159 SUA393156:SUC393159 TDW393156:TDY393159 TNS393156:TNU393159 TXO393156:TXQ393159 UHK393156:UHM393159 URG393156:URI393159 VBC393156:VBE393159 VKY393156:VLA393159 VUU393156:VUW393159 WEQ393156:WES393159 WOM393156:WOO393159 WYI393156:WYK393159 CG458692:CG458695 LW458692:LY458695 VS458692:VU458695 AFO458692:AFQ458695 APK458692:APM458695 AZG458692:AZI458695 BJC458692:BJE458695 BSY458692:BTA458695 CCU458692:CCW458695 CMQ458692:CMS458695 CWM458692:CWO458695 DGI458692:DGK458695 DQE458692:DQG458695 EAA458692:EAC458695 EJW458692:EJY458695 ETS458692:ETU458695 FDO458692:FDQ458695 FNK458692:FNM458695 FXG458692:FXI458695 GHC458692:GHE458695 GQY458692:GRA458695 HAU458692:HAW458695 HKQ458692:HKS458695 HUM458692:HUO458695 IEI458692:IEK458695 IOE458692:IOG458695 IYA458692:IYC458695 JHW458692:JHY458695 JRS458692:JRU458695 KBO458692:KBQ458695 KLK458692:KLM458695 KVG458692:KVI458695 LFC458692:LFE458695 LOY458692:LPA458695 LYU458692:LYW458695 MIQ458692:MIS458695 MSM458692:MSO458695 NCI458692:NCK458695 NME458692:NMG458695 NWA458692:NWC458695 OFW458692:OFY458695 OPS458692:OPU458695 OZO458692:OZQ458695 PJK458692:PJM458695 PTG458692:PTI458695 QDC458692:QDE458695 QMY458692:QNA458695 QWU458692:QWW458695 RGQ458692:RGS458695 RQM458692:RQO458695 SAI458692:SAK458695 SKE458692:SKG458695 SUA458692:SUC458695 TDW458692:TDY458695 TNS458692:TNU458695 TXO458692:TXQ458695 UHK458692:UHM458695 URG458692:URI458695 VBC458692:VBE458695 VKY458692:VLA458695 VUU458692:VUW458695 WEQ458692:WES458695 WOM458692:WOO458695 WYI458692:WYK458695 CG524228:CG524231 LW524228:LY524231 VS524228:VU524231 AFO524228:AFQ524231 APK524228:APM524231 AZG524228:AZI524231 BJC524228:BJE524231 BSY524228:BTA524231 CCU524228:CCW524231 CMQ524228:CMS524231 CWM524228:CWO524231 DGI524228:DGK524231 DQE524228:DQG524231 EAA524228:EAC524231 EJW524228:EJY524231 ETS524228:ETU524231 FDO524228:FDQ524231 FNK524228:FNM524231 FXG524228:FXI524231 GHC524228:GHE524231 GQY524228:GRA524231 HAU524228:HAW524231 HKQ524228:HKS524231 HUM524228:HUO524231 IEI524228:IEK524231 IOE524228:IOG524231 IYA524228:IYC524231 JHW524228:JHY524231 JRS524228:JRU524231 KBO524228:KBQ524231 KLK524228:KLM524231 KVG524228:KVI524231 LFC524228:LFE524231 LOY524228:LPA524231 LYU524228:LYW524231 MIQ524228:MIS524231 MSM524228:MSO524231 NCI524228:NCK524231 NME524228:NMG524231 NWA524228:NWC524231 OFW524228:OFY524231 OPS524228:OPU524231 OZO524228:OZQ524231 PJK524228:PJM524231 PTG524228:PTI524231 QDC524228:QDE524231 QMY524228:QNA524231 QWU524228:QWW524231 RGQ524228:RGS524231 RQM524228:RQO524231 SAI524228:SAK524231 SKE524228:SKG524231 SUA524228:SUC524231 TDW524228:TDY524231 TNS524228:TNU524231 TXO524228:TXQ524231 UHK524228:UHM524231 URG524228:URI524231 VBC524228:VBE524231 VKY524228:VLA524231 VUU524228:VUW524231 WEQ524228:WES524231 WOM524228:WOO524231 WYI524228:WYK524231 CG589764:CG589767 LW589764:LY589767 VS589764:VU589767 AFO589764:AFQ589767 APK589764:APM589767 AZG589764:AZI589767 BJC589764:BJE589767 BSY589764:BTA589767 CCU589764:CCW589767 CMQ589764:CMS589767 CWM589764:CWO589767 DGI589764:DGK589767 DQE589764:DQG589767 EAA589764:EAC589767 EJW589764:EJY589767 ETS589764:ETU589767 FDO589764:FDQ589767 FNK589764:FNM589767 FXG589764:FXI589767 GHC589764:GHE589767 GQY589764:GRA589767 HAU589764:HAW589767 HKQ589764:HKS589767 HUM589764:HUO589767 IEI589764:IEK589767 IOE589764:IOG589767 IYA589764:IYC589767 JHW589764:JHY589767 JRS589764:JRU589767 KBO589764:KBQ589767 KLK589764:KLM589767 KVG589764:KVI589767 LFC589764:LFE589767 LOY589764:LPA589767 LYU589764:LYW589767 MIQ589764:MIS589767 MSM589764:MSO589767 NCI589764:NCK589767 NME589764:NMG589767 NWA589764:NWC589767 OFW589764:OFY589767 OPS589764:OPU589767 OZO589764:OZQ589767 PJK589764:PJM589767 PTG589764:PTI589767 QDC589764:QDE589767 QMY589764:QNA589767 QWU589764:QWW589767 RGQ589764:RGS589767 RQM589764:RQO589767 SAI589764:SAK589767 SKE589764:SKG589767 SUA589764:SUC589767 TDW589764:TDY589767 TNS589764:TNU589767 TXO589764:TXQ589767 UHK589764:UHM589767 URG589764:URI589767 VBC589764:VBE589767 VKY589764:VLA589767 VUU589764:VUW589767 WEQ589764:WES589767 WOM589764:WOO589767 WYI589764:WYK589767 CG655300:CG655303 LW655300:LY655303 VS655300:VU655303 AFO655300:AFQ655303 APK655300:APM655303 AZG655300:AZI655303 BJC655300:BJE655303 BSY655300:BTA655303 CCU655300:CCW655303 CMQ655300:CMS655303 CWM655300:CWO655303 DGI655300:DGK655303 DQE655300:DQG655303 EAA655300:EAC655303 EJW655300:EJY655303 ETS655300:ETU655303 FDO655300:FDQ655303 FNK655300:FNM655303 FXG655300:FXI655303 GHC655300:GHE655303 GQY655300:GRA655303 HAU655300:HAW655303 HKQ655300:HKS655303 HUM655300:HUO655303 IEI655300:IEK655303 IOE655300:IOG655303 IYA655300:IYC655303 JHW655300:JHY655303 JRS655300:JRU655303 KBO655300:KBQ655303 KLK655300:KLM655303 KVG655300:KVI655303 LFC655300:LFE655303 LOY655300:LPA655303 LYU655300:LYW655303 MIQ655300:MIS655303 MSM655300:MSO655303 NCI655300:NCK655303 NME655300:NMG655303 NWA655300:NWC655303 OFW655300:OFY655303 OPS655300:OPU655303 OZO655300:OZQ655303 PJK655300:PJM655303 PTG655300:PTI655303 QDC655300:QDE655303 QMY655300:QNA655303 QWU655300:QWW655303 RGQ655300:RGS655303 RQM655300:RQO655303 SAI655300:SAK655303 SKE655300:SKG655303 SUA655300:SUC655303 TDW655300:TDY655303 TNS655300:TNU655303 TXO655300:TXQ655303 UHK655300:UHM655303 URG655300:URI655303 VBC655300:VBE655303 VKY655300:VLA655303 VUU655300:VUW655303 WEQ655300:WES655303 WOM655300:WOO655303 WYI655300:WYK655303 CG720836:CG720839 LW720836:LY720839 VS720836:VU720839 AFO720836:AFQ720839 APK720836:APM720839 AZG720836:AZI720839 BJC720836:BJE720839 BSY720836:BTA720839 CCU720836:CCW720839 CMQ720836:CMS720839 CWM720836:CWO720839 DGI720836:DGK720839 DQE720836:DQG720839 EAA720836:EAC720839 EJW720836:EJY720839 ETS720836:ETU720839 FDO720836:FDQ720839 FNK720836:FNM720839 FXG720836:FXI720839 GHC720836:GHE720839 GQY720836:GRA720839 HAU720836:HAW720839 HKQ720836:HKS720839 HUM720836:HUO720839 IEI720836:IEK720839 IOE720836:IOG720839 IYA720836:IYC720839 JHW720836:JHY720839 JRS720836:JRU720839 KBO720836:KBQ720839 KLK720836:KLM720839 KVG720836:KVI720839 LFC720836:LFE720839 LOY720836:LPA720839 LYU720836:LYW720839 MIQ720836:MIS720839 MSM720836:MSO720839 NCI720836:NCK720839 NME720836:NMG720839 NWA720836:NWC720839 OFW720836:OFY720839 OPS720836:OPU720839 OZO720836:OZQ720839 PJK720836:PJM720839 PTG720836:PTI720839 QDC720836:QDE720839 QMY720836:QNA720839 QWU720836:QWW720839 RGQ720836:RGS720839 RQM720836:RQO720839 SAI720836:SAK720839 SKE720836:SKG720839 SUA720836:SUC720839 TDW720836:TDY720839 TNS720836:TNU720839 TXO720836:TXQ720839 UHK720836:UHM720839 URG720836:URI720839 VBC720836:VBE720839 VKY720836:VLA720839 VUU720836:VUW720839 WEQ720836:WES720839 WOM720836:WOO720839 WYI720836:WYK720839 CG786372:CG786375 LW786372:LY786375 VS786372:VU786375 AFO786372:AFQ786375 APK786372:APM786375 AZG786372:AZI786375 BJC786372:BJE786375 BSY786372:BTA786375 CCU786372:CCW786375 CMQ786372:CMS786375 CWM786372:CWO786375 DGI786372:DGK786375 DQE786372:DQG786375 EAA786372:EAC786375 EJW786372:EJY786375 ETS786372:ETU786375 FDO786372:FDQ786375 FNK786372:FNM786375 FXG786372:FXI786375 GHC786372:GHE786375 GQY786372:GRA786375 HAU786372:HAW786375 HKQ786372:HKS786375 HUM786372:HUO786375 IEI786372:IEK786375 IOE786372:IOG786375 IYA786372:IYC786375 JHW786372:JHY786375 JRS786372:JRU786375 KBO786372:KBQ786375 KLK786372:KLM786375 KVG786372:KVI786375 LFC786372:LFE786375 LOY786372:LPA786375 LYU786372:LYW786375 MIQ786372:MIS786375 MSM786372:MSO786375 NCI786372:NCK786375 NME786372:NMG786375 NWA786372:NWC786375 OFW786372:OFY786375 OPS786372:OPU786375 OZO786372:OZQ786375 PJK786372:PJM786375 PTG786372:PTI786375 QDC786372:QDE786375 QMY786372:QNA786375 QWU786372:QWW786375 RGQ786372:RGS786375 RQM786372:RQO786375 SAI786372:SAK786375 SKE786372:SKG786375 SUA786372:SUC786375 TDW786372:TDY786375 TNS786372:TNU786375 TXO786372:TXQ786375 UHK786372:UHM786375 URG786372:URI786375 VBC786372:VBE786375 VKY786372:VLA786375 VUU786372:VUW786375 WEQ786372:WES786375 WOM786372:WOO786375 WYI786372:WYK786375 CG851908:CG851911 LW851908:LY851911 VS851908:VU851911 AFO851908:AFQ851911 APK851908:APM851911 AZG851908:AZI851911 BJC851908:BJE851911 BSY851908:BTA851911 CCU851908:CCW851911 CMQ851908:CMS851911 CWM851908:CWO851911 DGI851908:DGK851911 DQE851908:DQG851911 EAA851908:EAC851911 EJW851908:EJY851911 ETS851908:ETU851911 FDO851908:FDQ851911 FNK851908:FNM851911 FXG851908:FXI851911 GHC851908:GHE851911 GQY851908:GRA851911 HAU851908:HAW851911 HKQ851908:HKS851911 HUM851908:HUO851911 IEI851908:IEK851911 IOE851908:IOG851911 IYA851908:IYC851911 JHW851908:JHY851911 JRS851908:JRU851911 KBO851908:KBQ851911 KLK851908:KLM851911 KVG851908:KVI851911 LFC851908:LFE851911 LOY851908:LPA851911 LYU851908:LYW851911 MIQ851908:MIS851911 MSM851908:MSO851911 NCI851908:NCK851911 NME851908:NMG851911 NWA851908:NWC851911 OFW851908:OFY851911 OPS851908:OPU851911 OZO851908:OZQ851911 PJK851908:PJM851911 PTG851908:PTI851911 QDC851908:QDE851911 QMY851908:QNA851911 QWU851908:QWW851911 RGQ851908:RGS851911 RQM851908:RQO851911 SAI851908:SAK851911 SKE851908:SKG851911 SUA851908:SUC851911 TDW851908:TDY851911 TNS851908:TNU851911 TXO851908:TXQ851911 UHK851908:UHM851911 URG851908:URI851911 VBC851908:VBE851911 VKY851908:VLA851911 VUU851908:VUW851911 WEQ851908:WES851911 WOM851908:WOO851911 WYI851908:WYK851911 CG917444:CG917447 LW917444:LY917447 VS917444:VU917447 AFO917444:AFQ917447 APK917444:APM917447 AZG917444:AZI917447 BJC917444:BJE917447 BSY917444:BTA917447 CCU917444:CCW917447 CMQ917444:CMS917447 CWM917444:CWO917447 DGI917444:DGK917447 DQE917444:DQG917447 EAA917444:EAC917447 EJW917444:EJY917447 ETS917444:ETU917447 FDO917444:FDQ917447 FNK917444:FNM917447 FXG917444:FXI917447 GHC917444:GHE917447 GQY917444:GRA917447 HAU917444:HAW917447 HKQ917444:HKS917447 HUM917444:HUO917447 IEI917444:IEK917447 IOE917444:IOG917447 IYA917444:IYC917447 JHW917444:JHY917447 JRS917444:JRU917447 KBO917444:KBQ917447 KLK917444:KLM917447 KVG917444:KVI917447 LFC917444:LFE917447 LOY917444:LPA917447 LYU917444:LYW917447 MIQ917444:MIS917447 MSM917444:MSO917447 NCI917444:NCK917447 NME917444:NMG917447 NWA917444:NWC917447 OFW917444:OFY917447 OPS917444:OPU917447 OZO917444:OZQ917447 PJK917444:PJM917447 PTG917444:PTI917447 QDC917444:QDE917447 QMY917444:QNA917447 QWU917444:QWW917447 RGQ917444:RGS917447 RQM917444:RQO917447 SAI917444:SAK917447 SKE917444:SKG917447 SUA917444:SUC917447 TDW917444:TDY917447 TNS917444:TNU917447 TXO917444:TXQ917447 UHK917444:UHM917447 URG917444:URI917447 VBC917444:VBE917447 VKY917444:VLA917447 VUU917444:VUW917447 WEQ917444:WES917447 WOM917444:WOO917447 WYI917444:WYK917447 CG982980:CG982983 LW982980:LY982983 VS982980:VU982983 AFO982980:AFQ982983 APK982980:APM982983 AZG982980:AZI982983 BJC982980:BJE982983 BSY982980:BTA982983 CCU982980:CCW982983 CMQ982980:CMS982983 CWM982980:CWO982983 DGI982980:DGK982983 DQE982980:DQG982983 EAA982980:EAC982983 EJW982980:EJY982983 ETS982980:ETU982983 FDO982980:FDQ982983 FNK982980:FNM982983 FXG982980:FXI982983 GHC982980:GHE982983 GQY982980:GRA982983 HAU982980:HAW982983 HKQ982980:HKS982983 HUM982980:HUO982983 IEI982980:IEK982983 IOE982980:IOG982983 IYA982980:IYC982983 JHW982980:JHY982983 JRS982980:JRU982983 KBO982980:KBQ982983 KLK982980:KLM982983 KVG982980:KVI982983 LFC982980:LFE982983 LOY982980:LPA982983 LYU982980:LYW982983 MIQ982980:MIS982983 MSM982980:MSO982983 NCI982980:NCK982983 NME982980:NMG982983 NWA982980:NWC982983 OFW982980:OFY982983 OPS982980:OPU982983 OZO982980:OZQ982983 PJK982980:PJM982983 PTG982980:PTI982983 QDC982980:QDE982983 QMY982980:QNA982983 QWU982980:QWW982983 RGQ982980:RGS982983 RQM982980:RQO982983 SAI982980:SAK982983 SKE982980:SKG982983 SUA982980:SUC982983 TDW982980:TDY982983 TNS982980:TNU982983 TXO982980:TXQ982983 UHK982980:UHM982983 URG982980:URI982983 VBC982980:VBE982983 VKY982980:VLA982983 VUU982980:VUW982983 WEQ982980:WES982983 WOM982980:WOO982983">
      <formula1>$G$59:$G$63</formula1>
    </dataValidation>
    <dataValidation type="custom" allowBlank="1" showInputMessage="1" showErrorMessage="1" error="The value is less than the current coverage." sqref="BQ175">
      <formula1>BQ175&gt;=BO175</formula1>
    </dataValidation>
  </dataValidations>
  <pageMargins left="0.4" right="0.4" top="0.75" bottom="0.75" header="0.3" footer="0.3"/>
  <pageSetup paperSize="9" scale="80" fitToHeight="0" orientation="landscape" r:id="rId1"/>
  <ignoredErrors>
    <ignoredError sqref="BT60 BT5:BT51 BT178:BT179 BX167 BW5:BZ51 BW178:BZ179 BW167 BY167:BZ167 BT52:BT53 BW52:BZ67 BW68:BZ166 BW168:BZ173 BT77:BT173" unlockedFormula="1"/>
  </ignoredErrors>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[1]List!#REF!</xm:f>
          </x14:formula1>
          <xm:sqref>T176 X176</xm:sqref>
        </x14:dataValidation>
        <x14:dataValidation type="list" allowBlank="1" showInputMessage="1" showErrorMessage="1">
          <x14:formula1>
            <xm:f>List!$B$8:$B$10</xm:f>
          </x14:formula1>
          <xm:sqref>H5:H179</xm:sqref>
        </x14:dataValidation>
        <x14:dataValidation type="list" allowBlank="1" showInputMessage="1" showErrorMessage="1">
          <x14:formula1>
            <xm:f>List!$B$13:$B$14</xm:f>
          </x14:formula1>
          <xm:sqref>I5:I179</xm:sqref>
        </x14:dataValidation>
        <x14:dataValidation type="list" allowBlank="1" showInputMessage="1" showErrorMessage="1">
          <x14:formula1>
            <xm:f>List!$N$2:$N$11</xm:f>
          </x14:formula1>
          <xm:sqref>D5:D179</xm:sqref>
        </x14:dataValidation>
        <x14:dataValidation type="list" allowBlank="1" showInputMessage="1" showErrorMessage="1">
          <x14:formula1>
            <xm:f>List!$H$2:$H$5</xm:f>
          </x14:formula1>
          <xm:sqref>AV5:AV179</xm:sqref>
        </x14:dataValidation>
        <x14:dataValidation type="list" allowBlank="1" showInputMessage="1" showErrorMessage="1">
          <x14:formula1>
            <xm:f>List!$E$2:$E$5</xm:f>
          </x14:formula1>
          <xm:sqref>CG5:CG179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H352"/>
  <sheetViews>
    <sheetView zoomScale="80" zoomScaleNormal="80" workbookViewId="0">
      <pane xSplit="6" ySplit="4" topLeftCell="J5" activePane="bottomRight" state="frozen"/>
      <selection activeCell="A97" sqref="A97"/>
      <selection pane="topRight" activeCell="A97" sqref="A97"/>
      <selection pane="bottomLeft" activeCell="A97" sqref="A97"/>
      <selection pane="bottomRight" activeCell="A97" sqref="A97"/>
    </sheetView>
  </sheetViews>
  <sheetFormatPr defaultColWidth="10" defaultRowHeight="12.75" x14ac:dyDescent="0.2"/>
  <cols>
    <col min="1" max="2" width="10" style="335"/>
    <col min="3" max="3" width="14.140625" style="342" customWidth="1"/>
    <col min="4" max="4" width="17.85546875" style="342" customWidth="1"/>
    <col min="5" max="6" width="13" style="342" customWidth="1"/>
    <col min="7" max="7" width="44.7109375" style="342" customWidth="1"/>
    <col min="8" max="8" width="12" style="342" customWidth="1"/>
    <col min="9" max="9" width="15.28515625" style="342" customWidth="1"/>
    <col min="10" max="12" width="11.140625" style="342" customWidth="1"/>
    <col min="13" max="17" width="11.140625" style="343" customWidth="1"/>
    <col min="18" max="18" width="11.140625" style="129" customWidth="1"/>
    <col min="19" max="19" width="11.140625" style="130" customWidth="1"/>
    <col min="20" max="25" width="13" style="342" customWidth="1"/>
    <col min="26" max="33" width="18.5703125" style="343" customWidth="1"/>
    <col min="34" max="34" width="58.7109375" style="342" customWidth="1"/>
    <col min="35" max="37" width="18.5703125" style="335" customWidth="1"/>
    <col min="38" max="16384" width="10" style="335"/>
  </cols>
  <sheetData>
    <row r="1" spans="3:34" s="131" customFormat="1" ht="34.5" customHeight="1" thickBot="1" x14ac:dyDescent="0.3">
      <c r="C1" s="427">
        <v>41640</v>
      </c>
      <c r="D1" s="428">
        <v>42004</v>
      </c>
      <c r="E1" s="127"/>
      <c r="F1" s="127"/>
      <c r="G1" s="127"/>
      <c r="H1" s="127"/>
      <c r="I1" s="127"/>
      <c r="J1" s="127"/>
      <c r="K1" s="127"/>
      <c r="L1" s="127"/>
      <c r="M1" s="128"/>
      <c r="N1" s="128"/>
      <c r="O1" s="128"/>
      <c r="P1" s="128"/>
      <c r="Q1" s="128"/>
      <c r="R1" s="129"/>
      <c r="S1" s="130"/>
      <c r="T1" s="127"/>
      <c r="U1" s="127"/>
      <c r="V1" s="127"/>
      <c r="W1" s="127"/>
      <c r="X1" s="127"/>
      <c r="Y1" s="127"/>
      <c r="Z1" s="128"/>
      <c r="AA1" s="128"/>
      <c r="AB1" s="128"/>
      <c r="AC1" s="128"/>
      <c r="AD1" s="128"/>
      <c r="AE1" s="128"/>
      <c r="AF1" s="128"/>
      <c r="AG1" s="128"/>
      <c r="AH1" s="127"/>
    </row>
    <row r="2" spans="3:34" s="131" customFormat="1" ht="30" customHeight="1" thickBot="1" x14ac:dyDescent="0.25">
      <c r="C2" s="132" t="s">
        <v>370</v>
      </c>
      <c r="D2" s="133">
        <v>42004</v>
      </c>
      <c r="E2" s="134"/>
      <c r="F2" s="135"/>
      <c r="G2" s="710" t="s">
        <v>371</v>
      </c>
      <c r="H2" s="711"/>
      <c r="I2" s="711"/>
      <c r="J2" s="711"/>
      <c r="K2" s="712"/>
      <c r="L2" s="713" t="s">
        <v>372</v>
      </c>
      <c r="M2" s="714"/>
      <c r="N2" s="714"/>
      <c r="O2" s="714"/>
      <c r="P2" s="714"/>
      <c r="Q2" s="714"/>
      <c r="R2" s="714"/>
      <c r="S2" s="714"/>
      <c r="T2" s="715"/>
      <c r="U2" s="715"/>
      <c r="V2" s="715"/>
      <c r="W2" s="714"/>
      <c r="X2" s="714"/>
      <c r="Y2" s="716"/>
      <c r="Z2" s="128"/>
      <c r="AA2" s="128"/>
      <c r="AB2" s="128"/>
      <c r="AC2" s="128"/>
      <c r="AD2" s="128"/>
      <c r="AE2" s="128"/>
      <c r="AF2" s="128"/>
      <c r="AG2" s="128"/>
      <c r="AH2" s="127"/>
    </row>
    <row r="3" spans="3:34" s="137" customFormat="1" ht="40.15" customHeight="1" thickBot="1" x14ac:dyDescent="0.3">
      <c r="C3" s="713" t="s">
        <v>373</v>
      </c>
      <c r="D3" s="714"/>
      <c r="E3" s="714"/>
      <c r="F3" s="714"/>
      <c r="G3" s="716"/>
      <c r="H3" s="713" t="s">
        <v>374</v>
      </c>
      <c r="I3" s="714"/>
      <c r="J3" s="714"/>
      <c r="K3" s="716"/>
      <c r="L3" s="713" t="s">
        <v>375</v>
      </c>
      <c r="M3" s="714"/>
      <c r="N3" s="714"/>
      <c r="O3" s="714"/>
      <c r="P3" s="714"/>
      <c r="Q3" s="714"/>
      <c r="R3" s="714"/>
      <c r="S3" s="714"/>
      <c r="T3" s="717" t="s">
        <v>376</v>
      </c>
      <c r="U3" s="718"/>
      <c r="V3" s="719"/>
      <c r="W3" s="720" t="s">
        <v>377</v>
      </c>
      <c r="X3" s="720"/>
      <c r="Y3" s="721"/>
      <c r="Z3" s="706" t="s">
        <v>378</v>
      </c>
      <c r="AA3" s="706"/>
      <c r="AB3" s="706"/>
      <c r="AC3" s="706"/>
      <c r="AD3" s="706"/>
      <c r="AE3" s="706"/>
      <c r="AF3" s="706"/>
      <c r="AG3" s="706"/>
      <c r="AH3" s="136" t="s">
        <v>15</v>
      </c>
    </row>
    <row r="4" spans="3:34" s="131" customFormat="1" ht="80.45" customHeight="1" x14ac:dyDescent="0.2">
      <c r="C4" s="138" t="s">
        <v>366</v>
      </c>
      <c r="D4" s="139" t="s">
        <v>379</v>
      </c>
      <c r="E4" s="139" t="s">
        <v>334</v>
      </c>
      <c r="F4" s="139" t="s">
        <v>380</v>
      </c>
      <c r="G4" s="140" t="s">
        <v>381</v>
      </c>
      <c r="H4" s="138" t="s">
        <v>382</v>
      </c>
      <c r="I4" s="139" t="s">
        <v>383</v>
      </c>
      <c r="J4" s="141" t="s">
        <v>384</v>
      </c>
      <c r="K4" s="140" t="s">
        <v>332</v>
      </c>
      <c r="L4" s="138" t="s">
        <v>385</v>
      </c>
      <c r="M4" s="142" t="s">
        <v>386</v>
      </c>
      <c r="N4" s="142" t="s">
        <v>387</v>
      </c>
      <c r="O4" s="142" t="s">
        <v>388</v>
      </c>
      <c r="P4" s="142" t="s">
        <v>389</v>
      </c>
      <c r="Q4" s="143" t="s">
        <v>390</v>
      </c>
      <c r="R4" s="144" t="s">
        <v>391</v>
      </c>
      <c r="S4" s="347" t="s">
        <v>392</v>
      </c>
      <c r="T4" s="145" t="s">
        <v>393</v>
      </c>
      <c r="U4" s="139" t="s">
        <v>394</v>
      </c>
      <c r="V4" s="146" t="s">
        <v>395</v>
      </c>
      <c r="W4" s="147" t="s">
        <v>393</v>
      </c>
      <c r="X4" s="139" t="s">
        <v>394</v>
      </c>
      <c r="Y4" s="141" t="s">
        <v>395</v>
      </c>
      <c r="Z4" s="148" t="s">
        <v>396</v>
      </c>
      <c r="AA4" s="149" t="s">
        <v>397</v>
      </c>
      <c r="AB4" s="149" t="s">
        <v>398</v>
      </c>
      <c r="AC4" s="149" t="s">
        <v>817</v>
      </c>
      <c r="AD4" s="150" t="s">
        <v>399</v>
      </c>
      <c r="AE4" s="150" t="s">
        <v>400</v>
      </c>
      <c r="AF4" s="150" t="s">
        <v>401</v>
      </c>
      <c r="AG4" s="151" t="s">
        <v>402</v>
      </c>
      <c r="AH4" s="152" t="s">
        <v>403</v>
      </c>
    </row>
    <row r="5" spans="3:34" s="131" customFormat="1" ht="40.15" customHeight="1" x14ac:dyDescent="0.2">
      <c r="C5" s="153" t="s">
        <v>293</v>
      </c>
      <c r="D5" s="154"/>
      <c r="E5" s="155" t="s">
        <v>261</v>
      </c>
      <c r="F5" s="154" t="s">
        <v>338</v>
      </c>
      <c r="G5" s="156" t="s">
        <v>404</v>
      </c>
      <c r="H5" s="157">
        <v>41232</v>
      </c>
      <c r="I5" s="158">
        <v>41351</v>
      </c>
      <c r="J5" s="159" t="s">
        <v>434</v>
      </c>
      <c r="K5" s="160">
        <f>YEAR(H5)</f>
        <v>2012</v>
      </c>
      <c r="L5" s="161">
        <v>2500</v>
      </c>
      <c r="M5" s="162"/>
      <c r="N5" s="162" t="str">
        <f>IF(M5="","",1-M5)</f>
        <v/>
      </c>
      <c r="O5" s="162"/>
      <c r="P5" s="162"/>
      <c r="Q5" s="163"/>
      <c r="R5" s="164">
        <v>1</v>
      </c>
      <c r="S5" s="200">
        <v>0</v>
      </c>
      <c r="T5" s="166">
        <v>2500</v>
      </c>
      <c r="U5" s="167">
        <v>2500</v>
      </c>
      <c r="V5" s="168">
        <v>2500</v>
      </c>
      <c r="W5" s="169">
        <v>0</v>
      </c>
      <c r="X5" s="167">
        <v>0</v>
      </c>
      <c r="Y5" s="159">
        <v>0</v>
      </c>
      <c r="Z5" s="170">
        <v>128026</v>
      </c>
      <c r="AA5" s="171">
        <f>Z5-(AB5+AC5)</f>
        <v>128026</v>
      </c>
      <c r="AB5" s="171">
        <f>IF(I5&lt;$C$1,0,IF(H5&gt;$C$1,Z5-AC5,(I5-$C$1)/(I5-H5)*Z5-AC5))</f>
        <v>0</v>
      </c>
      <c r="AC5" s="171">
        <f>IF(I5&lt;$D$1,0,IF(H5&gt;$D$1,Z5,(I5-$D$1)/(I5-H5)*Z5))</f>
        <v>0</v>
      </c>
      <c r="AD5" s="172">
        <v>1</v>
      </c>
      <c r="AE5" s="172">
        <v>0.54</v>
      </c>
      <c r="AF5" s="172">
        <v>0.21</v>
      </c>
      <c r="AG5" s="173">
        <v>0.25</v>
      </c>
      <c r="AH5" s="174"/>
    </row>
    <row r="6" spans="3:34" s="131" customFormat="1" ht="40.15" customHeight="1" x14ac:dyDescent="0.2">
      <c r="C6" s="153" t="s">
        <v>293</v>
      </c>
      <c r="D6" s="154"/>
      <c r="E6" s="155" t="s">
        <v>335</v>
      </c>
      <c r="F6" s="154"/>
      <c r="G6" s="156" t="s">
        <v>405</v>
      </c>
      <c r="H6" s="175">
        <v>41280</v>
      </c>
      <c r="I6" s="176">
        <v>41820</v>
      </c>
      <c r="J6" s="159" t="s">
        <v>236</v>
      </c>
      <c r="K6" s="160">
        <f t="shared" ref="K6:K57" si="0">YEAR(H6)</f>
        <v>2013</v>
      </c>
      <c r="L6" s="161">
        <v>11700</v>
      </c>
      <c r="M6" s="162">
        <v>0.45</v>
      </c>
      <c r="N6" s="162">
        <f>IF(M6="","",1-M6)</f>
        <v>0.55000000000000004</v>
      </c>
      <c r="O6" s="162">
        <v>0</v>
      </c>
      <c r="P6" s="162">
        <v>1</v>
      </c>
      <c r="Q6" s="163">
        <v>0</v>
      </c>
      <c r="R6" s="177">
        <v>1</v>
      </c>
      <c r="S6" s="195">
        <v>0</v>
      </c>
      <c r="T6" s="166">
        <v>7594</v>
      </c>
      <c r="U6" s="167">
        <v>6040</v>
      </c>
      <c r="V6" s="168">
        <v>5850</v>
      </c>
      <c r="W6" s="169">
        <v>0</v>
      </c>
      <c r="X6" s="167">
        <v>0</v>
      </c>
      <c r="Y6" s="159">
        <v>0</v>
      </c>
      <c r="Z6" s="178">
        <v>530978</v>
      </c>
      <c r="AA6" s="179">
        <f t="shared" ref="AA6:AA57" si="1">Z6-(AB6+AC6)</f>
        <v>353985.33333333337</v>
      </c>
      <c r="AB6" s="179">
        <f>IF(I6&lt;$C$1,0,IF(H6&gt;$C$1,Z6-AC6,(I6-$C$1)/(I6-H6)*Z6-AC6))</f>
        <v>176992.66666666666</v>
      </c>
      <c r="AC6" s="179">
        <f>IF(I6&lt;$D$1,0,IF(H6&gt;$D$1,Z6,(I6-$D$1)/(I6-H6)*Z6))</f>
        <v>0</v>
      </c>
      <c r="AD6" s="162">
        <v>1</v>
      </c>
      <c r="AE6" s="162">
        <v>0.55500000000000005</v>
      </c>
      <c r="AF6" s="162">
        <v>0.26</v>
      </c>
      <c r="AG6" s="180">
        <v>0.18</v>
      </c>
      <c r="AH6" s="174"/>
    </row>
    <row r="7" spans="3:34" s="131" customFormat="1" ht="40.15" customHeight="1" x14ac:dyDescent="0.2">
      <c r="C7" s="153" t="s">
        <v>293</v>
      </c>
      <c r="D7" s="154"/>
      <c r="E7" s="155" t="s">
        <v>335</v>
      </c>
      <c r="F7" s="154"/>
      <c r="G7" s="156" t="s">
        <v>828</v>
      </c>
      <c r="H7" s="175">
        <v>41648</v>
      </c>
      <c r="I7" s="176">
        <v>42247</v>
      </c>
      <c r="J7" s="159" t="s">
        <v>236</v>
      </c>
      <c r="K7" s="160">
        <v>2014</v>
      </c>
      <c r="L7" s="161">
        <v>6457</v>
      </c>
      <c r="M7" s="162"/>
      <c r="N7" s="162">
        <v>1</v>
      </c>
      <c r="O7" s="162"/>
      <c r="P7" s="162">
        <v>1</v>
      </c>
      <c r="Q7" s="163"/>
      <c r="R7" s="177">
        <v>0.62</v>
      </c>
      <c r="S7" s="195">
        <v>0.38</v>
      </c>
      <c r="T7" s="166">
        <v>4039</v>
      </c>
      <c r="U7" s="167">
        <v>4039</v>
      </c>
      <c r="V7" s="168">
        <v>1617</v>
      </c>
      <c r="W7" s="169"/>
      <c r="X7" s="167"/>
      <c r="Y7" s="159">
        <v>2418</v>
      </c>
      <c r="Z7" s="178">
        <v>354600</v>
      </c>
      <c r="AA7" s="179">
        <f t="shared" ref="AA7" si="2">Z7-(AB7+AC7)</f>
        <v>0</v>
      </c>
      <c r="AB7" s="179">
        <f>IF(I7&lt;$C$1,0,IF(H7&gt;$C$1,Z7-AC7,(I7-$C$1)/(I7-H7)*Z7-AC7))</f>
        <v>210747.24540901504</v>
      </c>
      <c r="AC7" s="179">
        <f>IF(I7&lt;$D$1,0,IF(H7&gt;$D$1,Z7,(I7-$D$1)/(I7-H7)*Z7))</f>
        <v>143852.75459098496</v>
      </c>
      <c r="AD7" s="162">
        <v>1</v>
      </c>
      <c r="AE7" s="162">
        <v>0.33</v>
      </c>
      <c r="AF7" s="162">
        <v>0.34</v>
      </c>
      <c r="AG7" s="180">
        <v>0.34</v>
      </c>
      <c r="AH7" s="174"/>
    </row>
    <row r="8" spans="3:34" s="131" customFormat="1" ht="40.15" customHeight="1" x14ac:dyDescent="0.2">
      <c r="C8" s="153" t="s">
        <v>406</v>
      </c>
      <c r="D8" s="154"/>
      <c r="E8" s="155" t="s">
        <v>336</v>
      </c>
      <c r="F8" s="154"/>
      <c r="G8" s="156" t="s">
        <v>407</v>
      </c>
      <c r="H8" s="181">
        <v>41275</v>
      </c>
      <c r="I8" s="182"/>
      <c r="J8" s="159"/>
      <c r="K8" s="160">
        <f t="shared" si="0"/>
        <v>2013</v>
      </c>
      <c r="L8" s="183"/>
      <c r="M8" s="172"/>
      <c r="N8" s="172" t="str">
        <f>IF(M8="","",1-M8)</f>
        <v/>
      </c>
      <c r="O8" s="172"/>
      <c r="P8" s="172"/>
      <c r="Q8" s="165"/>
      <c r="R8" s="164"/>
      <c r="S8" s="200"/>
      <c r="T8" s="184"/>
      <c r="U8" s="185"/>
      <c r="V8" s="186"/>
      <c r="W8" s="187"/>
      <c r="X8" s="185"/>
      <c r="Y8" s="188"/>
      <c r="Z8" s="170">
        <v>338770</v>
      </c>
      <c r="AA8" s="171">
        <f t="shared" si="1"/>
        <v>338770</v>
      </c>
      <c r="AB8" s="171">
        <f t="shared" ref="AB8:AB57" si="3">IF(I8&lt;$C$1,0,IF(H8&gt;$C$1,Z8-AC8,(I8-$C$1)/(I8-H8)*Z8-AC8))</f>
        <v>0</v>
      </c>
      <c r="AC8" s="171">
        <f t="shared" ref="AC8:AC57" si="4">IF(I8&lt;$D$1,0,IF(H8&gt;$D$1,Z8,(I8-$D$1)/(I8-H8)*Z8))</f>
        <v>0</v>
      </c>
      <c r="AD8" s="172"/>
      <c r="AE8" s="172"/>
      <c r="AF8" s="172"/>
      <c r="AG8" s="173"/>
      <c r="AH8" s="174"/>
    </row>
    <row r="9" spans="3:34" s="131" customFormat="1" ht="47.25" customHeight="1" x14ac:dyDescent="0.2">
      <c r="C9" s="153" t="s">
        <v>408</v>
      </c>
      <c r="D9" s="154"/>
      <c r="E9" s="155" t="s">
        <v>340</v>
      </c>
      <c r="F9" s="154"/>
      <c r="G9" s="156" t="s">
        <v>409</v>
      </c>
      <c r="H9" s="181">
        <v>41609</v>
      </c>
      <c r="I9" s="182"/>
      <c r="J9" s="159"/>
      <c r="K9" s="160">
        <f t="shared" si="0"/>
        <v>2013</v>
      </c>
      <c r="L9" s="183"/>
      <c r="M9" s="172"/>
      <c r="N9" s="172" t="str">
        <f>IF(M9="","",1-M9)</f>
        <v/>
      </c>
      <c r="O9" s="172"/>
      <c r="P9" s="172"/>
      <c r="Q9" s="165"/>
      <c r="R9" s="164"/>
      <c r="S9" s="200"/>
      <c r="T9" s="184"/>
      <c r="U9" s="185"/>
      <c r="V9" s="186"/>
      <c r="W9" s="187"/>
      <c r="X9" s="185"/>
      <c r="Y9" s="188"/>
      <c r="Z9" s="170">
        <v>292113</v>
      </c>
      <c r="AA9" s="171">
        <f t="shared" si="1"/>
        <v>292113</v>
      </c>
      <c r="AB9" s="171">
        <f t="shared" si="3"/>
        <v>0</v>
      </c>
      <c r="AC9" s="171">
        <f t="shared" si="4"/>
        <v>0</v>
      </c>
      <c r="AD9" s="172"/>
      <c r="AE9" s="172"/>
      <c r="AF9" s="172"/>
      <c r="AG9" s="173"/>
      <c r="AH9" s="174"/>
    </row>
    <row r="10" spans="3:34" s="190" customFormat="1" ht="40.15" customHeight="1" x14ac:dyDescent="0.2">
      <c r="C10" s="153" t="s">
        <v>239</v>
      </c>
      <c r="D10" s="154"/>
      <c r="E10" s="155" t="s">
        <v>261</v>
      </c>
      <c r="F10" s="189" t="s">
        <v>339</v>
      </c>
      <c r="G10" s="156" t="s">
        <v>410</v>
      </c>
      <c r="H10" s="157">
        <v>40954</v>
      </c>
      <c r="I10" s="158">
        <v>41090</v>
      </c>
      <c r="J10" s="159" t="s">
        <v>434</v>
      </c>
      <c r="K10" s="160">
        <f t="shared" si="0"/>
        <v>2012</v>
      </c>
      <c r="L10" s="161">
        <v>25000</v>
      </c>
      <c r="M10" s="172">
        <v>0.7</v>
      </c>
      <c r="N10" s="172">
        <v>0.3</v>
      </c>
      <c r="O10" s="172">
        <v>0</v>
      </c>
      <c r="P10" s="172">
        <v>0.4</v>
      </c>
      <c r="Q10" s="165">
        <v>0.6</v>
      </c>
      <c r="R10" s="164">
        <v>1</v>
      </c>
      <c r="S10" s="200">
        <v>0</v>
      </c>
      <c r="T10" s="166">
        <v>25000</v>
      </c>
      <c r="U10" s="167">
        <v>25000</v>
      </c>
      <c r="V10" s="168">
        <v>25000</v>
      </c>
      <c r="W10" s="169">
        <v>0</v>
      </c>
      <c r="X10" s="167">
        <v>0</v>
      </c>
      <c r="Y10" s="159">
        <v>0</v>
      </c>
      <c r="Z10" s="170">
        <f>170824500/850</f>
        <v>200970</v>
      </c>
      <c r="AA10" s="171">
        <f t="shared" si="1"/>
        <v>200970</v>
      </c>
      <c r="AB10" s="171">
        <f t="shared" si="3"/>
        <v>0</v>
      </c>
      <c r="AC10" s="171">
        <f t="shared" si="4"/>
        <v>0</v>
      </c>
      <c r="AD10" s="172">
        <v>1</v>
      </c>
      <c r="AE10" s="172">
        <f>36500000/(36500000+9000000+57000000+42900000)</f>
        <v>0.25103163686382396</v>
      </c>
      <c r="AF10" s="172">
        <f>(9000000+57000000)/(36500000+9000000+57000000+42900000)</f>
        <v>0.45392022008253097</v>
      </c>
      <c r="AG10" s="173">
        <f>42900000/(36500000+9000000+57000000+42900000)</f>
        <v>0.29504814305364513</v>
      </c>
      <c r="AH10" s="174"/>
    </row>
    <row r="11" spans="3:34" s="190" customFormat="1" ht="40.15" customHeight="1" x14ac:dyDescent="0.2">
      <c r="C11" s="153" t="s">
        <v>239</v>
      </c>
      <c r="D11" s="154"/>
      <c r="E11" s="155" t="s">
        <v>261</v>
      </c>
      <c r="F11" s="189" t="s">
        <v>339</v>
      </c>
      <c r="G11" s="156" t="s">
        <v>411</v>
      </c>
      <c r="H11" s="157">
        <v>40954</v>
      </c>
      <c r="I11" s="158">
        <v>41043</v>
      </c>
      <c r="J11" s="159" t="s">
        <v>434</v>
      </c>
      <c r="K11" s="160">
        <f t="shared" si="0"/>
        <v>2012</v>
      </c>
      <c r="L11" s="161">
        <v>25000</v>
      </c>
      <c r="M11" s="191">
        <v>0.7</v>
      </c>
      <c r="N11" s="191">
        <v>0.3</v>
      </c>
      <c r="O11" s="191">
        <v>0</v>
      </c>
      <c r="P11" s="191">
        <v>0.4</v>
      </c>
      <c r="Q11" s="192">
        <v>0.6</v>
      </c>
      <c r="R11" s="164">
        <v>1</v>
      </c>
      <c r="S11" s="200">
        <v>0</v>
      </c>
      <c r="T11" s="166">
        <v>25000</v>
      </c>
      <c r="U11" s="167">
        <v>25000</v>
      </c>
      <c r="V11" s="168">
        <v>25000</v>
      </c>
      <c r="W11" s="169">
        <v>0</v>
      </c>
      <c r="X11" s="167">
        <v>0</v>
      </c>
      <c r="Y11" s="159">
        <v>0</v>
      </c>
      <c r="Z11" s="170">
        <f>(36500000+9280000+57000000+42900000)/850</f>
        <v>171388.23529411765</v>
      </c>
      <c r="AA11" s="171">
        <f t="shared" si="1"/>
        <v>171388.23529411765</v>
      </c>
      <c r="AB11" s="171">
        <f t="shared" si="3"/>
        <v>0</v>
      </c>
      <c r="AC11" s="171">
        <f t="shared" si="4"/>
        <v>0</v>
      </c>
      <c r="AD11" s="172">
        <v>1</v>
      </c>
      <c r="AE11" s="172">
        <v>0.25</v>
      </c>
      <c r="AF11" s="172">
        <v>0.45</v>
      </c>
      <c r="AG11" s="173">
        <v>0.3</v>
      </c>
      <c r="AH11" s="174"/>
    </row>
    <row r="12" spans="3:34" s="190" customFormat="1" ht="40.15" customHeight="1" x14ac:dyDescent="0.2">
      <c r="C12" s="153" t="s">
        <v>239</v>
      </c>
      <c r="D12" s="154"/>
      <c r="E12" s="155" t="s">
        <v>261</v>
      </c>
      <c r="F12" s="189" t="s">
        <v>338</v>
      </c>
      <c r="G12" s="156" t="s">
        <v>412</v>
      </c>
      <c r="H12" s="157">
        <v>41043</v>
      </c>
      <c r="I12" s="158">
        <v>41104</v>
      </c>
      <c r="J12" s="159" t="s">
        <v>434</v>
      </c>
      <c r="K12" s="160">
        <f t="shared" si="0"/>
        <v>2012</v>
      </c>
      <c r="L12" s="161">
        <v>7733</v>
      </c>
      <c r="M12" s="191">
        <v>0.55000000000000004</v>
      </c>
      <c r="N12" s="191">
        <v>0.45</v>
      </c>
      <c r="O12" s="191">
        <v>0</v>
      </c>
      <c r="P12" s="191">
        <v>0.5</v>
      </c>
      <c r="Q12" s="192">
        <v>0.5</v>
      </c>
      <c r="R12" s="164">
        <v>1</v>
      </c>
      <c r="S12" s="200">
        <v>0</v>
      </c>
      <c r="T12" s="166">
        <v>7733</v>
      </c>
      <c r="U12" s="167">
        <v>7733</v>
      </c>
      <c r="V12" s="168">
        <v>7733</v>
      </c>
      <c r="W12" s="169">
        <v>0</v>
      </c>
      <c r="X12" s="167">
        <v>0</v>
      </c>
      <c r="Y12" s="159">
        <v>0</v>
      </c>
      <c r="Z12" s="170">
        <f>28563380/850</f>
        <v>33603.976470588233</v>
      </c>
      <c r="AA12" s="171">
        <f t="shared" si="1"/>
        <v>33603.976470588233</v>
      </c>
      <c r="AB12" s="171">
        <f t="shared" si="3"/>
        <v>0</v>
      </c>
      <c r="AC12" s="171">
        <f t="shared" si="4"/>
        <v>0</v>
      </c>
      <c r="AD12" s="172">
        <v>1</v>
      </c>
      <c r="AE12" s="172">
        <v>0.04</v>
      </c>
      <c r="AF12" s="172">
        <v>0.95</v>
      </c>
      <c r="AG12" s="173">
        <v>0</v>
      </c>
      <c r="AH12" s="174"/>
    </row>
    <row r="13" spans="3:34" s="190" customFormat="1" ht="40.15" customHeight="1" x14ac:dyDescent="0.2">
      <c r="C13" s="153" t="s">
        <v>239</v>
      </c>
      <c r="D13" s="154"/>
      <c r="E13" s="155" t="s">
        <v>261</v>
      </c>
      <c r="F13" s="154" t="s">
        <v>784</v>
      </c>
      <c r="G13" s="156" t="s">
        <v>412</v>
      </c>
      <c r="H13" s="204">
        <v>41928</v>
      </c>
      <c r="I13" s="205">
        <v>42109</v>
      </c>
      <c r="J13" s="206" t="s">
        <v>236</v>
      </c>
      <c r="K13" s="160">
        <v>2014</v>
      </c>
      <c r="L13" s="161">
        <v>11820</v>
      </c>
      <c r="M13" s="172">
        <v>0.86</v>
      </c>
      <c r="N13" s="172">
        <v>0.14000000000000001</v>
      </c>
      <c r="O13" s="172">
        <v>0</v>
      </c>
      <c r="P13" s="172">
        <v>0.87</v>
      </c>
      <c r="Q13" s="165">
        <v>0.13</v>
      </c>
      <c r="R13" s="164">
        <v>1</v>
      </c>
      <c r="S13" s="200">
        <v>0</v>
      </c>
      <c r="T13" s="166">
        <v>5360</v>
      </c>
      <c r="U13" s="167">
        <v>11820</v>
      </c>
      <c r="V13" s="168">
        <v>9833</v>
      </c>
      <c r="W13" s="203">
        <v>0</v>
      </c>
      <c r="X13" s="167">
        <v>0</v>
      </c>
      <c r="Y13" s="159">
        <v>0</v>
      </c>
      <c r="Z13" s="170">
        <v>220997.4</v>
      </c>
      <c r="AA13" s="171">
        <f t="shared" si="1"/>
        <v>0</v>
      </c>
      <c r="AB13" s="171">
        <f t="shared" si="3"/>
        <v>92794.488397790061</v>
      </c>
      <c r="AC13" s="171">
        <f t="shared" si="4"/>
        <v>128202.91160220993</v>
      </c>
      <c r="AD13" s="172">
        <v>1</v>
      </c>
      <c r="AE13" s="421">
        <v>0.44</v>
      </c>
      <c r="AF13" s="421">
        <v>0.2</v>
      </c>
      <c r="AG13" s="422">
        <v>0.36</v>
      </c>
      <c r="AH13" s="196"/>
    </row>
    <row r="14" spans="3:34" s="190" customFormat="1" ht="40.15" customHeight="1" x14ac:dyDescent="0.2">
      <c r="C14" s="153" t="s">
        <v>235</v>
      </c>
      <c r="D14" s="154"/>
      <c r="E14" s="155" t="s">
        <v>261</v>
      </c>
      <c r="F14" s="189" t="s">
        <v>339</v>
      </c>
      <c r="G14" s="156" t="s">
        <v>412</v>
      </c>
      <c r="H14" s="157">
        <v>41062</v>
      </c>
      <c r="I14" s="158">
        <v>41212</v>
      </c>
      <c r="J14" s="159" t="s">
        <v>434</v>
      </c>
      <c r="K14" s="160">
        <f t="shared" si="0"/>
        <v>2012</v>
      </c>
      <c r="L14" s="161">
        <v>5500</v>
      </c>
      <c r="M14" s="172">
        <v>0.35</v>
      </c>
      <c r="N14" s="172">
        <v>0.65</v>
      </c>
      <c r="O14" s="172">
        <v>0</v>
      </c>
      <c r="P14" s="172">
        <v>0.6</v>
      </c>
      <c r="Q14" s="165">
        <v>0.4</v>
      </c>
      <c r="R14" s="164">
        <v>1</v>
      </c>
      <c r="S14" s="200">
        <v>0</v>
      </c>
      <c r="T14" s="166">
        <v>5500</v>
      </c>
      <c r="U14" s="167">
        <v>5500</v>
      </c>
      <c r="V14" s="168">
        <v>5500</v>
      </c>
      <c r="W14" s="169">
        <v>0</v>
      </c>
      <c r="X14" s="167">
        <v>0</v>
      </c>
      <c r="Y14" s="159">
        <v>0</v>
      </c>
      <c r="Z14" s="170">
        <f>(110436225)/850</f>
        <v>129924.9705882353</v>
      </c>
      <c r="AA14" s="171">
        <f t="shared" si="1"/>
        <v>129924.9705882353</v>
      </c>
      <c r="AB14" s="171">
        <f t="shared" si="3"/>
        <v>0</v>
      </c>
      <c r="AC14" s="171">
        <f t="shared" si="4"/>
        <v>0</v>
      </c>
      <c r="AD14" s="172">
        <v>1</v>
      </c>
      <c r="AE14" s="172">
        <v>0.41</v>
      </c>
      <c r="AF14" s="172">
        <v>0.3</v>
      </c>
      <c r="AG14" s="173">
        <v>0.28999999999999998</v>
      </c>
      <c r="AH14" s="174"/>
    </row>
    <row r="15" spans="3:34" s="190" customFormat="1" ht="40.15" customHeight="1" x14ac:dyDescent="0.2">
      <c r="C15" s="153" t="s">
        <v>235</v>
      </c>
      <c r="D15" s="154"/>
      <c r="E15" s="155" t="s">
        <v>261</v>
      </c>
      <c r="F15" s="189" t="s">
        <v>338</v>
      </c>
      <c r="G15" s="156" t="s">
        <v>412</v>
      </c>
      <c r="H15" s="157">
        <v>41028</v>
      </c>
      <c r="I15" s="158">
        <v>41119</v>
      </c>
      <c r="J15" s="159" t="s">
        <v>434</v>
      </c>
      <c r="K15" s="160">
        <f t="shared" si="0"/>
        <v>2012</v>
      </c>
      <c r="L15" s="161">
        <v>18791</v>
      </c>
      <c r="M15" s="193">
        <v>0.48</v>
      </c>
      <c r="N15" s="193">
        <f>IF(M15="","",1-M15)</f>
        <v>0.52</v>
      </c>
      <c r="O15" s="193">
        <v>0.3</v>
      </c>
      <c r="P15" s="193">
        <v>0.5</v>
      </c>
      <c r="Q15" s="194">
        <v>0.2</v>
      </c>
      <c r="R15" s="164">
        <v>1</v>
      </c>
      <c r="S15" s="200">
        <v>0</v>
      </c>
      <c r="T15" s="166">
        <v>18791</v>
      </c>
      <c r="U15" s="167">
        <v>18791</v>
      </c>
      <c r="V15" s="168">
        <v>18791</v>
      </c>
      <c r="W15" s="169">
        <v>0</v>
      </c>
      <c r="X15" s="167">
        <v>0</v>
      </c>
      <c r="Y15" s="159">
        <v>0</v>
      </c>
      <c r="Z15" s="170">
        <f>126894457/850</f>
        <v>149287.59647058824</v>
      </c>
      <c r="AA15" s="171">
        <f t="shared" si="1"/>
        <v>149287.59647058824</v>
      </c>
      <c r="AB15" s="171">
        <f t="shared" si="3"/>
        <v>0</v>
      </c>
      <c r="AC15" s="171">
        <f t="shared" si="4"/>
        <v>0</v>
      </c>
      <c r="AD15" s="172">
        <v>1</v>
      </c>
      <c r="AE15" s="172">
        <f>(992500+25000000+615000)/101942950</f>
        <v>0.26100382615963141</v>
      </c>
      <c r="AF15" s="172">
        <v>0.62</v>
      </c>
      <c r="AG15" s="173">
        <f>(498000+10905000+675000)/101942950</f>
        <v>0.11847803109484276</v>
      </c>
      <c r="AH15" s="174"/>
    </row>
    <row r="16" spans="3:34" s="190" customFormat="1" ht="40.15" customHeight="1" x14ac:dyDescent="0.2">
      <c r="C16" s="153" t="s">
        <v>235</v>
      </c>
      <c r="D16" s="154"/>
      <c r="E16" s="155" t="s">
        <v>261</v>
      </c>
      <c r="F16" s="189" t="s">
        <v>338</v>
      </c>
      <c r="G16" s="156" t="s">
        <v>412</v>
      </c>
      <c r="H16" s="157">
        <v>41344</v>
      </c>
      <c r="I16" s="158">
        <v>41358</v>
      </c>
      <c r="J16" s="159" t="s">
        <v>434</v>
      </c>
      <c r="K16" s="160">
        <f t="shared" si="0"/>
        <v>2013</v>
      </c>
      <c r="L16" s="161">
        <v>493</v>
      </c>
      <c r="M16" s="172">
        <v>0.45</v>
      </c>
      <c r="N16" s="172">
        <v>0.55000000000000004</v>
      </c>
      <c r="O16" s="172">
        <v>0</v>
      </c>
      <c r="P16" s="172">
        <v>1</v>
      </c>
      <c r="Q16" s="165">
        <v>0</v>
      </c>
      <c r="R16" s="164">
        <v>1</v>
      </c>
      <c r="S16" s="200">
        <v>0</v>
      </c>
      <c r="T16" s="166">
        <v>493</v>
      </c>
      <c r="U16" s="167">
        <v>0</v>
      </c>
      <c r="V16" s="168">
        <v>0</v>
      </c>
      <c r="W16" s="169">
        <v>0</v>
      </c>
      <c r="X16" s="167">
        <v>0</v>
      </c>
      <c r="Y16" s="159">
        <v>0</v>
      </c>
      <c r="Z16" s="170">
        <f>2576780/850</f>
        <v>3031.5058823529412</v>
      </c>
      <c r="AA16" s="171">
        <f t="shared" si="1"/>
        <v>3031.5058823529412</v>
      </c>
      <c r="AB16" s="171">
        <f t="shared" si="3"/>
        <v>0</v>
      </c>
      <c r="AC16" s="171">
        <f t="shared" si="4"/>
        <v>0</v>
      </c>
      <c r="AD16" s="172">
        <v>1</v>
      </c>
      <c r="AE16" s="172">
        <v>1</v>
      </c>
      <c r="AF16" s="172">
        <v>0</v>
      </c>
      <c r="AG16" s="173">
        <v>0</v>
      </c>
      <c r="AH16" s="174"/>
    </row>
    <row r="17" spans="3:34" s="190" customFormat="1" ht="40.15" customHeight="1" x14ac:dyDescent="0.2">
      <c r="C17" s="153" t="s">
        <v>235</v>
      </c>
      <c r="D17" s="154"/>
      <c r="E17" s="155" t="s">
        <v>413</v>
      </c>
      <c r="F17" s="189" t="s">
        <v>414</v>
      </c>
      <c r="G17" s="156"/>
      <c r="H17" s="157">
        <v>41275</v>
      </c>
      <c r="I17" s="158"/>
      <c r="J17" s="159" t="s">
        <v>434</v>
      </c>
      <c r="K17" s="160">
        <f t="shared" si="0"/>
        <v>2013</v>
      </c>
      <c r="L17" s="161"/>
      <c r="M17" s="172"/>
      <c r="N17" s="172" t="str">
        <f t="shared" ref="N17:N24" si="5">IF(M17="","",1-M17)</f>
        <v/>
      </c>
      <c r="O17" s="172"/>
      <c r="P17" s="172"/>
      <c r="Q17" s="165"/>
      <c r="R17" s="164"/>
      <c r="S17" s="200"/>
      <c r="T17" s="166"/>
      <c r="U17" s="167"/>
      <c r="V17" s="168"/>
      <c r="W17" s="169"/>
      <c r="X17" s="167"/>
      <c r="Y17" s="159"/>
      <c r="Z17" s="170"/>
      <c r="AA17" s="171">
        <f t="shared" si="1"/>
        <v>0</v>
      </c>
      <c r="AB17" s="171">
        <f t="shared" si="3"/>
        <v>0</v>
      </c>
      <c r="AC17" s="171">
        <f t="shared" si="4"/>
        <v>0</v>
      </c>
      <c r="AD17" s="172"/>
      <c r="AE17" s="172"/>
      <c r="AF17" s="172"/>
      <c r="AG17" s="173"/>
      <c r="AH17" s="174"/>
    </row>
    <row r="18" spans="3:34" s="190" customFormat="1" ht="40.15" customHeight="1" x14ac:dyDescent="0.2">
      <c r="C18" s="153" t="s">
        <v>235</v>
      </c>
      <c r="D18" s="154"/>
      <c r="E18" s="155" t="s">
        <v>261</v>
      </c>
      <c r="F18" s="189" t="s">
        <v>339</v>
      </c>
      <c r="G18" s="156" t="s">
        <v>415</v>
      </c>
      <c r="H18" s="157">
        <v>41663</v>
      </c>
      <c r="I18" s="158">
        <v>41843</v>
      </c>
      <c r="J18" s="159" t="s">
        <v>434</v>
      </c>
      <c r="K18" s="160">
        <f t="shared" si="0"/>
        <v>2014</v>
      </c>
      <c r="L18" s="161">
        <v>3756</v>
      </c>
      <c r="M18" s="172">
        <v>0.65</v>
      </c>
      <c r="N18" s="172">
        <f t="shared" si="5"/>
        <v>0.35</v>
      </c>
      <c r="O18" s="172">
        <v>0.61</v>
      </c>
      <c r="P18" s="172">
        <v>0</v>
      </c>
      <c r="Q18" s="165">
        <f>1453/3756</f>
        <v>0.38684771033013843</v>
      </c>
      <c r="R18" s="164">
        <v>1</v>
      </c>
      <c r="S18" s="200">
        <v>0</v>
      </c>
      <c r="T18" s="166">
        <v>3756</v>
      </c>
      <c r="U18" s="167">
        <v>3756</v>
      </c>
      <c r="V18" s="168">
        <v>3756</v>
      </c>
      <c r="W18" s="169">
        <v>0</v>
      </c>
      <c r="X18" s="167">
        <v>0</v>
      </c>
      <c r="Y18" s="159">
        <v>0</v>
      </c>
      <c r="Z18" s="170">
        <v>201418</v>
      </c>
      <c r="AA18" s="171">
        <f t="shared" si="1"/>
        <v>0</v>
      </c>
      <c r="AB18" s="171">
        <f t="shared" si="3"/>
        <v>201418</v>
      </c>
      <c r="AC18" s="171">
        <f t="shared" si="4"/>
        <v>0</v>
      </c>
      <c r="AD18" s="172">
        <v>1</v>
      </c>
      <c r="AE18" s="172">
        <v>0.5</v>
      </c>
      <c r="AF18" s="172">
        <v>0.43</v>
      </c>
      <c r="AG18" s="173">
        <v>7.0000000000000007E-2</v>
      </c>
      <c r="AH18" s="174"/>
    </row>
    <row r="19" spans="3:34" s="190" customFormat="1" ht="40.15" customHeight="1" x14ac:dyDescent="0.2">
      <c r="C19" s="153" t="s">
        <v>258</v>
      </c>
      <c r="D19" s="154"/>
      <c r="E19" s="155" t="s">
        <v>335</v>
      </c>
      <c r="F19" s="154"/>
      <c r="G19" s="156" t="s">
        <v>416</v>
      </c>
      <c r="H19" s="181">
        <v>41412</v>
      </c>
      <c r="I19" s="182">
        <v>41777</v>
      </c>
      <c r="J19" s="159" t="s">
        <v>236</v>
      </c>
      <c r="K19" s="160">
        <f t="shared" si="0"/>
        <v>2013</v>
      </c>
      <c r="L19" s="161">
        <v>33204</v>
      </c>
      <c r="M19" s="162">
        <v>0.1</v>
      </c>
      <c r="N19" s="162">
        <f t="shared" si="5"/>
        <v>0.9</v>
      </c>
      <c r="O19" s="162">
        <v>0</v>
      </c>
      <c r="P19" s="162">
        <v>0</v>
      </c>
      <c r="Q19" s="163">
        <v>1</v>
      </c>
      <c r="R19" s="177">
        <v>7.0000000000000007E-2</v>
      </c>
      <c r="S19" s="195">
        <v>0.93</v>
      </c>
      <c r="T19" s="166">
        <v>2416</v>
      </c>
      <c r="U19" s="167">
        <v>146</v>
      </c>
      <c r="V19" s="168">
        <v>2416</v>
      </c>
      <c r="W19" s="169">
        <v>22000</v>
      </c>
      <c r="X19" s="167">
        <v>8788</v>
      </c>
      <c r="Y19" s="159">
        <v>30788</v>
      </c>
      <c r="Z19" s="178">
        <v>26986</v>
      </c>
      <c r="AA19" s="179">
        <f t="shared" si="1"/>
        <v>16857.008219178082</v>
      </c>
      <c r="AB19" s="179">
        <f t="shared" si="3"/>
        <v>10128.991780821918</v>
      </c>
      <c r="AC19" s="179">
        <f t="shared" si="4"/>
        <v>0</v>
      </c>
      <c r="AD19" s="162">
        <v>0.04</v>
      </c>
      <c r="AE19" s="172">
        <v>0.82</v>
      </c>
      <c r="AF19" s="162">
        <v>0.12</v>
      </c>
      <c r="AG19" s="195">
        <v>0.06</v>
      </c>
      <c r="AH19" s="196"/>
    </row>
    <row r="20" spans="3:34" s="190" customFormat="1" ht="40.15" customHeight="1" x14ac:dyDescent="0.2">
      <c r="C20" s="153" t="s">
        <v>237</v>
      </c>
      <c r="D20" s="154"/>
      <c r="E20" s="155" t="s">
        <v>261</v>
      </c>
      <c r="F20" s="154" t="s">
        <v>339</v>
      </c>
      <c r="G20" s="156" t="s">
        <v>412</v>
      </c>
      <c r="H20" s="197">
        <v>40973</v>
      </c>
      <c r="I20" s="198">
        <v>41074</v>
      </c>
      <c r="J20" s="159" t="s">
        <v>434</v>
      </c>
      <c r="K20" s="160">
        <f t="shared" si="0"/>
        <v>2012</v>
      </c>
      <c r="L20" s="161">
        <v>14000</v>
      </c>
      <c r="M20" s="162"/>
      <c r="N20" s="162" t="str">
        <f t="shared" si="5"/>
        <v/>
      </c>
      <c r="O20" s="162"/>
      <c r="P20" s="162"/>
      <c r="Q20" s="163"/>
      <c r="R20" s="164">
        <v>1</v>
      </c>
      <c r="S20" s="200">
        <v>0</v>
      </c>
      <c r="T20" s="166">
        <v>14000</v>
      </c>
      <c r="U20" s="167">
        <v>14000</v>
      </c>
      <c r="V20" s="168">
        <v>14000</v>
      </c>
      <c r="W20" s="169">
        <v>0</v>
      </c>
      <c r="X20" s="167">
        <v>0</v>
      </c>
      <c r="Y20" s="159">
        <v>0</v>
      </c>
      <c r="Z20" s="170">
        <f>(28600000+4800000+31800000+6266000)/850+8360</f>
        <v>92437.647058823524</v>
      </c>
      <c r="AA20" s="171">
        <f t="shared" si="1"/>
        <v>92437.647058823524</v>
      </c>
      <c r="AB20" s="199">
        <f t="shared" si="3"/>
        <v>0</v>
      </c>
      <c r="AC20" s="199">
        <f t="shared" si="4"/>
        <v>0</v>
      </c>
      <c r="AD20" s="200">
        <v>1</v>
      </c>
      <c r="AE20" s="172">
        <v>0.36</v>
      </c>
      <c r="AF20" s="172">
        <v>0.53</v>
      </c>
      <c r="AG20" s="201">
        <v>0.1</v>
      </c>
      <c r="AH20" s="196"/>
    </row>
    <row r="21" spans="3:34" s="190" customFormat="1" ht="40.15" customHeight="1" x14ac:dyDescent="0.2">
      <c r="C21" s="153" t="s">
        <v>237</v>
      </c>
      <c r="D21" s="154"/>
      <c r="E21" s="155" t="s">
        <v>261</v>
      </c>
      <c r="F21" s="154" t="s">
        <v>339</v>
      </c>
      <c r="G21" s="156" t="s">
        <v>412</v>
      </c>
      <c r="H21" s="197">
        <v>40941</v>
      </c>
      <c r="I21" s="198">
        <v>41090</v>
      </c>
      <c r="J21" s="159" t="s">
        <v>434</v>
      </c>
      <c r="K21" s="160">
        <f t="shared" si="0"/>
        <v>2012</v>
      </c>
      <c r="L21" s="161">
        <v>3240</v>
      </c>
      <c r="M21" s="162"/>
      <c r="N21" s="162" t="str">
        <f t="shared" si="5"/>
        <v/>
      </c>
      <c r="O21" s="162"/>
      <c r="P21" s="162"/>
      <c r="Q21" s="163"/>
      <c r="R21" s="164">
        <v>1</v>
      </c>
      <c r="S21" s="200">
        <v>0</v>
      </c>
      <c r="T21" s="166">
        <v>3240</v>
      </c>
      <c r="U21" s="167">
        <v>3240</v>
      </c>
      <c r="V21" s="168">
        <v>3240</v>
      </c>
      <c r="W21" s="169">
        <v>0</v>
      </c>
      <c r="X21" s="167">
        <v>0</v>
      </c>
      <c r="Y21" s="159">
        <v>0</v>
      </c>
      <c r="Z21" s="170">
        <f>(7354000+3480000+7870000+10800000)/850</f>
        <v>34710.588235294119</v>
      </c>
      <c r="AA21" s="171">
        <f t="shared" si="1"/>
        <v>34710.588235294119</v>
      </c>
      <c r="AB21" s="199">
        <f t="shared" si="3"/>
        <v>0</v>
      </c>
      <c r="AC21" s="199">
        <f t="shared" si="4"/>
        <v>0</v>
      </c>
      <c r="AD21" s="200">
        <v>1</v>
      </c>
      <c r="AE21" s="172">
        <v>0.35</v>
      </c>
      <c r="AF21" s="172">
        <v>0.38</v>
      </c>
      <c r="AG21" s="201">
        <v>0.36</v>
      </c>
      <c r="AH21" s="196"/>
    </row>
    <row r="22" spans="3:34" s="190" customFormat="1" ht="40.15" customHeight="1" x14ac:dyDescent="0.2">
      <c r="C22" s="153" t="s">
        <v>237</v>
      </c>
      <c r="D22" s="154"/>
      <c r="E22" s="155" t="s">
        <v>261</v>
      </c>
      <c r="F22" s="189" t="s">
        <v>339</v>
      </c>
      <c r="G22" s="156" t="s">
        <v>412</v>
      </c>
      <c r="H22" s="197">
        <v>40940</v>
      </c>
      <c r="I22" s="198">
        <v>41029</v>
      </c>
      <c r="J22" s="159" t="s">
        <v>434</v>
      </c>
      <c r="K22" s="160">
        <f t="shared" si="0"/>
        <v>2012</v>
      </c>
      <c r="L22" s="161">
        <v>14000</v>
      </c>
      <c r="M22" s="162"/>
      <c r="N22" s="162" t="str">
        <f t="shared" si="5"/>
        <v/>
      </c>
      <c r="O22" s="162"/>
      <c r="P22" s="162"/>
      <c r="Q22" s="163"/>
      <c r="R22" s="164">
        <v>1</v>
      </c>
      <c r="S22" s="200">
        <v>0</v>
      </c>
      <c r="T22" s="166">
        <v>14000</v>
      </c>
      <c r="U22" s="167">
        <v>14000</v>
      </c>
      <c r="V22" s="168">
        <v>14000</v>
      </c>
      <c r="W22" s="169">
        <v>0</v>
      </c>
      <c r="X22" s="167">
        <v>0</v>
      </c>
      <c r="Y22" s="159">
        <v>0</v>
      </c>
      <c r="Z22" s="170">
        <f>35400+9000+39360</f>
        <v>83760</v>
      </c>
      <c r="AA22" s="171">
        <f t="shared" si="1"/>
        <v>83760</v>
      </c>
      <c r="AB22" s="199">
        <f t="shared" si="3"/>
        <v>0</v>
      </c>
      <c r="AC22" s="199">
        <f t="shared" si="4"/>
        <v>0</v>
      </c>
      <c r="AD22" s="200">
        <v>1</v>
      </c>
      <c r="AE22" s="172">
        <v>0.42</v>
      </c>
      <c r="AF22" s="172">
        <v>0.55000000000000004</v>
      </c>
      <c r="AG22" s="201">
        <v>0.22</v>
      </c>
      <c r="AH22" s="196"/>
    </row>
    <row r="23" spans="3:34" s="190" customFormat="1" ht="40.15" customHeight="1" x14ac:dyDescent="0.2">
      <c r="C23" s="153" t="s">
        <v>237</v>
      </c>
      <c r="D23" s="154"/>
      <c r="E23" s="155" t="s">
        <v>261</v>
      </c>
      <c r="F23" s="154" t="s">
        <v>338</v>
      </c>
      <c r="G23" s="156" t="s">
        <v>412</v>
      </c>
      <c r="H23" s="197">
        <v>41346</v>
      </c>
      <c r="I23" s="198">
        <v>41437</v>
      </c>
      <c r="J23" s="159" t="s">
        <v>434</v>
      </c>
      <c r="K23" s="160">
        <f t="shared" si="0"/>
        <v>2013</v>
      </c>
      <c r="L23" s="161">
        <v>19000</v>
      </c>
      <c r="M23" s="191">
        <f>13000/19000</f>
        <v>0.68421052631578949</v>
      </c>
      <c r="N23" s="191">
        <f t="shared" si="5"/>
        <v>0.31578947368421051</v>
      </c>
      <c r="O23" s="191">
        <v>0</v>
      </c>
      <c r="P23" s="191">
        <v>0.32</v>
      </c>
      <c r="Q23" s="192">
        <f>12981/L23</f>
        <v>0.68321052631578949</v>
      </c>
      <c r="R23" s="164">
        <v>1</v>
      </c>
      <c r="S23" s="200">
        <v>0</v>
      </c>
      <c r="T23" s="166">
        <v>19000</v>
      </c>
      <c r="U23" s="167">
        <v>19000</v>
      </c>
      <c r="V23" s="168">
        <v>19000</v>
      </c>
      <c r="W23" s="169">
        <v>0</v>
      </c>
      <c r="X23" s="167">
        <v>0</v>
      </c>
      <c r="Y23" s="159">
        <v>0</v>
      </c>
      <c r="Z23" s="170">
        <f>83567321/850</f>
        <v>98314.495294117645</v>
      </c>
      <c r="AA23" s="171">
        <f t="shared" si="1"/>
        <v>98314.495294117645</v>
      </c>
      <c r="AB23" s="171">
        <f t="shared" si="3"/>
        <v>0</v>
      </c>
      <c r="AC23" s="171">
        <f t="shared" si="4"/>
        <v>0</v>
      </c>
      <c r="AD23" s="172">
        <v>1</v>
      </c>
      <c r="AE23" s="172">
        <f>22500000/83567321</f>
        <v>0.26924400268856291</v>
      </c>
      <c r="AF23" s="172">
        <v>0.14000000000000001</v>
      </c>
      <c r="AG23" s="200">
        <f>48974300/83567321</f>
        <v>0.58604606937202164</v>
      </c>
      <c r="AH23" s="196"/>
    </row>
    <row r="24" spans="3:34" s="190" customFormat="1" ht="40.15" customHeight="1" x14ac:dyDescent="0.2">
      <c r="C24" s="153" t="s">
        <v>237</v>
      </c>
      <c r="D24" s="154"/>
      <c r="E24" s="155" t="s">
        <v>261</v>
      </c>
      <c r="F24" s="154" t="s">
        <v>339</v>
      </c>
      <c r="G24" s="156" t="s">
        <v>412</v>
      </c>
      <c r="H24" s="197">
        <v>41082</v>
      </c>
      <c r="I24" s="198">
        <v>41364</v>
      </c>
      <c r="J24" s="159" t="s">
        <v>434</v>
      </c>
      <c r="K24" s="160">
        <f t="shared" si="0"/>
        <v>2012</v>
      </c>
      <c r="L24" s="161"/>
      <c r="M24" s="191"/>
      <c r="N24" s="191" t="str">
        <f t="shared" si="5"/>
        <v/>
      </c>
      <c r="O24" s="191"/>
      <c r="P24" s="191"/>
      <c r="Q24" s="192"/>
      <c r="R24" s="164"/>
      <c r="S24" s="200"/>
      <c r="T24" s="166"/>
      <c r="U24" s="167"/>
      <c r="V24" s="168"/>
      <c r="W24" s="169"/>
      <c r="X24" s="167"/>
      <c r="Y24" s="159"/>
      <c r="Z24" s="170">
        <f>136729365/780</f>
        <v>175294.05769230769</v>
      </c>
      <c r="AA24" s="171">
        <f t="shared" si="1"/>
        <v>175294.05769230769</v>
      </c>
      <c r="AB24" s="171">
        <f t="shared" si="3"/>
        <v>0</v>
      </c>
      <c r="AC24" s="171">
        <f t="shared" si="4"/>
        <v>0</v>
      </c>
      <c r="AD24" s="172"/>
      <c r="AE24" s="172"/>
      <c r="AF24" s="172"/>
      <c r="AG24" s="200"/>
      <c r="AH24" s="196"/>
    </row>
    <row r="25" spans="3:34" s="190" customFormat="1" ht="40.15" customHeight="1" x14ac:dyDescent="0.2">
      <c r="C25" s="153" t="s">
        <v>237</v>
      </c>
      <c r="D25" s="154"/>
      <c r="E25" s="155" t="s">
        <v>261</v>
      </c>
      <c r="F25" s="154" t="s">
        <v>785</v>
      </c>
      <c r="G25" s="156" t="s">
        <v>412</v>
      </c>
      <c r="H25" s="204">
        <v>41648</v>
      </c>
      <c r="I25" s="205">
        <v>41951</v>
      </c>
      <c r="J25" s="206" t="s">
        <v>434</v>
      </c>
      <c r="K25" s="160">
        <v>2014</v>
      </c>
      <c r="L25" s="423">
        <v>11000</v>
      </c>
      <c r="M25" s="172">
        <v>0.62</v>
      </c>
      <c r="N25" s="172">
        <v>0.38</v>
      </c>
      <c r="O25" s="172">
        <v>0</v>
      </c>
      <c r="P25" s="172">
        <v>1</v>
      </c>
      <c r="Q25" s="165">
        <v>0</v>
      </c>
      <c r="R25" s="164">
        <v>1</v>
      </c>
      <c r="S25" s="200">
        <v>0</v>
      </c>
      <c r="T25" s="166">
        <v>11000</v>
      </c>
      <c r="U25" s="167">
        <v>11000</v>
      </c>
      <c r="V25" s="168">
        <v>11000</v>
      </c>
      <c r="W25" s="203">
        <v>0</v>
      </c>
      <c r="X25" s="167">
        <v>0</v>
      </c>
      <c r="Y25" s="159">
        <v>0</v>
      </c>
      <c r="Z25" s="170">
        <v>337220.99</v>
      </c>
      <c r="AA25" s="171">
        <f t="shared" si="1"/>
        <v>0</v>
      </c>
      <c r="AB25" s="171">
        <f t="shared" si="3"/>
        <v>337220.99</v>
      </c>
      <c r="AC25" s="171">
        <f t="shared" si="4"/>
        <v>0</v>
      </c>
      <c r="AD25" s="172">
        <v>1</v>
      </c>
      <c r="AE25" s="421">
        <v>0.33</v>
      </c>
      <c r="AF25" s="421">
        <v>0.33</v>
      </c>
      <c r="AG25" s="422">
        <v>0.34</v>
      </c>
      <c r="AH25" s="196"/>
    </row>
    <row r="26" spans="3:34" s="190" customFormat="1" ht="40.15" customHeight="1" x14ac:dyDescent="0.2">
      <c r="C26" s="153" t="s">
        <v>237</v>
      </c>
      <c r="D26" s="154"/>
      <c r="E26" s="155" t="s">
        <v>261</v>
      </c>
      <c r="F26" s="154" t="s">
        <v>784</v>
      </c>
      <c r="G26" s="156" t="s">
        <v>412</v>
      </c>
      <c r="H26" s="204">
        <v>41928</v>
      </c>
      <c r="I26" s="205">
        <v>42109</v>
      </c>
      <c r="J26" s="206" t="s">
        <v>236</v>
      </c>
      <c r="K26" s="160">
        <v>2014</v>
      </c>
      <c r="L26" s="161">
        <v>13389</v>
      </c>
      <c r="M26" s="424">
        <v>0.59</v>
      </c>
      <c r="N26" s="172">
        <v>0.41</v>
      </c>
      <c r="O26" s="172">
        <v>0</v>
      </c>
      <c r="P26" s="172">
        <v>1</v>
      </c>
      <c r="Q26" s="165">
        <v>0</v>
      </c>
      <c r="R26" s="164">
        <v>1</v>
      </c>
      <c r="S26" s="200">
        <v>0</v>
      </c>
      <c r="T26" s="166">
        <v>5571</v>
      </c>
      <c r="U26" s="167">
        <v>5643</v>
      </c>
      <c r="V26" s="168">
        <v>13389</v>
      </c>
      <c r="W26" s="203">
        <v>0</v>
      </c>
      <c r="X26" s="167">
        <v>0</v>
      </c>
      <c r="Y26" s="159">
        <v>0</v>
      </c>
      <c r="Z26" s="170">
        <v>288461.43</v>
      </c>
      <c r="AA26" s="171">
        <f t="shared" si="1"/>
        <v>0</v>
      </c>
      <c r="AB26" s="171">
        <f t="shared" si="3"/>
        <v>121121.92640883979</v>
      </c>
      <c r="AC26" s="171">
        <f t="shared" si="4"/>
        <v>167339.5035911602</v>
      </c>
      <c r="AD26" s="172">
        <v>1</v>
      </c>
      <c r="AE26" s="421">
        <v>0.23</v>
      </c>
      <c r="AF26" s="421">
        <v>0.23</v>
      </c>
      <c r="AG26" s="422">
        <v>0.54</v>
      </c>
      <c r="AH26" s="196"/>
    </row>
    <row r="27" spans="3:34" s="190" customFormat="1" ht="40.15" customHeight="1" x14ac:dyDescent="0.2">
      <c r="C27" s="153" t="s">
        <v>237</v>
      </c>
      <c r="D27" s="154" t="s">
        <v>686</v>
      </c>
      <c r="E27" s="155" t="s">
        <v>685</v>
      </c>
      <c r="F27" s="154"/>
      <c r="G27" s="156" t="s">
        <v>412</v>
      </c>
      <c r="H27" s="157">
        <v>41757</v>
      </c>
      <c r="I27" s="158">
        <v>41802</v>
      </c>
      <c r="J27" s="159" t="s">
        <v>236</v>
      </c>
      <c r="K27" s="160">
        <f t="shared" si="0"/>
        <v>2014</v>
      </c>
      <c r="L27" s="161"/>
      <c r="M27" s="191"/>
      <c r="N27" s="191"/>
      <c r="O27" s="191">
        <v>1</v>
      </c>
      <c r="P27" s="191">
        <v>0</v>
      </c>
      <c r="Q27" s="192">
        <v>0</v>
      </c>
      <c r="R27" s="164">
        <v>1</v>
      </c>
      <c r="S27" s="200">
        <v>0</v>
      </c>
      <c r="T27" s="166"/>
      <c r="U27" s="167"/>
      <c r="V27" s="168"/>
      <c r="W27" s="169"/>
      <c r="X27" s="167"/>
      <c r="Y27" s="159"/>
      <c r="Z27" s="170">
        <v>43482</v>
      </c>
      <c r="AA27" s="171">
        <f t="shared" si="1"/>
        <v>0</v>
      </c>
      <c r="AB27" s="171">
        <f t="shared" si="3"/>
        <v>43482</v>
      </c>
      <c r="AC27" s="171">
        <f t="shared" si="4"/>
        <v>0</v>
      </c>
      <c r="AD27" s="172"/>
      <c r="AE27" s="172"/>
      <c r="AF27" s="172"/>
      <c r="AG27" s="200"/>
      <c r="AH27" s="196"/>
    </row>
    <row r="28" spans="3:34" s="190" customFormat="1" ht="40.15" customHeight="1" x14ac:dyDescent="0.2">
      <c r="C28" s="153" t="s">
        <v>417</v>
      </c>
      <c r="D28" s="154" t="s">
        <v>418</v>
      </c>
      <c r="E28" s="155" t="s">
        <v>335</v>
      </c>
      <c r="F28" s="154" t="s">
        <v>419</v>
      </c>
      <c r="G28" s="156" t="s">
        <v>420</v>
      </c>
      <c r="H28" s="181">
        <v>41275</v>
      </c>
      <c r="I28" s="182">
        <v>41729</v>
      </c>
      <c r="J28" s="159" t="s">
        <v>236</v>
      </c>
      <c r="K28" s="160">
        <f t="shared" si="0"/>
        <v>2013</v>
      </c>
      <c r="L28" s="161">
        <f>8400+6500+4894</f>
        <v>19794</v>
      </c>
      <c r="M28" s="172">
        <f>8400/L28</f>
        <v>0.42437102152167322</v>
      </c>
      <c r="N28" s="172">
        <f>IF(M28="","",1-M28)</f>
        <v>0.57562897847832684</v>
      </c>
      <c r="O28" s="172">
        <v>0</v>
      </c>
      <c r="P28" s="172">
        <v>0</v>
      </c>
      <c r="Q28" s="165">
        <v>1</v>
      </c>
      <c r="R28" s="164">
        <v>1</v>
      </c>
      <c r="S28" s="200">
        <v>0</v>
      </c>
      <c r="T28" s="166">
        <f>262*20</f>
        <v>5240</v>
      </c>
      <c r="U28" s="167">
        <f>8400+(21*250)</f>
        <v>13650</v>
      </c>
      <c r="V28" s="168">
        <f>L28</f>
        <v>19794</v>
      </c>
      <c r="W28" s="169">
        <v>0</v>
      </c>
      <c r="X28" s="167">
        <v>0</v>
      </c>
      <c r="Y28" s="159">
        <v>0</v>
      </c>
      <c r="Z28" s="170">
        <v>774563</v>
      </c>
      <c r="AA28" s="171">
        <f t="shared" si="1"/>
        <v>622721.35462555068</v>
      </c>
      <c r="AB28" s="171">
        <f t="shared" si="3"/>
        <v>151841.64537444935</v>
      </c>
      <c r="AC28" s="171">
        <f t="shared" si="4"/>
        <v>0</v>
      </c>
      <c r="AD28" s="172">
        <v>1</v>
      </c>
      <c r="AE28" s="172">
        <v>0.2</v>
      </c>
      <c r="AF28" s="172">
        <v>0.22</v>
      </c>
      <c r="AG28" s="200">
        <v>0.57999999999999996</v>
      </c>
      <c r="AH28" s="202" t="s">
        <v>421</v>
      </c>
    </row>
    <row r="29" spans="3:34" s="190" customFormat="1" ht="40.15" customHeight="1" x14ac:dyDescent="0.2">
      <c r="C29" s="153" t="s">
        <v>417</v>
      </c>
      <c r="D29" s="154" t="s">
        <v>418</v>
      </c>
      <c r="E29" s="155" t="s">
        <v>341</v>
      </c>
      <c r="F29" s="154" t="s">
        <v>422</v>
      </c>
      <c r="G29" s="156" t="s">
        <v>423</v>
      </c>
      <c r="H29" s="181">
        <v>41275</v>
      </c>
      <c r="I29" s="182">
        <v>41729</v>
      </c>
      <c r="J29" s="159" t="s">
        <v>236</v>
      </c>
      <c r="K29" s="160">
        <f t="shared" si="0"/>
        <v>2013</v>
      </c>
      <c r="L29" s="161"/>
      <c r="M29" s="172"/>
      <c r="N29" s="172"/>
      <c r="O29" s="172"/>
      <c r="P29" s="172"/>
      <c r="Q29" s="165"/>
      <c r="R29" s="164"/>
      <c r="S29" s="200"/>
      <c r="T29" s="166"/>
      <c r="U29" s="167"/>
      <c r="V29" s="168"/>
      <c r="W29" s="169"/>
      <c r="X29" s="167"/>
      <c r="Y29" s="159"/>
      <c r="Z29" s="170">
        <v>515029</v>
      </c>
      <c r="AA29" s="171">
        <f t="shared" si="1"/>
        <v>414065.16519823787</v>
      </c>
      <c r="AB29" s="171">
        <f t="shared" si="3"/>
        <v>100963.83480176212</v>
      </c>
      <c r="AC29" s="171">
        <f t="shared" si="4"/>
        <v>0</v>
      </c>
      <c r="AD29" s="172"/>
      <c r="AE29" s="172"/>
      <c r="AF29" s="172"/>
      <c r="AG29" s="200"/>
      <c r="AH29" s="202"/>
    </row>
    <row r="30" spans="3:34" s="190" customFormat="1" ht="40.15" customHeight="1" x14ac:dyDescent="0.2">
      <c r="C30" s="153" t="s">
        <v>417</v>
      </c>
      <c r="D30" s="154" t="s">
        <v>418</v>
      </c>
      <c r="E30" s="155" t="s">
        <v>344</v>
      </c>
      <c r="F30" s="154" t="s">
        <v>424</v>
      </c>
      <c r="G30" s="156" t="s">
        <v>423</v>
      </c>
      <c r="H30" s="181">
        <v>41275</v>
      </c>
      <c r="I30" s="182">
        <v>41729</v>
      </c>
      <c r="J30" s="159" t="s">
        <v>236</v>
      </c>
      <c r="K30" s="160">
        <f t="shared" si="0"/>
        <v>2013</v>
      </c>
      <c r="L30" s="161"/>
      <c r="M30" s="172"/>
      <c r="N30" s="172"/>
      <c r="O30" s="172"/>
      <c r="P30" s="172"/>
      <c r="Q30" s="165"/>
      <c r="R30" s="164"/>
      <c r="S30" s="200"/>
      <c r="T30" s="166"/>
      <c r="U30" s="167"/>
      <c r="V30" s="168"/>
      <c r="W30" s="169"/>
      <c r="X30" s="167"/>
      <c r="Y30" s="159"/>
      <c r="Z30" s="170">
        <v>191487</v>
      </c>
      <c r="AA30" s="171">
        <f t="shared" si="1"/>
        <v>153948.79955947137</v>
      </c>
      <c r="AB30" s="171">
        <f t="shared" si="3"/>
        <v>37538.200440528635</v>
      </c>
      <c r="AC30" s="171">
        <f t="shared" si="4"/>
        <v>0</v>
      </c>
      <c r="AD30" s="172"/>
      <c r="AE30" s="172"/>
      <c r="AF30" s="172"/>
      <c r="AG30" s="200"/>
      <c r="AH30" s="202"/>
    </row>
    <row r="31" spans="3:34" s="190" customFormat="1" ht="40.15" customHeight="1" x14ac:dyDescent="0.2">
      <c r="C31" s="153" t="s">
        <v>417</v>
      </c>
      <c r="D31" s="154" t="s">
        <v>418</v>
      </c>
      <c r="E31" s="155" t="s">
        <v>773</v>
      </c>
      <c r="F31" s="154" t="s">
        <v>687</v>
      </c>
      <c r="G31" s="156" t="s">
        <v>688</v>
      </c>
      <c r="H31" s="181">
        <v>41760</v>
      </c>
      <c r="I31" s="182">
        <v>42155</v>
      </c>
      <c r="J31" s="159" t="s">
        <v>236</v>
      </c>
      <c r="K31" s="160">
        <f t="shared" si="0"/>
        <v>2014</v>
      </c>
      <c r="L31" s="161">
        <v>23013</v>
      </c>
      <c r="M31" s="172">
        <f>9543/L31</f>
        <v>0.41467865988788943</v>
      </c>
      <c r="N31" s="172">
        <f t="shared" ref="N31:N36" si="6">IF(M31="","",1-M31)</f>
        <v>0.58532134011211057</v>
      </c>
      <c r="O31" s="172">
        <v>0</v>
      </c>
      <c r="P31" s="172">
        <v>0</v>
      </c>
      <c r="Q31" s="165">
        <v>1</v>
      </c>
      <c r="R31" s="164">
        <v>1</v>
      </c>
      <c r="S31" s="200">
        <v>0</v>
      </c>
      <c r="T31" s="166">
        <v>23013</v>
      </c>
      <c r="U31" s="166">
        <v>23013</v>
      </c>
      <c r="V31" s="168">
        <f>L31</f>
        <v>23013</v>
      </c>
      <c r="W31" s="169">
        <v>0</v>
      </c>
      <c r="X31" s="167">
        <v>0</v>
      </c>
      <c r="Y31" s="159">
        <v>0</v>
      </c>
      <c r="Z31" s="170">
        <v>1520909.0013263728</v>
      </c>
      <c r="AA31" s="171">
        <f t="shared" si="1"/>
        <v>0</v>
      </c>
      <c r="AB31" s="171">
        <f t="shared" si="3"/>
        <v>939498.21854084812</v>
      </c>
      <c r="AC31" s="171">
        <f t="shared" si="4"/>
        <v>581410.78278552473</v>
      </c>
      <c r="AD31" s="172">
        <v>1</v>
      </c>
      <c r="AE31" s="172">
        <v>0.16</v>
      </c>
      <c r="AF31" s="172">
        <v>0.09</v>
      </c>
      <c r="AG31" s="200">
        <v>0.75</v>
      </c>
      <c r="AH31" s="202" t="s">
        <v>689</v>
      </c>
    </row>
    <row r="32" spans="3:34" s="190" customFormat="1" ht="40.15" customHeight="1" x14ac:dyDescent="0.2">
      <c r="C32" s="153" t="s">
        <v>425</v>
      </c>
      <c r="D32" s="154"/>
      <c r="E32" s="155" t="s">
        <v>336</v>
      </c>
      <c r="F32" s="154"/>
      <c r="G32" s="156"/>
      <c r="H32" s="181">
        <v>40909</v>
      </c>
      <c r="I32" s="182">
        <v>42004</v>
      </c>
      <c r="J32" s="159"/>
      <c r="K32" s="160">
        <f t="shared" si="0"/>
        <v>2012</v>
      </c>
      <c r="L32" s="161"/>
      <c r="M32" s="172"/>
      <c r="N32" s="172" t="str">
        <f t="shared" si="6"/>
        <v/>
      </c>
      <c r="O32" s="172"/>
      <c r="P32" s="172"/>
      <c r="Q32" s="165"/>
      <c r="R32" s="164"/>
      <c r="S32" s="200"/>
      <c r="T32" s="166"/>
      <c r="U32" s="167"/>
      <c r="V32" s="168"/>
      <c r="W32" s="169"/>
      <c r="X32" s="167"/>
      <c r="Y32" s="159"/>
      <c r="Z32" s="170"/>
      <c r="AA32" s="171">
        <f t="shared" si="1"/>
        <v>0</v>
      </c>
      <c r="AB32" s="171">
        <f t="shared" si="3"/>
        <v>0</v>
      </c>
      <c r="AC32" s="171">
        <f t="shared" si="4"/>
        <v>0</v>
      </c>
      <c r="AD32" s="172"/>
      <c r="AE32" s="172"/>
      <c r="AF32" s="172"/>
      <c r="AG32" s="200"/>
      <c r="AH32" s="196"/>
    </row>
    <row r="33" spans="3:34" s="190" customFormat="1" ht="40.15" customHeight="1" x14ac:dyDescent="0.2">
      <c r="C33" s="153" t="s">
        <v>426</v>
      </c>
      <c r="D33" s="154" t="s">
        <v>294</v>
      </c>
      <c r="E33" s="155" t="s">
        <v>335</v>
      </c>
      <c r="F33" s="154"/>
      <c r="G33" s="156" t="s">
        <v>427</v>
      </c>
      <c r="H33" s="181">
        <v>41426</v>
      </c>
      <c r="I33" s="182">
        <v>41698</v>
      </c>
      <c r="J33" s="159" t="s">
        <v>428</v>
      </c>
      <c r="K33" s="160">
        <f t="shared" si="0"/>
        <v>2013</v>
      </c>
      <c r="L33" s="183">
        <v>9566</v>
      </c>
      <c r="M33" s="172">
        <v>0.86</v>
      </c>
      <c r="N33" s="172">
        <f t="shared" si="6"/>
        <v>0.14000000000000001</v>
      </c>
      <c r="O33" s="172">
        <v>0.89</v>
      </c>
      <c r="P33" s="172">
        <v>0</v>
      </c>
      <c r="Q33" s="165">
        <v>0.11</v>
      </c>
      <c r="R33" s="164">
        <v>1</v>
      </c>
      <c r="S33" s="200">
        <v>0</v>
      </c>
      <c r="T33" s="184">
        <v>1905</v>
      </c>
      <c r="U33" s="185">
        <v>9566</v>
      </c>
      <c r="V33" s="186">
        <v>9566</v>
      </c>
      <c r="W33" s="203">
        <v>0</v>
      </c>
      <c r="X33" s="167">
        <v>0</v>
      </c>
      <c r="Y33" s="159">
        <v>0</v>
      </c>
      <c r="Z33" s="170">
        <v>264760</v>
      </c>
      <c r="AA33" s="171">
        <f t="shared" si="1"/>
        <v>208303.82352941178</v>
      </c>
      <c r="AB33" s="171">
        <f t="shared" si="3"/>
        <v>56456.176470588231</v>
      </c>
      <c r="AC33" s="171">
        <f t="shared" si="4"/>
        <v>0</v>
      </c>
      <c r="AD33" s="172">
        <v>0.8</v>
      </c>
      <c r="AE33" s="172">
        <v>0.13</v>
      </c>
      <c r="AF33" s="172">
        <v>0.14000000000000001</v>
      </c>
      <c r="AG33" s="200">
        <v>0.73</v>
      </c>
      <c r="AH33" s="196"/>
    </row>
    <row r="34" spans="3:34" s="190" customFormat="1" ht="40.15" customHeight="1" x14ac:dyDescent="0.2">
      <c r="C34" s="153" t="s">
        <v>426</v>
      </c>
      <c r="D34" s="154" t="s">
        <v>294</v>
      </c>
      <c r="E34" s="155" t="s">
        <v>546</v>
      </c>
      <c r="F34" s="154"/>
      <c r="G34" s="156" t="s">
        <v>547</v>
      </c>
      <c r="H34" s="181">
        <v>41640</v>
      </c>
      <c r="I34" s="182">
        <v>42004</v>
      </c>
      <c r="J34" s="159" t="s">
        <v>428</v>
      </c>
      <c r="K34" s="160">
        <f t="shared" si="0"/>
        <v>2014</v>
      </c>
      <c r="L34" s="183"/>
      <c r="M34" s="172">
        <v>0</v>
      </c>
      <c r="N34" s="172">
        <f t="shared" si="6"/>
        <v>1</v>
      </c>
      <c r="O34" s="172">
        <v>0.89</v>
      </c>
      <c r="P34" s="172">
        <v>0</v>
      </c>
      <c r="Q34" s="165">
        <v>0.11</v>
      </c>
      <c r="R34" s="164">
        <v>1</v>
      </c>
      <c r="S34" s="200">
        <v>0</v>
      </c>
      <c r="T34" s="184">
        <v>1905</v>
      </c>
      <c r="U34" s="185">
        <v>9566</v>
      </c>
      <c r="V34" s="186">
        <v>9566</v>
      </c>
      <c r="W34" s="203">
        <v>0</v>
      </c>
      <c r="X34" s="167">
        <v>0</v>
      </c>
      <c r="Y34" s="159">
        <v>0</v>
      </c>
      <c r="Z34" s="170">
        <v>17000</v>
      </c>
      <c r="AA34" s="171">
        <f t="shared" si="1"/>
        <v>0</v>
      </c>
      <c r="AB34" s="171">
        <f t="shared" si="3"/>
        <v>17000</v>
      </c>
      <c r="AC34" s="171">
        <f t="shared" si="4"/>
        <v>0</v>
      </c>
      <c r="AD34" s="172"/>
      <c r="AE34" s="172"/>
      <c r="AF34" s="172"/>
      <c r="AG34" s="200"/>
      <c r="AH34" s="196"/>
    </row>
    <row r="35" spans="3:34" s="190" customFormat="1" ht="40.15" customHeight="1" x14ac:dyDescent="0.2">
      <c r="C35" s="153" t="s">
        <v>426</v>
      </c>
      <c r="D35" s="154" t="s">
        <v>294</v>
      </c>
      <c r="E35" s="155" t="s">
        <v>338</v>
      </c>
      <c r="F35" s="154"/>
      <c r="G35" s="156" t="s">
        <v>548</v>
      </c>
      <c r="H35" s="181">
        <v>41640</v>
      </c>
      <c r="I35" s="182"/>
      <c r="J35" s="159" t="s">
        <v>428</v>
      </c>
      <c r="K35" s="160">
        <f t="shared" si="0"/>
        <v>2014</v>
      </c>
      <c r="L35" s="183"/>
      <c r="M35" s="172">
        <v>0.93</v>
      </c>
      <c r="N35" s="172">
        <f t="shared" si="6"/>
        <v>6.9999999999999951E-2</v>
      </c>
      <c r="O35" s="172"/>
      <c r="P35" s="172"/>
      <c r="Q35" s="165"/>
      <c r="R35" s="164"/>
      <c r="S35" s="200"/>
      <c r="T35" s="184"/>
      <c r="U35" s="185"/>
      <c r="V35" s="186"/>
      <c r="W35" s="203"/>
      <c r="X35" s="167"/>
      <c r="Y35" s="159"/>
      <c r="Z35" s="170">
        <v>102308</v>
      </c>
      <c r="AA35" s="171">
        <f t="shared" si="1"/>
        <v>102308</v>
      </c>
      <c r="AB35" s="171">
        <f t="shared" si="3"/>
        <v>0</v>
      </c>
      <c r="AC35" s="171">
        <f t="shared" si="4"/>
        <v>0</v>
      </c>
      <c r="AD35" s="172"/>
      <c r="AE35" s="172"/>
      <c r="AF35" s="172"/>
      <c r="AG35" s="200"/>
      <c r="AH35" s="196"/>
    </row>
    <row r="36" spans="3:34" s="190" customFormat="1" ht="40.15" customHeight="1" x14ac:dyDescent="0.2">
      <c r="C36" s="153" t="s">
        <v>426</v>
      </c>
      <c r="D36" s="154" t="s">
        <v>294</v>
      </c>
      <c r="E36" s="155" t="s">
        <v>549</v>
      </c>
      <c r="F36" s="154"/>
      <c r="G36" s="156" t="s">
        <v>550</v>
      </c>
      <c r="H36" s="181">
        <v>41640</v>
      </c>
      <c r="I36" s="182"/>
      <c r="J36" s="159" t="s">
        <v>428</v>
      </c>
      <c r="K36" s="160">
        <f t="shared" si="0"/>
        <v>2014</v>
      </c>
      <c r="L36" s="183"/>
      <c r="M36" s="172">
        <v>0.47</v>
      </c>
      <c r="N36" s="172">
        <f t="shared" si="6"/>
        <v>0.53</v>
      </c>
      <c r="O36" s="172"/>
      <c r="P36" s="172"/>
      <c r="Q36" s="165"/>
      <c r="R36" s="164"/>
      <c r="S36" s="200"/>
      <c r="T36" s="184"/>
      <c r="U36" s="185"/>
      <c r="V36" s="186"/>
      <c r="W36" s="203"/>
      <c r="X36" s="167"/>
      <c r="Y36" s="159"/>
      <c r="Z36" s="170">
        <v>80400</v>
      </c>
      <c r="AA36" s="171">
        <f t="shared" si="1"/>
        <v>80400</v>
      </c>
      <c r="AB36" s="171">
        <f t="shared" si="3"/>
        <v>0</v>
      </c>
      <c r="AC36" s="171">
        <f t="shared" si="4"/>
        <v>0</v>
      </c>
      <c r="AD36" s="172"/>
      <c r="AE36" s="172"/>
      <c r="AF36" s="172"/>
      <c r="AG36" s="200"/>
      <c r="AH36" s="196"/>
    </row>
    <row r="37" spans="3:34" s="190" customFormat="1" ht="40.15" customHeight="1" x14ac:dyDescent="0.2">
      <c r="C37" s="153" t="s">
        <v>426</v>
      </c>
      <c r="D37" s="154"/>
      <c r="E37" s="155" t="s">
        <v>261</v>
      </c>
      <c r="F37" s="154" t="s">
        <v>339</v>
      </c>
      <c r="G37" s="156" t="s">
        <v>714</v>
      </c>
      <c r="H37" s="181">
        <v>41822</v>
      </c>
      <c r="I37" s="182">
        <v>42063</v>
      </c>
      <c r="J37" s="159" t="s">
        <v>236</v>
      </c>
      <c r="K37" s="160">
        <f t="shared" si="0"/>
        <v>2014</v>
      </c>
      <c r="L37" s="183">
        <v>10837</v>
      </c>
      <c r="M37" s="172">
        <f>4695/L37</f>
        <v>0.43323798099104921</v>
      </c>
      <c r="N37" s="172">
        <v>0.56999999999999995</v>
      </c>
      <c r="O37" s="172">
        <f>(736+1843)/L37</f>
        <v>0.23798099104918335</v>
      </c>
      <c r="P37" s="172">
        <v>0</v>
      </c>
      <c r="Q37" s="165">
        <v>0.76</v>
      </c>
      <c r="R37" s="164">
        <v>1</v>
      </c>
      <c r="S37" s="200">
        <v>0</v>
      </c>
      <c r="T37" s="184">
        <v>10837</v>
      </c>
      <c r="U37" s="185">
        <v>10837</v>
      </c>
      <c r="V37" s="186">
        <v>10837</v>
      </c>
      <c r="W37" s="203">
        <v>0</v>
      </c>
      <c r="X37" s="167">
        <v>0</v>
      </c>
      <c r="Y37" s="159">
        <v>0</v>
      </c>
      <c r="Z37" s="170">
        <v>455030</v>
      </c>
      <c r="AA37" s="171">
        <f t="shared" si="1"/>
        <v>0</v>
      </c>
      <c r="AB37" s="171">
        <f t="shared" si="3"/>
        <v>343632.61410788383</v>
      </c>
      <c r="AC37" s="171">
        <f t="shared" si="4"/>
        <v>111397.38589211617</v>
      </c>
      <c r="AD37" s="172">
        <v>1</v>
      </c>
      <c r="AE37" s="172">
        <v>7.0000000000000007E-2</v>
      </c>
      <c r="AF37" s="172">
        <v>0.18</v>
      </c>
      <c r="AG37" s="200">
        <v>0.75</v>
      </c>
      <c r="AH37" s="196"/>
    </row>
    <row r="38" spans="3:34" s="190" customFormat="1" ht="40.15" customHeight="1" x14ac:dyDescent="0.2">
      <c r="C38" s="153" t="s">
        <v>284</v>
      </c>
      <c r="D38" s="154"/>
      <c r="E38" s="155" t="s">
        <v>261</v>
      </c>
      <c r="F38" s="154" t="s">
        <v>339</v>
      </c>
      <c r="G38" s="156" t="s">
        <v>412</v>
      </c>
      <c r="H38" s="181">
        <v>41632</v>
      </c>
      <c r="I38" s="182">
        <v>41943</v>
      </c>
      <c r="J38" s="159" t="s">
        <v>434</v>
      </c>
      <c r="K38" s="160">
        <v>2014</v>
      </c>
      <c r="L38" s="183">
        <v>6184</v>
      </c>
      <c r="M38" s="172">
        <v>0</v>
      </c>
      <c r="N38" s="172">
        <f>IF(M38="","",1-M38)</f>
        <v>1</v>
      </c>
      <c r="O38" s="172">
        <v>0</v>
      </c>
      <c r="P38" s="172">
        <v>0</v>
      </c>
      <c r="Q38" s="165">
        <v>1</v>
      </c>
      <c r="R38" s="164">
        <v>1</v>
      </c>
      <c r="S38" s="200">
        <v>0</v>
      </c>
      <c r="T38" s="184">
        <v>3295</v>
      </c>
      <c r="U38" s="185">
        <v>2365</v>
      </c>
      <c r="V38" s="186">
        <v>4570</v>
      </c>
      <c r="W38" s="203">
        <v>0</v>
      </c>
      <c r="X38" s="167">
        <v>0</v>
      </c>
      <c r="Y38" s="159">
        <v>0</v>
      </c>
      <c r="Z38" s="170">
        <v>306018</v>
      </c>
      <c r="AA38" s="171">
        <f t="shared" si="1"/>
        <v>7871.8456591639551</v>
      </c>
      <c r="AB38" s="171">
        <f t="shared" si="3"/>
        <v>298146.15434083604</v>
      </c>
      <c r="AC38" s="171">
        <f t="shared" si="4"/>
        <v>0</v>
      </c>
      <c r="AD38" s="172">
        <v>1</v>
      </c>
      <c r="AE38" s="172">
        <v>0.42000000000000004</v>
      </c>
      <c r="AF38" s="172">
        <v>0.24</v>
      </c>
      <c r="AG38" s="200">
        <v>0.34</v>
      </c>
      <c r="AH38" s="196"/>
    </row>
    <row r="39" spans="3:34" s="190" customFormat="1" ht="40.15" customHeight="1" x14ac:dyDescent="0.2">
      <c r="C39" s="153" t="s">
        <v>429</v>
      </c>
      <c r="D39" s="154"/>
      <c r="E39" s="155" t="s">
        <v>261</v>
      </c>
      <c r="F39" s="154" t="s">
        <v>338</v>
      </c>
      <c r="G39" s="156" t="s">
        <v>430</v>
      </c>
      <c r="H39" s="157">
        <v>41064</v>
      </c>
      <c r="I39" s="158">
        <v>41290</v>
      </c>
      <c r="J39" s="159" t="s">
        <v>434</v>
      </c>
      <c r="K39" s="160">
        <f t="shared" si="0"/>
        <v>2012</v>
      </c>
      <c r="L39" s="161">
        <v>11524</v>
      </c>
      <c r="M39" s="172">
        <v>0.22</v>
      </c>
      <c r="N39" s="172">
        <f>IF(M39="","",1-M39)</f>
        <v>0.78</v>
      </c>
      <c r="O39" s="172">
        <v>0</v>
      </c>
      <c r="P39" s="172">
        <v>1</v>
      </c>
      <c r="Q39" s="165">
        <v>0</v>
      </c>
      <c r="R39" s="164">
        <v>1</v>
      </c>
      <c r="S39" s="200">
        <v>0</v>
      </c>
      <c r="T39" s="166">
        <f>6711+2313</f>
        <v>9024</v>
      </c>
      <c r="U39" s="167">
        <f>6711+2313</f>
        <v>9024</v>
      </c>
      <c r="V39" s="168">
        <f>6711+2313</f>
        <v>9024</v>
      </c>
      <c r="W39" s="169">
        <v>2500</v>
      </c>
      <c r="X39" s="167">
        <v>2500</v>
      </c>
      <c r="Y39" s="159">
        <v>2500</v>
      </c>
      <c r="Z39" s="170">
        <v>220000</v>
      </c>
      <c r="AA39" s="171">
        <f t="shared" si="1"/>
        <v>220000</v>
      </c>
      <c r="AB39" s="171">
        <f t="shared" si="3"/>
        <v>0</v>
      </c>
      <c r="AC39" s="171">
        <f t="shared" si="4"/>
        <v>0</v>
      </c>
      <c r="AD39" s="172">
        <v>0.85</v>
      </c>
      <c r="AE39" s="172">
        <v>0.33</v>
      </c>
      <c r="AF39" s="172">
        <v>0.23</v>
      </c>
      <c r="AG39" s="200">
        <v>0.44</v>
      </c>
      <c r="AH39" s="196"/>
    </row>
    <row r="40" spans="3:34" s="190" customFormat="1" ht="40.15" customHeight="1" x14ac:dyDescent="0.2">
      <c r="C40" s="153" t="s">
        <v>429</v>
      </c>
      <c r="D40" s="154"/>
      <c r="E40" s="155" t="s">
        <v>261</v>
      </c>
      <c r="F40" s="154" t="s">
        <v>338</v>
      </c>
      <c r="G40" s="156" t="s">
        <v>430</v>
      </c>
      <c r="H40" s="157">
        <v>41240</v>
      </c>
      <c r="I40" s="158">
        <v>41331</v>
      </c>
      <c r="J40" s="159" t="s">
        <v>434</v>
      </c>
      <c r="K40" s="160">
        <f t="shared" si="0"/>
        <v>2012</v>
      </c>
      <c r="L40" s="161">
        <v>7000</v>
      </c>
      <c r="M40" s="172">
        <v>0</v>
      </c>
      <c r="N40" s="172">
        <v>1</v>
      </c>
      <c r="O40" s="172">
        <v>0</v>
      </c>
      <c r="P40" s="172">
        <v>1</v>
      </c>
      <c r="Q40" s="165">
        <v>0</v>
      </c>
      <c r="R40" s="164">
        <v>1</v>
      </c>
      <c r="S40" s="200">
        <v>0</v>
      </c>
      <c r="T40" s="166">
        <v>7000</v>
      </c>
      <c r="U40" s="167">
        <v>7000</v>
      </c>
      <c r="V40" s="168">
        <v>7000</v>
      </c>
      <c r="W40" s="169"/>
      <c r="X40" s="167"/>
      <c r="Y40" s="159"/>
      <c r="Z40" s="170">
        <v>158854</v>
      </c>
      <c r="AA40" s="171">
        <f t="shared" si="1"/>
        <v>158854</v>
      </c>
      <c r="AB40" s="171">
        <f t="shared" si="3"/>
        <v>0</v>
      </c>
      <c r="AC40" s="171">
        <f t="shared" si="4"/>
        <v>0</v>
      </c>
      <c r="AD40" s="172">
        <v>1</v>
      </c>
      <c r="AE40" s="172">
        <f>(10950+71640+14328)/(10950+1556+71640+1500+1365+14328)</f>
        <v>0.95637415012976246</v>
      </c>
      <c r="AF40" s="172">
        <f>(1556)/(10950+1556+71640+1500+1365+14328)</f>
        <v>1.5354404523431255E-2</v>
      </c>
      <c r="AG40" s="200">
        <f>(1500+1365)/(10950+1556+71640+1500+1365+14328)</f>
        <v>2.8271445346806263E-2</v>
      </c>
      <c r="AH40" s="196"/>
    </row>
    <row r="41" spans="3:34" s="190" customFormat="1" ht="40.15" customHeight="1" x14ac:dyDescent="0.2">
      <c r="C41" s="153" t="s">
        <v>429</v>
      </c>
      <c r="D41" s="154"/>
      <c r="E41" s="155" t="s">
        <v>335</v>
      </c>
      <c r="F41" s="154"/>
      <c r="G41" s="156" t="s">
        <v>431</v>
      </c>
      <c r="H41" s="204">
        <v>41426</v>
      </c>
      <c r="I41" s="205">
        <v>41790</v>
      </c>
      <c r="J41" s="206" t="s">
        <v>434</v>
      </c>
      <c r="K41" s="207">
        <f t="shared" si="0"/>
        <v>2013</v>
      </c>
      <c r="L41" s="161">
        <v>13020</v>
      </c>
      <c r="M41" s="172">
        <f>7900/L41</f>
        <v>0.60675883256528418</v>
      </c>
      <c r="N41" s="172">
        <f t="shared" ref="N41:N52" si="7">IF(M41="","",1-M41)</f>
        <v>0.39324116743471582</v>
      </c>
      <c r="O41" s="172">
        <v>0</v>
      </c>
      <c r="P41" s="172">
        <v>1</v>
      </c>
      <c r="Q41" s="165">
        <v>0</v>
      </c>
      <c r="R41" s="164">
        <v>1</v>
      </c>
      <c r="S41" s="200">
        <v>0</v>
      </c>
      <c r="T41" s="166">
        <v>5120</v>
      </c>
      <c r="U41" s="167">
        <f>5120+7900</f>
        <v>13020</v>
      </c>
      <c r="V41" s="168">
        <v>5120</v>
      </c>
      <c r="W41" s="169">
        <v>0</v>
      </c>
      <c r="X41" s="167">
        <v>0</v>
      </c>
      <c r="Y41" s="159">
        <v>0</v>
      </c>
      <c r="Z41" s="170">
        <v>796569</v>
      </c>
      <c r="AA41" s="171">
        <f t="shared" si="1"/>
        <v>468312.54395604396</v>
      </c>
      <c r="AB41" s="171">
        <f t="shared" si="3"/>
        <v>328256.45604395604</v>
      </c>
      <c r="AC41" s="171">
        <f t="shared" si="4"/>
        <v>0</v>
      </c>
      <c r="AD41" s="172">
        <v>1</v>
      </c>
      <c r="AE41" s="172">
        <v>0.23</v>
      </c>
      <c r="AF41" s="172">
        <v>0.01</v>
      </c>
      <c r="AG41" s="200">
        <v>0.19</v>
      </c>
      <c r="AH41" s="196" t="s">
        <v>432</v>
      </c>
    </row>
    <row r="42" spans="3:34" s="190" customFormat="1" ht="40.15" customHeight="1" x14ac:dyDescent="0.2">
      <c r="C42" s="153" t="s">
        <v>429</v>
      </c>
      <c r="D42" s="154"/>
      <c r="E42" s="155" t="s">
        <v>342</v>
      </c>
      <c r="F42" s="154"/>
      <c r="G42" s="156" t="s">
        <v>433</v>
      </c>
      <c r="H42" s="204">
        <v>40912</v>
      </c>
      <c r="I42" s="205">
        <v>41032</v>
      </c>
      <c r="J42" s="159" t="s">
        <v>434</v>
      </c>
      <c r="K42" s="207">
        <f t="shared" si="0"/>
        <v>2012</v>
      </c>
      <c r="L42" s="161">
        <v>7280</v>
      </c>
      <c r="M42" s="172">
        <v>0</v>
      </c>
      <c r="N42" s="172">
        <f t="shared" si="7"/>
        <v>1</v>
      </c>
      <c r="O42" s="172">
        <v>0</v>
      </c>
      <c r="P42" s="172">
        <v>1</v>
      </c>
      <c r="Q42" s="165">
        <v>0</v>
      </c>
      <c r="R42" s="164">
        <v>1</v>
      </c>
      <c r="S42" s="200">
        <v>0</v>
      </c>
      <c r="T42" s="166">
        <v>4500</v>
      </c>
      <c r="U42" s="167">
        <v>0</v>
      </c>
      <c r="V42" s="168">
        <v>7280</v>
      </c>
      <c r="W42" s="169">
        <v>0</v>
      </c>
      <c r="X42" s="167">
        <v>0</v>
      </c>
      <c r="Y42" s="159">
        <v>0</v>
      </c>
      <c r="Z42" s="170">
        <v>197000</v>
      </c>
      <c r="AA42" s="171">
        <f t="shared" si="1"/>
        <v>197000</v>
      </c>
      <c r="AB42" s="171">
        <f t="shared" si="3"/>
        <v>0</v>
      </c>
      <c r="AC42" s="171">
        <f t="shared" si="4"/>
        <v>0</v>
      </c>
      <c r="AD42" s="172">
        <v>1</v>
      </c>
      <c r="AE42" s="172">
        <v>0.05</v>
      </c>
      <c r="AF42" s="172">
        <v>0</v>
      </c>
      <c r="AG42" s="200">
        <v>0.95</v>
      </c>
      <c r="AH42" s="196"/>
    </row>
    <row r="43" spans="3:34" s="190" customFormat="1" ht="40.15" customHeight="1" x14ac:dyDescent="0.2">
      <c r="C43" s="153" t="s">
        <v>429</v>
      </c>
      <c r="D43" s="154"/>
      <c r="E43" s="155" t="s">
        <v>335</v>
      </c>
      <c r="F43" s="154" t="s">
        <v>435</v>
      </c>
      <c r="G43" s="156" t="s">
        <v>431</v>
      </c>
      <c r="H43" s="204">
        <v>41115</v>
      </c>
      <c r="I43" s="205">
        <v>41449</v>
      </c>
      <c r="J43" s="159" t="s">
        <v>434</v>
      </c>
      <c r="K43" s="207">
        <f t="shared" si="0"/>
        <v>2012</v>
      </c>
      <c r="L43" s="161">
        <v>35714</v>
      </c>
      <c r="M43" s="172">
        <f>22558/L43</f>
        <v>0.63162905303242423</v>
      </c>
      <c r="N43" s="172">
        <f t="shared" si="7"/>
        <v>0.36837094696757577</v>
      </c>
      <c r="O43" s="172">
        <v>0</v>
      </c>
      <c r="P43" s="172">
        <v>1</v>
      </c>
      <c r="Q43" s="165">
        <v>0</v>
      </c>
      <c r="R43" s="164">
        <v>1</v>
      </c>
      <c r="S43" s="200">
        <v>0</v>
      </c>
      <c r="T43" s="166">
        <v>13773</v>
      </c>
      <c r="U43" s="167">
        <v>13667</v>
      </c>
      <c r="V43" s="168">
        <v>29447</v>
      </c>
      <c r="W43" s="169">
        <v>0</v>
      </c>
      <c r="X43" s="167">
        <v>0</v>
      </c>
      <c r="Y43" s="159">
        <v>0</v>
      </c>
      <c r="Z43" s="170">
        <v>504350</v>
      </c>
      <c r="AA43" s="171">
        <f t="shared" si="1"/>
        <v>504350</v>
      </c>
      <c r="AB43" s="171">
        <f t="shared" si="3"/>
        <v>0</v>
      </c>
      <c r="AC43" s="171">
        <f t="shared" si="4"/>
        <v>0</v>
      </c>
      <c r="AD43" s="172">
        <v>1</v>
      </c>
      <c r="AE43" s="172">
        <f>(120929+20458)/356642</f>
        <v>0.39643956684854842</v>
      </c>
      <c r="AF43" s="172">
        <f>17928/356642</f>
        <v>5.0268897101294854E-2</v>
      </c>
      <c r="AG43" s="200">
        <f>71328/356642</f>
        <v>0.19999887842710617</v>
      </c>
      <c r="AH43" s="196" t="s">
        <v>436</v>
      </c>
    </row>
    <row r="44" spans="3:34" s="190" customFormat="1" ht="40.15" customHeight="1" x14ac:dyDescent="0.2">
      <c r="C44" s="153" t="s">
        <v>820</v>
      </c>
      <c r="D44" s="154"/>
      <c r="E44" s="155" t="s">
        <v>335</v>
      </c>
      <c r="F44" s="154"/>
      <c r="G44" s="156" t="s">
        <v>819</v>
      </c>
      <c r="H44" s="204">
        <v>41883</v>
      </c>
      <c r="I44" s="205">
        <v>42247</v>
      </c>
      <c r="J44" s="159" t="s">
        <v>236</v>
      </c>
      <c r="K44" s="207">
        <v>2014</v>
      </c>
      <c r="L44" s="161">
        <v>22403</v>
      </c>
      <c r="M44" s="172">
        <v>0.64027139222425566</v>
      </c>
      <c r="N44" s="172">
        <v>0.35972860777574434</v>
      </c>
      <c r="O44" s="172">
        <v>0</v>
      </c>
      <c r="P44" s="172">
        <v>1</v>
      </c>
      <c r="Q44" s="165">
        <v>0</v>
      </c>
      <c r="R44" s="164">
        <v>1</v>
      </c>
      <c r="S44" s="200">
        <v>0</v>
      </c>
      <c r="T44" s="166">
        <v>22403</v>
      </c>
      <c r="U44" s="167">
        <v>22403</v>
      </c>
      <c r="V44" s="168">
        <v>22403</v>
      </c>
      <c r="W44" s="169">
        <v>0</v>
      </c>
      <c r="X44" s="167">
        <v>0</v>
      </c>
      <c r="Y44" s="159">
        <v>0</v>
      </c>
      <c r="Z44" s="170">
        <v>649786</v>
      </c>
      <c r="AA44" s="171">
        <f t="shared" ref="AA44" si="8">Z44-(AB44+AC44)</f>
        <v>0</v>
      </c>
      <c r="AB44" s="171">
        <f t="shared" ref="AB44" si="9">IF(I44&lt;$C$1,0,IF(H44&gt;$C$1,Z44-AC44,(I44-$C$1)/(I44-H44)*Z44-AC44))</f>
        <v>216000.29120879126</v>
      </c>
      <c r="AC44" s="171">
        <f t="shared" ref="AC44" si="10">IF(I44&lt;$D$1,0,IF(H44&gt;$D$1,Z44,(I44-$D$1)/(I44-H44)*Z44))</f>
        <v>433785.70879120874</v>
      </c>
      <c r="AD44" s="172">
        <v>1</v>
      </c>
      <c r="AE44" s="172">
        <v>0.36</v>
      </c>
      <c r="AF44" s="172">
        <v>0.02</v>
      </c>
      <c r="AG44" s="200">
        <v>0.62</v>
      </c>
      <c r="AH44" s="196" t="s">
        <v>821</v>
      </c>
    </row>
    <row r="45" spans="3:34" s="190" customFormat="1" ht="40.15" customHeight="1" x14ac:dyDescent="0.2">
      <c r="C45" s="153" t="s">
        <v>429</v>
      </c>
      <c r="D45" s="154"/>
      <c r="E45" s="155" t="s">
        <v>337</v>
      </c>
      <c r="F45" s="154" t="s">
        <v>414</v>
      </c>
      <c r="G45" s="156" t="s">
        <v>437</v>
      </c>
      <c r="H45" s="204">
        <v>41640</v>
      </c>
      <c r="I45" s="205">
        <v>41820</v>
      </c>
      <c r="J45" s="206" t="s">
        <v>434</v>
      </c>
      <c r="K45" s="207">
        <f t="shared" si="0"/>
        <v>2014</v>
      </c>
      <c r="L45" s="161">
        <v>3000</v>
      </c>
      <c r="M45" s="172">
        <v>0.5</v>
      </c>
      <c r="N45" s="172">
        <f t="shared" si="7"/>
        <v>0.5</v>
      </c>
      <c r="O45" s="172">
        <v>0</v>
      </c>
      <c r="P45" s="172">
        <v>1</v>
      </c>
      <c r="Q45" s="165">
        <v>0</v>
      </c>
      <c r="R45" s="164">
        <v>1</v>
      </c>
      <c r="S45" s="200">
        <v>0</v>
      </c>
      <c r="T45" s="166">
        <v>3000</v>
      </c>
      <c r="U45" s="167">
        <v>3000</v>
      </c>
      <c r="V45" s="168">
        <v>3000</v>
      </c>
      <c r="W45" s="169">
        <v>0</v>
      </c>
      <c r="X45" s="167">
        <v>0</v>
      </c>
      <c r="Y45" s="159">
        <v>0</v>
      </c>
      <c r="Z45" s="170">
        <v>78945</v>
      </c>
      <c r="AA45" s="171">
        <f t="shared" si="1"/>
        <v>0</v>
      </c>
      <c r="AB45" s="171">
        <f t="shared" si="3"/>
        <v>78945</v>
      </c>
      <c r="AC45" s="171">
        <f t="shared" si="4"/>
        <v>0</v>
      </c>
      <c r="AD45" s="172">
        <v>1</v>
      </c>
      <c r="AE45" s="172">
        <v>0.33</v>
      </c>
      <c r="AF45" s="172">
        <v>0.33</v>
      </c>
      <c r="AG45" s="200">
        <v>0.33</v>
      </c>
      <c r="AH45" s="196"/>
    </row>
    <row r="46" spans="3:34" s="190" customFormat="1" ht="40.15" customHeight="1" x14ac:dyDescent="0.2">
      <c r="C46" s="153" t="s">
        <v>429</v>
      </c>
      <c r="D46" s="154"/>
      <c r="E46" s="155" t="s">
        <v>337</v>
      </c>
      <c r="F46" s="154" t="s">
        <v>414</v>
      </c>
      <c r="G46" s="156" t="s">
        <v>822</v>
      </c>
      <c r="H46" s="204">
        <v>41883</v>
      </c>
      <c r="I46" s="205">
        <v>75119</v>
      </c>
      <c r="J46" s="206" t="s">
        <v>236</v>
      </c>
      <c r="K46" s="207">
        <v>2014</v>
      </c>
      <c r="L46" s="161">
        <v>5000</v>
      </c>
      <c r="M46" s="172"/>
      <c r="N46" s="172"/>
      <c r="O46" s="172"/>
      <c r="P46" s="172"/>
      <c r="Q46" s="165"/>
      <c r="R46" s="164"/>
      <c r="S46" s="200"/>
      <c r="T46" s="166"/>
      <c r="U46" s="167"/>
      <c r="V46" s="168"/>
      <c r="W46" s="169"/>
      <c r="X46" s="167"/>
      <c r="Y46" s="159"/>
      <c r="Z46" s="170">
        <v>267190</v>
      </c>
      <c r="AA46" s="171">
        <f t="shared" ref="AA46" si="11">Z46-(AB46+AC46)</f>
        <v>0</v>
      </c>
      <c r="AB46" s="171">
        <f t="shared" ref="AB46" si="12">IF(I46&lt;$C$1,0,IF(H46&gt;$C$1,Z46-AC46,(I46-$C$1)/(I46-H46)*Z46-AC46))</f>
        <v>972.74010109523078</v>
      </c>
      <c r="AC46" s="171">
        <f t="shared" ref="AC46" si="13">IF(I46&lt;$D$1,0,IF(H46&gt;$D$1,Z46,(I46-$D$1)/(I46-H46)*Z46))</f>
        <v>266217.25989890477</v>
      </c>
      <c r="AD46" s="172"/>
      <c r="AE46" s="172">
        <v>0.3</v>
      </c>
      <c r="AF46" s="172">
        <v>0.3</v>
      </c>
      <c r="AG46" s="200">
        <v>0.4</v>
      </c>
      <c r="AH46" s="196" t="s">
        <v>823</v>
      </c>
    </row>
    <row r="47" spans="3:34" s="190" customFormat="1" ht="40.15" customHeight="1" x14ac:dyDescent="0.2">
      <c r="C47" s="153" t="s">
        <v>429</v>
      </c>
      <c r="D47" s="154"/>
      <c r="E47" s="155" t="s">
        <v>261</v>
      </c>
      <c r="F47" s="154" t="s">
        <v>338</v>
      </c>
      <c r="G47" s="156" t="s">
        <v>438</v>
      </c>
      <c r="H47" s="208">
        <v>41632</v>
      </c>
      <c r="I47" s="209">
        <v>41874</v>
      </c>
      <c r="J47" s="210" t="s">
        <v>434</v>
      </c>
      <c r="K47" s="211">
        <f t="shared" si="0"/>
        <v>2013</v>
      </c>
      <c r="L47" s="161">
        <v>11774</v>
      </c>
      <c r="M47" s="172">
        <v>0.9</v>
      </c>
      <c r="N47" s="172">
        <f t="shared" si="7"/>
        <v>9.9999999999999978E-2</v>
      </c>
      <c r="O47" s="172">
        <v>0</v>
      </c>
      <c r="P47" s="172">
        <v>1</v>
      </c>
      <c r="Q47" s="165">
        <v>0</v>
      </c>
      <c r="R47" s="164">
        <v>1</v>
      </c>
      <c r="S47" s="200">
        <v>0</v>
      </c>
      <c r="T47" s="166">
        <v>11039</v>
      </c>
      <c r="U47" s="167">
        <v>11774</v>
      </c>
      <c r="V47" s="168">
        <v>11774</v>
      </c>
      <c r="W47" s="169">
        <v>0</v>
      </c>
      <c r="X47" s="167">
        <v>0</v>
      </c>
      <c r="Y47" s="159">
        <v>0</v>
      </c>
      <c r="Z47" s="170">
        <v>320000</v>
      </c>
      <c r="AA47" s="171">
        <f t="shared" si="1"/>
        <v>10578.512396694219</v>
      </c>
      <c r="AB47" s="171">
        <f t="shared" si="3"/>
        <v>309421.48760330578</v>
      </c>
      <c r="AC47" s="171">
        <f t="shared" si="4"/>
        <v>0</v>
      </c>
      <c r="AD47" s="172">
        <v>1</v>
      </c>
      <c r="AE47" s="172">
        <v>0.25</v>
      </c>
      <c r="AF47" s="172">
        <v>0.64</v>
      </c>
      <c r="AG47" s="200">
        <v>0.11</v>
      </c>
      <c r="AH47" s="196"/>
    </row>
    <row r="48" spans="3:34" s="190" customFormat="1" ht="40.15" customHeight="1" x14ac:dyDescent="0.2">
      <c r="C48" s="153" t="s">
        <v>429</v>
      </c>
      <c r="D48" s="154"/>
      <c r="E48" s="155" t="s">
        <v>261</v>
      </c>
      <c r="F48" s="154" t="s">
        <v>784</v>
      </c>
      <c r="G48" s="156" t="s">
        <v>786</v>
      </c>
      <c r="H48" s="208">
        <v>41928</v>
      </c>
      <c r="I48" s="209">
        <v>42109</v>
      </c>
      <c r="J48" s="210" t="s">
        <v>236</v>
      </c>
      <c r="K48" s="211">
        <f t="shared" si="0"/>
        <v>2014</v>
      </c>
      <c r="L48" s="273">
        <v>1250</v>
      </c>
      <c r="M48" s="263">
        <v>0.9</v>
      </c>
      <c r="N48" s="263">
        <f t="shared" si="7"/>
        <v>9.9999999999999978E-2</v>
      </c>
      <c r="O48" s="263">
        <v>0</v>
      </c>
      <c r="P48" s="263">
        <v>1</v>
      </c>
      <c r="Q48" s="264">
        <v>0</v>
      </c>
      <c r="R48" s="265">
        <v>1</v>
      </c>
      <c r="S48" s="271">
        <v>0</v>
      </c>
      <c r="T48" s="429">
        <v>1250</v>
      </c>
      <c r="U48" s="255">
        <v>1250</v>
      </c>
      <c r="V48" s="292">
        <v>0</v>
      </c>
      <c r="W48" s="274">
        <v>0</v>
      </c>
      <c r="X48" s="255">
        <v>0</v>
      </c>
      <c r="Y48" s="260">
        <v>0</v>
      </c>
      <c r="Z48" s="170">
        <v>249000</v>
      </c>
      <c r="AA48" s="171">
        <f t="shared" si="1"/>
        <v>0</v>
      </c>
      <c r="AB48" s="171">
        <f t="shared" si="3"/>
        <v>104552.48618784532</v>
      </c>
      <c r="AC48" s="171">
        <f t="shared" si="4"/>
        <v>144447.51381215468</v>
      </c>
      <c r="AD48" s="172">
        <v>1</v>
      </c>
      <c r="AE48" s="172">
        <v>0.25</v>
      </c>
      <c r="AF48" s="172">
        <v>0.64</v>
      </c>
      <c r="AG48" s="200">
        <v>0.11</v>
      </c>
      <c r="AH48" s="196"/>
    </row>
    <row r="49" spans="2:34" s="190" customFormat="1" ht="40.15" customHeight="1" x14ac:dyDescent="0.2">
      <c r="C49" s="153" t="s">
        <v>429</v>
      </c>
      <c r="D49" s="154"/>
      <c r="E49" s="155" t="s">
        <v>338</v>
      </c>
      <c r="F49" s="154"/>
      <c r="G49" s="156" t="s">
        <v>545</v>
      </c>
      <c r="H49" s="208">
        <v>41760</v>
      </c>
      <c r="I49" s="209">
        <v>42124</v>
      </c>
      <c r="J49" s="210" t="s">
        <v>236</v>
      </c>
      <c r="K49" s="211">
        <f t="shared" si="0"/>
        <v>2014</v>
      </c>
      <c r="L49" s="161">
        <v>6905</v>
      </c>
      <c r="M49" s="172">
        <v>0.3</v>
      </c>
      <c r="N49" s="172">
        <f t="shared" si="7"/>
        <v>0.7</v>
      </c>
      <c r="O49" s="172">
        <v>0</v>
      </c>
      <c r="P49" s="172">
        <v>1</v>
      </c>
      <c r="Q49" s="165">
        <v>0</v>
      </c>
      <c r="R49" s="164">
        <v>1</v>
      </c>
      <c r="S49" s="200">
        <v>0</v>
      </c>
      <c r="T49" s="166">
        <v>6905</v>
      </c>
      <c r="U49" s="167">
        <v>6905</v>
      </c>
      <c r="V49" s="168">
        <v>6905</v>
      </c>
      <c r="W49" s="169">
        <v>0</v>
      </c>
      <c r="X49" s="167">
        <v>0</v>
      </c>
      <c r="Y49" s="159">
        <v>0</v>
      </c>
      <c r="Z49" s="170">
        <v>469947</v>
      </c>
      <c r="AA49" s="171">
        <f t="shared" si="1"/>
        <v>0</v>
      </c>
      <c r="AB49" s="171">
        <f t="shared" si="3"/>
        <v>315019.41758241761</v>
      </c>
      <c r="AC49" s="171">
        <f t="shared" si="4"/>
        <v>154927.58241758242</v>
      </c>
      <c r="AD49" s="172">
        <v>1</v>
      </c>
      <c r="AE49" s="172">
        <v>0.56999999999999995</v>
      </c>
      <c r="AF49" s="172">
        <v>0.16</v>
      </c>
      <c r="AG49" s="200">
        <v>0.12</v>
      </c>
      <c r="AH49" s="196"/>
    </row>
    <row r="50" spans="2:34" s="190" customFormat="1" ht="40.15" customHeight="1" thickBot="1" x14ac:dyDescent="0.25">
      <c r="C50" s="212" t="s">
        <v>439</v>
      </c>
      <c r="D50" s="213" t="s">
        <v>235</v>
      </c>
      <c r="E50" s="214" t="s">
        <v>440</v>
      </c>
      <c r="F50" s="213" t="s">
        <v>441</v>
      </c>
      <c r="G50" s="215" t="s">
        <v>442</v>
      </c>
      <c r="H50" s="216">
        <v>41456</v>
      </c>
      <c r="I50" s="217">
        <v>41729</v>
      </c>
      <c r="J50" s="218" t="s">
        <v>236</v>
      </c>
      <c r="K50" s="219">
        <f t="shared" si="0"/>
        <v>2013</v>
      </c>
      <c r="L50" s="220">
        <v>9561</v>
      </c>
      <c r="M50" s="221">
        <v>0.2</v>
      </c>
      <c r="N50" s="221">
        <f t="shared" si="7"/>
        <v>0.8</v>
      </c>
      <c r="O50" s="221"/>
      <c r="P50" s="221"/>
      <c r="Q50" s="222"/>
      <c r="R50" s="223">
        <v>1</v>
      </c>
      <c r="S50" s="231">
        <v>0</v>
      </c>
      <c r="T50" s="224">
        <v>5383</v>
      </c>
      <c r="U50" s="225">
        <v>1844</v>
      </c>
      <c r="V50" s="226">
        <v>9066</v>
      </c>
      <c r="W50" s="227">
        <v>0</v>
      </c>
      <c r="X50" s="225">
        <v>0</v>
      </c>
      <c r="Y50" s="228">
        <v>0</v>
      </c>
      <c r="Z50" s="229">
        <v>245165</v>
      </c>
      <c r="AA50" s="230">
        <f t="shared" si="1"/>
        <v>165239.41391941393</v>
      </c>
      <c r="AB50" s="230">
        <f t="shared" si="3"/>
        <v>79925.586080586087</v>
      </c>
      <c r="AC50" s="230">
        <f t="shared" si="4"/>
        <v>0</v>
      </c>
      <c r="AD50" s="221">
        <v>1</v>
      </c>
      <c r="AE50" s="221">
        <v>0.38</v>
      </c>
      <c r="AF50" s="221">
        <v>0.11</v>
      </c>
      <c r="AG50" s="231">
        <v>0.51</v>
      </c>
      <c r="AH50" s="232"/>
    </row>
    <row r="51" spans="2:34" s="190" customFormat="1" ht="40.15" customHeight="1" x14ac:dyDescent="0.2">
      <c r="B51" s="707" t="s">
        <v>691</v>
      </c>
      <c r="C51" s="233" t="s">
        <v>261</v>
      </c>
      <c r="D51" s="234"/>
      <c r="E51" s="235" t="s">
        <v>343</v>
      </c>
      <c r="F51" s="234"/>
      <c r="G51" s="236" t="s">
        <v>443</v>
      </c>
      <c r="H51" s="237">
        <v>41277</v>
      </c>
      <c r="I51" s="238">
        <v>41305</v>
      </c>
      <c r="J51" s="239" t="s">
        <v>236</v>
      </c>
      <c r="K51" s="240">
        <f t="shared" si="0"/>
        <v>2013</v>
      </c>
      <c r="L51" s="241">
        <v>0</v>
      </c>
      <c r="M51" s="242">
        <v>0.5</v>
      </c>
      <c r="N51" s="242">
        <f t="shared" si="7"/>
        <v>0.5</v>
      </c>
      <c r="O51" s="242">
        <v>0.33</v>
      </c>
      <c r="P51" s="242">
        <v>0.33</v>
      </c>
      <c r="Q51" s="243">
        <v>0.33</v>
      </c>
      <c r="R51" s="244">
        <v>1</v>
      </c>
      <c r="S51" s="252">
        <v>0</v>
      </c>
      <c r="T51" s="245"/>
      <c r="U51" s="246"/>
      <c r="V51" s="247"/>
      <c r="W51" s="248"/>
      <c r="X51" s="246"/>
      <c r="Y51" s="249"/>
      <c r="Z51" s="250">
        <v>106270</v>
      </c>
      <c r="AA51" s="251">
        <f t="shared" si="1"/>
        <v>106270</v>
      </c>
      <c r="AB51" s="251">
        <f t="shared" si="3"/>
        <v>0</v>
      </c>
      <c r="AC51" s="251">
        <f t="shared" si="4"/>
        <v>0</v>
      </c>
      <c r="AD51" s="242">
        <v>1</v>
      </c>
      <c r="AE51" s="242">
        <v>0.33</v>
      </c>
      <c r="AF51" s="242">
        <v>0.33</v>
      </c>
      <c r="AG51" s="252">
        <v>0.33</v>
      </c>
      <c r="AH51" s="253"/>
    </row>
    <row r="52" spans="2:34" s="190" customFormat="1" ht="40.15" customHeight="1" x14ac:dyDescent="0.2">
      <c r="B52" s="708"/>
      <c r="C52" s="254" t="s">
        <v>261</v>
      </c>
      <c r="D52" s="255"/>
      <c r="E52" s="256" t="s">
        <v>343</v>
      </c>
      <c r="F52" s="255"/>
      <c r="G52" s="257" t="s">
        <v>444</v>
      </c>
      <c r="H52" s="258">
        <v>41671</v>
      </c>
      <c r="I52" s="259">
        <v>41851</v>
      </c>
      <c r="J52" s="260" t="s">
        <v>236</v>
      </c>
      <c r="K52" s="261">
        <f t="shared" si="0"/>
        <v>2014</v>
      </c>
      <c r="L52" s="262">
        <v>0</v>
      </c>
      <c r="M52" s="263">
        <v>0.5</v>
      </c>
      <c r="N52" s="263">
        <f t="shared" si="7"/>
        <v>0.5</v>
      </c>
      <c r="O52" s="263">
        <v>0.33</v>
      </c>
      <c r="P52" s="263">
        <v>0.33</v>
      </c>
      <c r="Q52" s="264">
        <v>0.33</v>
      </c>
      <c r="R52" s="265">
        <v>1</v>
      </c>
      <c r="S52" s="271">
        <v>0</v>
      </c>
      <c r="T52" s="344"/>
      <c r="U52" s="345"/>
      <c r="V52" s="346"/>
      <c r="W52" s="269"/>
      <c r="X52" s="267"/>
      <c r="Y52" s="270"/>
      <c r="Z52" s="170">
        <v>50000</v>
      </c>
      <c r="AA52" s="171">
        <f t="shared" si="1"/>
        <v>0</v>
      </c>
      <c r="AB52" s="171">
        <f t="shared" si="3"/>
        <v>50000</v>
      </c>
      <c r="AC52" s="171">
        <f t="shared" si="4"/>
        <v>0</v>
      </c>
      <c r="AD52" s="263">
        <v>1</v>
      </c>
      <c r="AE52" s="263">
        <v>0.33</v>
      </c>
      <c r="AF52" s="263">
        <v>0.33</v>
      </c>
      <c r="AG52" s="271">
        <v>0.33</v>
      </c>
      <c r="AH52" s="272"/>
    </row>
    <row r="53" spans="2:34" s="131" customFormat="1" ht="40.15" customHeight="1" x14ac:dyDescent="0.2">
      <c r="B53" s="708"/>
      <c r="C53" s="254" t="s">
        <v>261</v>
      </c>
      <c r="D53" s="255"/>
      <c r="E53" s="256" t="s">
        <v>339</v>
      </c>
      <c r="F53" s="255"/>
      <c r="G53" s="257"/>
      <c r="H53" s="258">
        <v>41016</v>
      </c>
      <c r="I53" s="259"/>
      <c r="J53" s="260" t="s">
        <v>434</v>
      </c>
      <c r="K53" s="261">
        <f t="shared" si="0"/>
        <v>2012</v>
      </c>
      <c r="L53" s="273">
        <v>86740</v>
      </c>
      <c r="M53" s="263">
        <f>36925/L53</f>
        <v>0.42569748674198754</v>
      </c>
      <c r="N53" s="263">
        <v>0.56999999999999995</v>
      </c>
      <c r="O53" s="263">
        <v>0</v>
      </c>
      <c r="P53" s="263">
        <f>23300/L53</f>
        <v>0.26861886096379989</v>
      </c>
      <c r="Q53" s="264">
        <v>0.73</v>
      </c>
      <c r="R53" s="265">
        <v>1</v>
      </c>
      <c r="S53" s="271">
        <v>0</v>
      </c>
      <c r="T53" s="266">
        <v>36740</v>
      </c>
      <c r="U53" s="267">
        <v>36740</v>
      </c>
      <c r="V53" s="268">
        <v>36740</v>
      </c>
      <c r="W53" s="274"/>
      <c r="X53" s="255"/>
      <c r="Y53" s="260"/>
      <c r="Z53" s="170">
        <v>981022.61</v>
      </c>
      <c r="AA53" s="171">
        <f t="shared" si="1"/>
        <v>981022.61</v>
      </c>
      <c r="AB53" s="171">
        <f t="shared" si="3"/>
        <v>0</v>
      </c>
      <c r="AC53" s="171">
        <f t="shared" si="4"/>
        <v>0</v>
      </c>
      <c r="AD53" s="255"/>
      <c r="AE53" s="263"/>
      <c r="AF53" s="263"/>
      <c r="AG53" s="271"/>
      <c r="AH53" s="272"/>
    </row>
    <row r="54" spans="2:34" s="131" customFormat="1" ht="40.15" customHeight="1" x14ac:dyDescent="0.2">
      <c r="B54" s="708"/>
      <c r="C54" s="275" t="s">
        <v>261</v>
      </c>
      <c r="D54" s="276"/>
      <c r="E54" s="277" t="s">
        <v>338</v>
      </c>
      <c r="F54" s="276"/>
      <c r="G54" s="278"/>
      <c r="H54" s="279">
        <v>41144</v>
      </c>
      <c r="I54" s="280">
        <v>41912</v>
      </c>
      <c r="J54" s="281" t="s">
        <v>236</v>
      </c>
      <c r="K54" s="282">
        <f t="shared" si="0"/>
        <v>2012</v>
      </c>
      <c r="L54" s="283">
        <f>L5+L12+L15+L16+L23+L25+L39+L40+L47</f>
        <v>89815</v>
      </c>
      <c r="M54" s="284">
        <v>0.61</v>
      </c>
      <c r="N54" s="284">
        <v>0.39</v>
      </c>
      <c r="O54" s="284">
        <f>5637/L54</f>
        <v>6.2762344819907584E-2</v>
      </c>
      <c r="P54" s="284">
        <f>54313/L54</f>
        <v>0.60472081500862884</v>
      </c>
      <c r="Q54" s="285">
        <v>0.33500000000000002</v>
      </c>
      <c r="R54" s="286">
        <v>1</v>
      </c>
      <c r="S54" s="290">
        <v>0</v>
      </c>
      <c r="T54" s="266">
        <v>86580</v>
      </c>
      <c r="U54" s="255">
        <v>86822</v>
      </c>
      <c r="V54" s="292">
        <v>86822</v>
      </c>
      <c r="W54" s="287"/>
      <c r="X54" s="276"/>
      <c r="Y54" s="281"/>
      <c r="Z54" s="288">
        <v>1652740</v>
      </c>
      <c r="AA54" s="289">
        <f t="shared" si="1"/>
        <v>1067394.5833333333</v>
      </c>
      <c r="AB54" s="289">
        <f t="shared" si="3"/>
        <v>585345.41666666674</v>
      </c>
      <c r="AC54" s="289">
        <f t="shared" si="4"/>
        <v>0</v>
      </c>
      <c r="AD54" s="276"/>
      <c r="AE54" s="284"/>
      <c r="AF54" s="284"/>
      <c r="AG54" s="290"/>
      <c r="AH54" s="291"/>
    </row>
    <row r="55" spans="2:34" s="131" customFormat="1" ht="40.15" customHeight="1" x14ac:dyDescent="0.2">
      <c r="B55" s="708"/>
      <c r="C55" s="254" t="s">
        <v>261</v>
      </c>
      <c r="D55" s="255"/>
      <c r="E55" s="256" t="s">
        <v>544</v>
      </c>
      <c r="F55" s="255"/>
      <c r="G55" s="257"/>
      <c r="H55" s="258">
        <v>41730</v>
      </c>
      <c r="I55" s="259">
        <v>42094</v>
      </c>
      <c r="J55" s="260" t="s">
        <v>236</v>
      </c>
      <c r="K55" s="261">
        <f t="shared" si="0"/>
        <v>2014</v>
      </c>
      <c r="L55" s="273"/>
      <c r="M55" s="263"/>
      <c r="N55" s="263"/>
      <c r="O55" s="263"/>
      <c r="P55" s="263"/>
      <c r="Q55" s="264"/>
      <c r="R55" s="265"/>
      <c r="S55" s="271"/>
      <c r="T55" s="266"/>
      <c r="U55" s="255"/>
      <c r="V55" s="292"/>
      <c r="W55" s="274"/>
      <c r="X55" s="255"/>
      <c r="Y55" s="260"/>
      <c r="Z55" s="170">
        <v>750000</v>
      </c>
      <c r="AA55" s="293">
        <f t="shared" si="1"/>
        <v>0</v>
      </c>
      <c r="AB55" s="293">
        <f t="shared" si="3"/>
        <v>564560.43956043955</v>
      </c>
      <c r="AC55" s="293">
        <f t="shared" si="4"/>
        <v>185439.56043956045</v>
      </c>
      <c r="AD55" s="255"/>
      <c r="AE55" s="263"/>
      <c r="AF55" s="263"/>
      <c r="AG55" s="271"/>
      <c r="AH55" s="272"/>
    </row>
    <row r="56" spans="2:34" s="131" customFormat="1" ht="40.15" customHeight="1" x14ac:dyDescent="0.2">
      <c r="B56" s="708"/>
      <c r="C56" s="294" t="s">
        <v>261</v>
      </c>
      <c r="D56" s="295"/>
      <c r="E56" s="296" t="s">
        <v>339</v>
      </c>
      <c r="F56" s="295"/>
      <c r="G56" s="297"/>
      <c r="H56" s="298">
        <v>41730</v>
      </c>
      <c r="I56" s="299">
        <v>42004</v>
      </c>
      <c r="J56" s="300" t="s">
        <v>236</v>
      </c>
      <c r="K56" s="301">
        <f t="shared" si="0"/>
        <v>2014</v>
      </c>
      <c r="L56" s="302">
        <f t="shared" ref="L56:Q56" si="14">L37</f>
        <v>10837</v>
      </c>
      <c r="M56" s="303">
        <f t="shared" si="14"/>
        <v>0.43323798099104921</v>
      </c>
      <c r="N56" s="303">
        <f t="shared" si="14"/>
        <v>0.56999999999999995</v>
      </c>
      <c r="O56" s="303">
        <f t="shared" si="14"/>
        <v>0.23798099104918335</v>
      </c>
      <c r="P56" s="303">
        <f t="shared" si="14"/>
        <v>0</v>
      </c>
      <c r="Q56" s="304">
        <f t="shared" si="14"/>
        <v>0.76</v>
      </c>
      <c r="R56" s="305">
        <v>1</v>
      </c>
      <c r="S56" s="310">
        <v>0</v>
      </c>
      <c r="T56" s="266">
        <f>T37</f>
        <v>10837</v>
      </c>
      <c r="U56" s="255"/>
      <c r="V56" s="292"/>
      <c r="W56" s="306"/>
      <c r="X56" s="295"/>
      <c r="Y56" s="300"/>
      <c r="Z56" s="307">
        <v>700000</v>
      </c>
      <c r="AA56" s="308">
        <f t="shared" si="1"/>
        <v>0</v>
      </c>
      <c r="AB56" s="309">
        <f t="shared" si="3"/>
        <v>700000</v>
      </c>
      <c r="AC56" s="309">
        <f t="shared" si="4"/>
        <v>0</v>
      </c>
      <c r="AD56" s="295"/>
      <c r="AE56" s="303"/>
      <c r="AF56" s="303"/>
      <c r="AG56" s="310"/>
      <c r="AH56" s="311"/>
    </row>
    <row r="57" spans="2:34" s="131" customFormat="1" ht="40.15" customHeight="1" thickBot="1" x14ac:dyDescent="0.25">
      <c r="B57" s="709"/>
      <c r="C57" s="312" t="s">
        <v>261</v>
      </c>
      <c r="D57" s="313"/>
      <c r="E57" s="314" t="s">
        <v>339</v>
      </c>
      <c r="F57" s="313"/>
      <c r="G57" s="315"/>
      <c r="H57" s="316">
        <v>41533</v>
      </c>
      <c r="I57" s="317">
        <v>41820</v>
      </c>
      <c r="J57" s="318" t="s">
        <v>236</v>
      </c>
      <c r="K57" s="319">
        <f t="shared" si="0"/>
        <v>2013</v>
      </c>
      <c r="L57" s="320">
        <f>L38+L18</f>
        <v>9940</v>
      </c>
      <c r="M57" s="321">
        <f>2441/L57</f>
        <v>0.24557344064386319</v>
      </c>
      <c r="N57" s="321">
        <v>0.75</v>
      </c>
      <c r="O57" s="321">
        <f>2291/L57</f>
        <v>0.23048289738430583</v>
      </c>
      <c r="P57" s="321">
        <v>0</v>
      </c>
      <c r="Q57" s="322">
        <v>0.77</v>
      </c>
      <c r="R57" s="323">
        <v>1</v>
      </c>
      <c r="S57" s="329">
        <v>0</v>
      </c>
      <c r="T57" s="324">
        <v>5989</v>
      </c>
      <c r="U57" s="348">
        <v>5462</v>
      </c>
      <c r="V57" s="349">
        <v>6137</v>
      </c>
      <c r="W57" s="325"/>
      <c r="X57" s="313"/>
      <c r="Y57" s="318"/>
      <c r="Z57" s="326">
        <v>514030</v>
      </c>
      <c r="AA57" s="327">
        <f t="shared" si="1"/>
        <v>191641.84668989549</v>
      </c>
      <c r="AB57" s="328">
        <f t="shared" si="3"/>
        <v>322388.15331010451</v>
      </c>
      <c r="AC57" s="328">
        <f t="shared" si="4"/>
        <v>0</v>
      </c>
      <c r="AD57" s="313"/>
      <c r="AE57" s="321"/>
      <c r="AF57" s="321"/>
      <c r="AG57" s="329"/>
      <c r="AH57" s="330"/>
    </row>
    <row r="58" spans="2:34" x14ac:dyDescent="0.2">
      <c r="B58" s="331"/>
      <c r="C58" s="331"/>
      <c r="D58" s="331"/>
      <c r="E58" s="331"/>
      <c r="F58" s="331"/>
      <c r="G58" s="331"/>
      <c r="H58" s="331"/>
      <c r="I58" s="331"/>
      <c r="J58" s="331"/>
      <c r="K58" s="331"/>
      <c r="L58" s="331"/>
      <c r="M58" s="332"/>
      <c r="N58" s="332"/>
      <c r="O58" s="332"/>
      <c r="P58" s="332"/>
      <c r="Q58" s="332"/>
      <c r="R58" s="333"/>
      <c r="S58" s="334"/>
      <c r="T58" s="331"/>
      <c r="U58" s="331"/>
      <c r="V58" s="331"/>
      <c r="W58" s="331"/>
      <c r="X58" s="331"/>
      <c r="Y58" s="331"/>
      <c r="Z58" s="332"/>
      <c r="AA58" s="332"/>
      <c r="AB58" s="332"/>
      <c r="AC58" s="332"/>
      <c r="AD58" s="332"/>
      <c r="AE58" s="332"/>
      <c r="AF58" s="332"/>
      <c r="AG58" s="332"/>
      <c r="AH58" s="331"/>
    </row>
    <row r="59" spans="2:34" x14ac:dyDescent="0.2">
      <c r="B59" s="331"/>
      <c r="C59" s="331"/>
      <c r="D59" s="331"/>
      <c r="E59" s="331"/>
      <c r="F59" s="331"/>
      <c r="G59" s="331"/>
      <c r="H59" s="331"/>
      <c r="I59" s="331"/>
      <c r="J59" s="331"/>
      <c r="K59" s="331"/>
      <c r="L59" s="331"/>
      <c r="M59" s="332"/>
      <c r="N59" s="332"/>
      <c r="O59" s="332"/>
      <c r="P59" s="332"/>
      <c r="Q59" s="332"/>
      <c r="R59" s="333"/>
      <c r="S59" s="334"/>
      <c r="T59" s="331"/>
      <c r="U59" s="331"/>
      <c r="V59" s="331"/>
      <c r="W59" s="331"/>
      <c r="X59" s="331"/>
      <c r="Y59" s="331"/>
      <c r="Z59" s="332"/>
      <c r="AA59" s="332"/>
      <c r="AB59" s="332"/>
      <c r="AC59" s="332"/>
      <c r="AD59" s="332"/>
      <c r="AE59" s="332"/>
      <c r="AF59" s="332"/>
      <c r="AG59" s="332"/>
      <c r="AH59" s="331"/>
    </row>
    <row r="60" spans="2:34" x14ac:dyDescent="0.2">
      <c r="B60" s="331"/>
      <c r="C60" s="331"/>
      <c r="D60" s="331"/>
      <c r="E60" s="331"/>
      <c r="F60" s="331"/>
      <c r="G60" s="331"/>
      <c r="H60" s="331"/>
      <c r="I60" s="331"/>
      <c r="J60" s="331"/>
      <c r="K60" s="331"/>
      <c r="L60" s="331"/>
      <c r="M60" s="336"/>
      <c r="N60" s="332"/>
      <c r="O60" s="332"/>
      <c r="P60" s="332"/>
      <c r="Q60" s="332"/>
      <c r="R60" s="333"/>
      <c r="S60" s="334"/>
      <c r="T60" s="331"/>
      <c r="U60" s="331"/>
      <c r="V60" s="331"/>
      <c r="W60" s="331"/>
      <c r="X60" s="331"/>
      <c r="Y60" s="331"/>
      <c r="Z60" s="332"/>
      <c r="AA60" s="332"/>
      <c r="AB60" s="332"/>
      <c r="AC60" s="332"/>
      <c r="AD60" s="332"/>
      <c r="AE60" s="332"/>
      <c r="AF60" s="332"/>
      <c r="AG60" s="332"/>
      <c r="AH60" s="331"/>
    </row>
    <row r="61" spans="2:34" x14ac:dyDescent="0.2">
      <c r="B61" s="331"/>
      <c r="C61" s="331"/>
      <c r="D61" s="331"/>
      <c r="E61" s="331"/>
      <c r="F61" s="331"/>
      <c r="G61" s="331"/>
      <c r="H61" s="331"/>
      <c r="I61" s="331"/>
      <c r="J61" s="331"/>
      <c r="K61" s="331"/>
      <c r="L61" s="331"/>
      <c r="M61" s="332"/>
      <c r="N61" s="332"/>
      <c r="O61" s="332"/>
      <c r="P61" s="332"/>
      <c r="Q61" s="332"/>
      <c r="R61" s="333"/>
      <c r="S61" s="334"/>
      <c r="T61" s="331"/>
      <c r="U61" s="331"/>
      <c r="V61" s="331"/>
      <c r="W61" s="331"/>
      <c r="X61" s="331"/>
      <c r="Y61" s="331"/>
      <c r="Z61" s="332"/>
      <c r="AA61" s="332"/>
      <c r="AB61" s="332"/>
      <c r="AC61" s="332"/>
      <c r="AD61" s="332"/>
      <c r="AE61" s="332"/>
      <c r="AF61" s="332"/>
      <c r="AG61" s="332"/>
      <c r="AH61" s="331"/>
    </row>
    <row r="62" spans="2:34" x14ac:dyDescent="0.2">
      <c r="C62" s="331"/>
      <c r="D62" s="331"/>
      <c r="E62" s="331"/>
      <c r="F62" s="331"/>
      <c r="G62" s="331"/>
      <c r="H62" s="331"/>
      <c r="I62" s="331"/>
      <c r="J62" s="331"/>
      <c r="K62" s="331"/>
      <c r="L62" s="331"/>
      <c r="M62" s="332"/>
      <c r="N62" s="332"/>
      <c r="O62" s="332"/>
      <c r="P62" s="332"/>
      <c r="Q62" s="332"/>
      <c r="R62" s="333"/>
      <c r="S62" s="334"/>
      <c r="T62" s="331"/>
      <c r="U62" s="331"/>
      <c r="V62" s="331"/>
      <c r="W62" s="331"/>
      <c r="X62" s="331"/>
      <c r="Y62" s="331"/>
      <c r="Z62" s="332"/>
      <c r="AA62" s="332"/>
      <c r="AB62" s="332"/>
      <c r="AC62" s="332"/>
      <c r="AD62" s="332"/>
      <c r="AE62" s="332"/>
      <c r="AF62" s="332"/>
      <c r="AG62" s="332"/>
      <c r="AH62" s="331"/>
    </row>
    <row r="63" spans="2:34" x14ac:dyDescent="0.2">
      <c r="C63" s="331"/>
      <c r="D63" s="331"/>
      <c r="E63" s="331"/>
      <c r="F63" s="331"/>
      <c r="G63" s="331"/>
      <c r="H63" s="331"/>
      <c r="I63" s="331"/>
      <c r="J63" s="331"/>
      <c r="K63" s="331"/>
      <c r="L63" s="331"/>
      <c r="M63" s="332"/>
      <c r="N63" s="332"/>
      <c r="O63" s="332"/>
      <c r="P63" s="332"/>
      <c r="Q63" s="332"/>
      <c r="R63" s="333"/>
      <c r="S63" s="334"/>
      <c r="T63" s="331"/>
      <c r="U63" s="331"/>
      <c r="V63" s="331"/>
      <c r="W63" s="331"/>
      <c r="X63" s="331"/>
      <c r="Y63" s="331"/>
      <c r="Z63" s="332"/>
      <c r="AA63" s="332"/>
      <c r="AB63" s="332"/>
      <c r="AC63" s="332"/>
      <c r="AD63" s="332"/>
      <c r="AE63" s="332"/>
      <c r="AF63" s="332"/>
      <c r="AG63" s="332"/>
      <c r="AH63" s="331"/>
    </row>
    <row r="64" spans="2:34" x14ac:dyDescent="0.2">
      <c r="C64" s="331"/>
      <c r="D64" s="331"/>
      <c r="E64" s="331"/>
      <c r="F64" s="331"/>
      <c r="G64" s="331"/>
      <c r="H64" s="331"/>
      <c r="I64" s="331"/>
      <c r="J64" s="331"/>
      <c r="K64" s="331"/>
      <c r="L64" s="331"/>
      <c r="M64" s="332"/>
      <c r="N64" s="332"/>
      <c r="O64" s="332"/>
      <c r="P64" s="332"/>
      <c r="Q64" s="332"/>
      <c r="R64" s="333"/>
      <c r="S64" s="334"/>
      <c r="T64" s="331"/>
      <c r="U64" s="331"/>
      <c r="V64" s="331"/>
      <c r="W64" s="331"/>
      <c r="X64" s="331"/>
      <c r="Y64" s="331"/>
      <c r="Z64" s="332"/>
      <c r="AA64" s="332"/>
      <c r="AB64" s="332"/>
      <c r="AC64" s="332"/>
      <c r="AD64" s="332"/>
      <c r="AE64" s="332"/>
      <c r="AF64" s="332"/>
      <c r="AG64" s="332"/>
      <c r="AH64" s="331"/>
    </row>
    <row r="65" spans="3:34" x14ac:dyDescent="0.2">
      <c r="C65" s="331" t="s">
        <v>445</v>
      </c>
      <c r="D65" s="331"/>
      <c r="E65" s="331"/>
      <c r="F65" s="331"/>
      <c r="G65" s="331"/>
      <c r="H65" s="331"/>
      <c r="I65" s="331"/>
      <c r="J65" s="331"/>
      <c r="K65" s="331"/>
      <c r="L65" s="331"/>
      <c r="M65" s="332"/>
      <c r="N65" s="332"/>
      <c r="O65" s="332"/>
      <c r="P65" s="332"/>
      <c r="Q65" s="332"/>
      <c r="R65" s="333"/>
      <c r="S65" s="334"/>
      <c r="T65" s="331"/>
      <c r="U65" s="331"/>
      <c r="V65" s="331"/>
      <c r="W65" s="331"/>
      <c r="X65" s="331"/>
      <c r="Y65" s="331"/>
      <c r="Z65" s="332"/>
      <c r="AA65" s="332"/>
      <c r="AB65" s="332"/>
      <c r="AC65" s="332"/>
      <c r="AD65" s="332"/>
      <c r="AE65" s="332"/>
      <c r="AF65" s="332"/>
      <c r="AG65" s="332"/>
      <c r="AH65" s="331"/>
    </row>
    <row r="66" spans="3:34" x14ac:dyDescent="0.2">
      <c r="C66" s="331" t="s">
        <v>236</v>
      </c>
      <c r="D66" s="331"/>
      <c r="E66" s="331"/>
      <c r="F66" s="331"/>
      <c r="G66" s="331"/>
      <c r="H66" s="331"/>
      <c r="I66" s="331"/>
      <c r="J66" s="331"/>
      <c r="K66" s="331"/>
      <c r="L66" s="331"/>
      <c r="M66" s="332"/>
      <c r="N66" s="332"/>
      <c r="O66" s="332"/>
      <c r="P66" s="332"/>
      <c r="Q66" s="332"/>
      <c r="R66" s="333"/>
      <c r="S66" s="334"/>
      <c r="T66" s="331"/>
      <c r="U66" s="331"/>
      <c r="V66" s="331"/>
      <c r="W66" s="331"/>
      <c r="X66" s="331"/>
      <c r="Y66" s="331"/>
      <c r="Z66" s="332"/>
      <c r="AA66" s="332"/>
      <c r="AB66" s="332"/>
      <c r="AC66" s="332"/>
      <c r="AD66" s="332"/>
      <c r="AE66" s="332"/>
      <c r="AF66" s="332"/>
      <c r="AG66" s="332"/>
      <c r="AH66" s="331"/>
    </row>
    <row r="67" spans="3:34" x14ac:dyDescent="0.2">
      <c r="C67" s="331" t="s">
        <v>434</v>
      </c>
      <c r="D67" s="331"/>
      <c r="E67" s="331"/>
      <c r="F67" s="331"/>
      <c r="G67" s="331"/>
      <c r="H67" s="331"/>
      <c r="I67" s="331"/>
      <c r="J67" s="331"/>
      <c r="K67" s="331"/>
      <c r="L67" s="331"/>
      <c r="M67" s="332"/>
      <c r="N67" s="332"/>
      <c r="O67" s="332"/>
      <c r="P67" s="332"/>
      <c r="Q67" s="332"/>
      <c r="R67" s="333"/>
      <c r="S67" s="334"/>
      <c r="T67" s="331"/>
      <c r="U67" s="331"/>
      <c r="V67" s="331"/>
      <c r="W67" s="331"/>
      <c r="X67" s="331"/>
      <c r="Y67" s="331"/>
      <c r="Z67" s="332"/>
      <c r="AA67" s="332"/>
      <c r="AB67" s="332"/>
      <c r="AC67" s="332"/>
      <c r="AD67" s="332"/>
      <c r="AE67" s="332"/>
      <c r="AF67" s="332"/>
      <c r="AG67" s="332"/>
      <c r="AH67" s="331"/>
    </row>
    <row r="68" spans="3:34" ht="51" x14ac:dyDescent="0.2">
      <c r="C68" s="331" t="s">
        <v>446</v>
      </c>
      <c r="D68" s="331"/>
      <c r="E68" s="331"/>
      <c r="F68" s="331"/>
      <c r="G68" s="331"/>
      <c r="H68" s="331"/>
      <c r="I68" s="337"/>
      <c r="J68" s="331"/>
      <c r="K68" s="331"/>
      <c r="L68" s="331"/>
      <c r="M68" s="332"/>
      <c r="N68" s="332"/>
      <c r="O68" s="332"/>
      <c r="P68" s="332"/>
      <c r="Q68" s="332"/>
      <c r="R68" s="333"/>
      <c r="S68" s="334"/>
      <c r="T68" s="331"/>
      <c r="U68" s="331"/>
      <c r="V68" s="331"/>
      <c r="W68" s="331" t="s">
        <v>447</v>
      </c>
      <c r="X68" s="331"/>
      <c r="Y68" s="331"/>
      <c r="Z68" s="332"/>
      <c r="AA68" s="332"/>
      <c r="AB68" s="332"/>
      <c r="AC68" s="332"/>
      <c r="AD68" s="332"/>
      <c r="AE68" s="332"/>
      <c r="AF68" s="332"/>
      <c r="AG68" s="332"/>
      <c r="AH68" s="331"/>
    </row>
    <row r="69" spans="3:34" x14ac:dyDescent="0.2">
      <c r="C69" s="331"/>
      <c r="D69" s="331"/>
      <c r="E69" s="331"/>
      <c r="F69" s="331"/>
      <c r="G69" s="331"/>
      <c r="H69" s="331"/>
      <c r="I69" s="337"/>
      <c r="J69" s="331"/>
      <c r="K69" s="331"/>
      <c r="L69" s="331"/>
      <c r="M69" s="332"/>
      <c r="N69" s="332"/>
      <c r="O69" s="332"/>
      <c r="P69" s="332"/>
      <c r="Q69" s="332"/>
      <c r="R69" s="333"/>
      <c r="S69" s="334"/>
      <c r="T69" s="331"/>
      <c r="U69" s="331"/>
      <c r="V69" s="331"/>
      <c r="W69" s="331"/>
      <c r="X69" s="331"/>
      <c r="Y69" s="331"/>
      <c r="Z69" s="332"/>
      <c r="AA69" s="332"/>
      <c r="AB69" s="332"/>
      <c r="AC69" s="332"/>
      <c r="AD69" s="332"/>
      <c r="AE69" s="332"/>
      <c r="AF69" s="332"/>
      <c r="AG69" s="332"/>
      <c r="AH69" s="331"/>
    </row>
    <row r="70" spans="3:34" x14ac:dyDescent="0.2">
      <c r="C70" s="331"/>
      <c r="D70" s="331"/>
      <c r="E70" s="331"/>
      <c r="F70" s="331"/>
      <c r="G70" s="331"/>
      <c r="H70" s="331"/>
      <c r="I70" s="337"/>
      <c r="J70" s="331"/>
      <c r="K70" s="331"/>
      <c r="L70" s="331"/>
      <c r="M70" s="332"/>
      <c r="N70" s="332"/>
      <c r="O70" s="332"/>
      <c r="P70" s="332"/>
      <c r="Q70" s="332"/>
      <c r="R70" s="333"/>
      <c r="S70" s="334"/>
      <c r="T70" s="331"/>
      <c r="U70" s="331"/>
      <c r="V70" s="331"/>
      <c r="W70" s="331"/>
      <c r="X70" s="331"/>
      <c r="Y70" s="331"/>
      <c r="Z70" s="332"/>
      <c r="AA70" s="332"/>
      <c r="AB70" s="332"/>
      <c r="AC70" s="332"/>
      <c r="AD70" s="332"/>
      <c r="AE70" s="332"/>
      <c r="AF70" s="332"/>
      <c r="AG70" s="332"/>
      <c r="AH70" s="331"/>
    </row>
    <row r="71" spans="3:34" x14ac:dyDescent="0.2">
      <c r="C71" s="331"/>
      <c r="D71" s="331"/>
      <c r="E71" s="331"/>
      <c r="F71" s="331"/>
      <c r="G71" s="331"/>
      <c r="H71" s="331"/>
      <c r="I71" s="337"/>
      <c r="J71" s="331"/>
      <c r="K71" s="331"/>
      <c r="L71" s="331"/>
      <c r="M71" s="332"/>
      <c r="N71" s="332"/>
      <c r="O71" s="332"/>
      <c r="P71" s="332"/>
      <c r="Q71" s="332"/>
      <c r="R71" s="333"/>
      <c r="S71" s="334"/>
      <c r="T71" s="331"/>
      <c r="U71" s="331"/>
      <c r="V71" s="331"/>
      <c r="W71" s="331"/>
      <c r="X71" s="331"/>
      <c r="Y71" s="331"/>
      <c r="Z71" s="332"/>
      <c r="AA71" s="332"/>
      <c r="AB71" s="332"/>
      <c r="AC71" s="332"/>
      <c r="AD71" s="332"/>
      <c r="AE71" s="332"/>
      <c r="AF71" s="332"/>
      <c r="AG71" s="332"/>
      <c r="AH71" s="331"/>
    </row>
    <row r="72" spans="3:34" x14ac:dyDescent="0.2">
      <c r="C72" s="331"/>
      <c r="D72" s="331"/>
      <c r="E72" s="331"/>
      <c r="F72" s="331"/>
      <c r="G72" s="331"/>
      <c r="H72" s="331"/>
      <c r="I72" s="337"/>
      <c r="J72" s="331"/>
      <c r="K72" s="331"/>
      <c r="L72" s="331"/>
      <c r="M72" s="332"/>
      <c r="N72" s="332"/>
      <c r="O72" s="332"/>
      <c r="P72" s="332"/>
      <c r="Q72" s="332"/>
      <c r="R72" s="333"/>
      <c r="S72" s="334"/>
      <c r="T72" s="331"/>
      <c r="U72" s="331"/>
      <c r="V72" s="331"/>
      <c r="W72" s="331"/>
      <c r="X72" s="331"/>
      <c r="Y72" s="331"/>
      <c r="Z72" s="332"/>
      <c r="AA72" s="332"/>
      <c r="AB72" s="332"/>
      <c r="AC72" s="332"/>
      <c r="AD72" s="332"/>
      <c r="AE72" s="332"/>
      <c r="AF72" s="332"/>
      <c r="AG72" s="332"/>
      <c r="AH72" s="331"/>
    </row>
    <row r="73" spans="3:34" x14ac:dyDescent="0.2">
      <c r="C73" s="331"/>
      <c r="D73" s="331"/>
      <c r="E73" s="331"/>
      <c r="F73" s="331"/>
      <c r="G73" s="331"/>
      <c r="H73" s="331"/>
      <c r="I73" s="337"/>
      <c r="J73" s="331"/>
      <c r="K73" s="331"/>
      <c r="L73" s="331"/>
      <c r="M73" s="332"/>
      <c r="N73" s="332"/>
      <c r="O73" s="332"/>
      <c r="P73" s="332"/>
      <c r="Q73" s="332"/>
      <c r="R73" s="333"/>
      <c r="S73" s="334"/>
      <c r="T73" s="331"/>
      <c r="U73" s="331"/>
      <c r="V73" s="331"/>
      <c r="W73" s="331"/>
      <c r="X73" s="331"/>
      <c r="Y73" s="331"/>
      <c r="Z73" s="332"/>
      <c r="AA73" s="332"/>
      <c r="AB73" s="332"/>
      <c r="AC73" s="332"/>
      <c r="AD73" s="332"/>
      <c r="AE73" s="332"/>
      <c r="AF73" s="332"/>
      <c r="AG73" s="332"/>
      <c r="AH73" s="331"/>
    </row>
    <row r="74" spans="3:34" x14ac:dyDescent="0.2">
      <c r="C74" s="331"/>
      <c r="D74" s="331"/>
      <c r="E74" s="331"/>
      <c r="F74" s="331"/>
      <c r="G74" s="331"/>
      <c r="H74" s="331"/>
      <c r="I74" s="337"/>
      <c r="J74" s="331"/>
      <c r="K74" s="331"/>
      <c r="L74" s="331"/>
      <c r="M74" s="332"/>
      <c r="N74" s="332"/>
      <c r="O74" s="332"/>
      <c r="P74" s="332"/>
      <c r="Q74" s="332"/>
      <c r="R74" s="333"/>
      <c r="S74" s="334"/>
      <c r="T74" s="331"/>
      <c r="U74" s="331"/>
      <c r="V74" s="331"/>
      <c r="W74" s="331"/>
      <c r="X74" s="331"/>
      <c r="Y74" s="331"/>
      <c r="Z74" s="332"/>
      <c r="AA74" s="332"/>
      <c r="AB74" s="332"/>
      <c r="AC74" s="332"/>
      <c r="AD74" s="332"/>
      <c r="AE74" s="332"/>
      <c r="AF74" s="332"/>
      <c r="AG74" s="332"/>
      <c r="AH74" s="331"/>
    </row>
    <row r="75" spans="3:34" x14ac:dyDescent="0.2">
      <c r="C75" s="331"/>
      <c r="D75" s="331"/>
      <c r="E75" s="331"/>
      <c r="F75" s="331"/>
      <c r="G75" s="331"/>
      <c r="H75" s="331"/>
      <c r="I75" s="337"/>
      <c r="J75" s="331"/>
      <c r="K75" s="331"/>
      <c r="L75" s="331"/>
      <c r="M75" s="332"/>
      <c r="N75" s="332"/>
      <c r="O75" s="332"/>
      <c r="P75" s="332"/>
      <c r="Q75" s="332"/>
      <c r="R75" s="333"/>
      <c r="S75" s="334"/>
      <c r="T75" s="331"/>
      <c r="U75" s="331"/>
      <c r="V75" s="331"/>
      <c r="W75" s="331"/>
      <c r="X75" s="331"/>
      <c r="Y75" s="331"/>
      <c r="Z75" s="332"/>
      <c r="AA75" s="332"/>
      <c r="AB75" s="332"/>
      <c r="AC75" s="332"/>
      <c r="AD75" s="332"/>
      <c r="AE75" s="332"/>
      <c r="AF75" s="332"/>
      <c r="AG75" s="332"/>
      <c r="AH75" s="331"/>
    </row>
    <row r="76" spans="3:34" x14ac:dyDescent="0.2">
      <c r="C76" s="331"/>
      <c r="D76" s="331"/>
      <c r="E76" s="331"/>
      <c r="F76" s="331"/>
      <c r="G76" s="331"/>
      <c r="H76" s="331"/>
      <c r="I76" s="337"/>
      <c r="J76" s="331"/>
      <c r="K76" s="331"/>
      <c r="L76" s="331"/>
      <c r="M76" s="332"/>
      <c r="N76" s="332"/>
      <c r="O76" s="332"/>
      <c r="P76" s="332"/>
      <c r="Q76" s="332"/>
      <c r="R76" s="333"/>
      <c r="S76" s="334"/>
      <c r="T76" s="331"/>
      <c r="U76" s="331"/>
      <c r="V76" s="331"/>
      <c r="W76" s="331"/>
      <c r="X76" s="331"/>
      <c r="Y76" s="331"/>
      <c r="Z76" s="332"/>
      <c r="AA76" s="332"/>
      <c r="AB76" s="332"/>
      <c r="AC76" s="332"/>
      <c r="AD76" s="332"/>
      <c r="AE76" s="332"/>
      <c r="AF76" s="332"/>
      <c r="AG76" s="332"/>
      <c r="AH76" s="331"/>
    </row>
    <row r="77" spans="3:34" x14ac:dyDescent="0.2">
      <c r="C77" s="331"/>
      <c r="D77" s="331"/>
      <c r="E77" s="331"/>
      <c r="F77" s="331"/>
      <c r="G77" s="331"/>
      <c r="H77" s="331"/>
      <c r="I77" s="337"/>
      <c r="J77" s="331"/>
      <c r="K77" s="331"/>
      <c r="L77" s="331"/>
      <c r="M77" s="332"/>
      <c r="N77" s="332"/>
      <c r="O77" s="332"/>
      <c r="P77" s="332"/>
      <c r="Q77" s="332"/>
      <c r="R77" s="333"/>
      <c r="S77" s="334"/>
      <c r="T77" s="331"/>
      <c r="U77" s="331"/>
      <c r="V77" s="331"/>
      <c r="W77" s="331"/>
      <c r="X77" s="331"/>
      <c r="Y77" s="331"/>
      <c r="Z77" s="332"/>
      <c r="AA77" s="332"/>
      <c r="AB77" s="332"/>
      <c r="AC77" s="332"/>
      <c r="AD77" s="332"/>
      <c r="AE77" s="332"/>
      <c r="AF77" s="332"/>
      <c r="AG77" s="332"/>
      <c r="AH77" s="331"/>
    </row>
    <row r="78" spans="3:34" x14ac:dyDescent="0.2">
      <c r="C78" s="331"/>
      <c r="D78" s="331"/>
      <c r="E78" s="331"/>
      <c r="F78" s="331"/>
      <c r="G78" s="331"/>
      <c r="H78" s="331"/>
      <c r="I78" s="337"/>
      <c r="J78" s="331"/>
      <c r="K78" s="331"/>
      <c r="L78" s="331"/>
      <c r="M78" s="332"/>
      <c r="N78" s="332"/>
      <c r="O78" s="332"/>
      <c r="P78" s="332"/>
      <c r="Q78" s="332"/>
      <c r="R78" s="333"/>
      <c r="S78" s="334"/>
      <c r="T78" s="331"/>
      <c r="U78" s="331"/>
      <c r="V78" s="331"/>
      <c r="W78" s="331"/>
      <c r="X78" s="331"/>
      <c r="Y78" s="331"/>
      <c r="Z78" s="332"/>
      <c r="AA78" s="332"/>
      <c r="AB78" s="332"/>
      <c r="AC78" s="332"/>
      <c r="AD78" s="332"/>
      <c r="AE78" s="332"/>
      <c r="AF78" s="332"/>
      <c r="AG78" s="332"/>
      <c r="AH78" s="331"/>
    </row>
    <row r="79" spans="3:34" x14ac:dyDescent="0.2">
      <c r="C79" s="331"/>
      <c r="D79" s="331"/>
      <c r="E79" s="331"/>
      <c r="F79" s="331"/>
      <c r="G79" s="331"/>
      <c r="H79" s="331"/>
      <c r="I79" s="337"/>
      <c r="J79" s="331"/>
      <c r="K79" s="331"/>
      <c r="L79" s="331"/>
      <c r="M79" s="332"/>
      <c r="N79" s="332"/>
      <c r="O79" s="332"/>
      <c r="P79" s="332"/>
      <c r="Q79" s="332"/>
      <c r="R79" s="333"/>
      <c r="S79" s="334"/>
      <c r="T79" s="331"/>
      <c r="U79" s="331"/>
      <c r="V79" s="331"/>
      <c r="W79" s="331"/>
      <c r="X79" s="331"/>
      <c r="Y79" s="331"/>
      <c r="Z79" s="332"/>
      <c r="AA79" s="332"/>
      <c r="AB79" s="332"/>
      <c r="AC79" s="332"/>
      <c r="AD79" s="332"/>
      <c r="AE79" s="332"/>
      <c r="AF79" s="332"/>
      <c r="AG79" s="332"/>
      <c r="AH79" s="331"/>
    </row>
    <row r="80" spans="3:34" x14ac:dyDescent="0.2">
      <c r="C80" s="331"/>
      <c r="D80" s="331"/>
      <c r="E80" s="331"/>
      <c r="F80" s="331"/>
      <c r="G80" s="331"/>
      <c r="H80" s="331"/>
      <c r="I80" s="337"/>
      <c r="J80" s="331"/>
      <c r="K80" s="331"/>
      <c r="L80" s="331"/>
      <c r="M80" s="332"/>
      <c r="N80" s="332"/>
      <c r="O80" s="332"/>
      <c r="P80" s="332"/>
      <c r="Q80" s="332"/>
      <c r="R80" s="333"/>
      <c r="S80" s="334"/>
      <c r="T80" s="331"/>
      <c r="U80" s="331"/>
      <c r="V80" s="331"/>
      <c r="W80" s="331"/>
      <c r="X80" s="331"/>
      <c r="Y80" s="331"/>
      <c r="Z80" s="332"/>
      <c r="AA80" s="332"/>
      <c r="AB80" s="332"/>
      <c r="AC80" s="332"/>
      <c r="AD80" s="332"/>
      <c r="AE80" s="332"/>
      <c r="AF80" s="332"/>
      <c r="AG80" s="332"/>
      <c r="AH80" s="331"/>
    </row>
    <row r="81" spans="3:34" x14ac:dyDescent="0.2">
      <c r="C81" s="331"/>
      <c r="D81" s="331"/>
      <c r="E81" s="331"/>
      <c r="F81" s="331"/>
      <c r="G81" s="331"/>
      <c r="H81" s="331"/>
      <c r="I81" s="337"/>
      <c r="J81" s="331"/>
      <c r="K81" s="331"/>
      <c r="L81" s="331"/>
      <c r="M81" s="332"/>
      <c r="N81" s="332"/>
      <c r="O81" s="332"/>
      <c r="P81" s="332"/>
      <c r="Q81" s="332"/>
      <c r="R81" s="333"/>
      <c r="S81" s="334"/>
      <c r="T81" s="331"/>
      <c r="U81" s="331"/>
      <c r="V81" s="331"/>
      <c r="W81" s="331"/>
      <c r="X81" s="331"/>
      <c r="Y81" s="331"/>
      <c r="Z81" s="332"/>
      <c r="AA81" s="332"/>
      <c r="AB81" s="332"/>
      <c r="AC81" s="332"/>
      <c r="AD81" s="332"/>
      <c r="AE81" s="332"/>
      <c r="AF81" s="332"/>
      <c r="AG81" s="332"/>
      <c r="AH81" s="331"/>
    </row>
    <row r="82" spans="3:34" x14ac:dyDescent="0.2">
      <c r="C82" s="331"/>
      <c r="D82" s="331"/>
      <c r="E82" s="331"/>
      <c r="F82" s="331"/>
      <c r="G82" s="331"/>
      <c r="H82" s="331"/>
      <c r="I82" s="337"/>
      <c r="J82" s="331"/>
      <c r="K82" s="331"/>
      <c r="L82" s="331"/>
      <c r="M82" s="332"/>
      <c r="N82" s="332"/>
      <c r="O82" s="332"/>
      <c r="P82" s="332"/>
      <c r="Q82" s="332"/>
      <c r="R82" s="333"/>
      <c r="S82" s="334"/>
      <c r="T82" s="331"/>
      <c r="U82" s="331"/>
      <c r="V82" s="331"/>
      <c r="W82" s="331"/>
      <c r="X82" s="331"/>
      <c r="Y82" s="331"/>
      <c r="Z82" s="332"/>
      <c r="AA82" s="332"/>
      <c r="AB82" s="332"/>
      <c r="AC82" s="332"/>
      <c r="AD82" s="332"/>
      <c r="AE82" s="332"/>
      <c r="AF82" s="332"/>
      <c r="AG82" s="332"/>
      <c r="AH82" s="331"/>
    </row>
    <row r="83" spans="3:34" x14ac:dyDescent="0.2">
      <c r="C83" s="331"/>
      <c r="D83" s="331"/>
      <c r="E83" s="331"/>
      <c r="F83" s="331"/>
      <c r="G83" s="331"/>
      <c r="H83" s="331"/>
      <c r="I83" s="331"/>
      <c r="J83" s="331"/>
      <c r="K83" s="331"/>
      <c r="L83" s="331"/>
      <c r="M83" s="332"/>
      <c r="N83" s="332"/>
      <c r="O83" s="332"/>
      <c r="P83" s="332"/>
      <c r="Q83" s="332"/>
      <c r="R83" s="333"/>
      <c r="S83" s="334"/>
      <c r="T83" s="331"/>
      <c r="U83" s="331"/>
      <c r="V83" s="331"/>
      <c r="W83" s="331"/>
      <c r="X83" s="331"/>
      <c r="Y83" s="331"/>
      <c r="Z83" s="332"/>
      <c r="AA83" s="332"/>
      <c r="AB83" s="332"/>
      <c r="AC83" s="332"/>
      <c r="AD83" s="332"/>
      <c r="AE83" s="332"/>
      <c r="AF83" s="332"/>
      <c r="AG83" s="332"/>
      <c r="AH83" s="331"/>
    </row>
    <row r="84" spans="3:34" x14ac:dyDescent="0.2">
      <c r="C84" s="331"/>
      <c r="D84" s="331"/>
      <c r="E84" s="331"/>
      <c r="F84" s="331"/>
      <c r="G84" s="331"/>
      <c r="H84" s="331"/>
      <c r="I84" s="331"/>
      <c r="J84" s="331"/>
      <c r="K84" s="331"/>
      <c r="L84" s="331"/>
      <c r="M84" s="332"/>
      <c r="N84" s="332"/>
      <c r="O84" s="332"/>
      <c r="P84" s="332"/>
      <c r="Q84" s="332"/>
      <c r="R84" s="333"/>
      <c r="S84" s="334"/>
      <c r="T84" s="331"/>
      <c r="U84" s="331"/>
      <c r="V84" s="331"/>
      <c r="W84" s="331"/>
      <c r="X84" s="331"/>
      <c r="Y84" s="331"/>
      <c r="Z84" s="332"/>
      <c r="AA84" s="332"/>
      <c r="AB84" s="332"/>
      <c r="AC84" s="332"/>
      <c r="AD84" s="332"/>
      <c r="AE84" s="332"/>
      <c r="AF84" s="332"/>
      <c r="AG84" s="332"/>
      <c r="AH84" s="331"/>
    </row>
    <row r="85" spans="3:34" x14ac:dyDescent="0.2">
      <c r="C85" s="331"/>
      <c r="D85" s="331"/>
      <c r="E85" s="331"/>
      <c r="F85" s="331"/>
      <c r="G85" s="331"/>
      <c r="H85" s="331"/>
      <c r="I85" s="331"/>
      <c r="J85" s="331"/>
      <c r="K85" s="331"/>
      <c r="L85" s="331"/>
      <c r="M85" s="332"/>
      <c r="N85" s="332"/>
      <c r="O85" s="332"/>
      <c r="P85" s="332"/>
      <c r="Q85" s="332"/>
      <c r="R85" s="333"/>
      <c r="S85" s="334"/>
      <c r="T85" s="331"/>
      <c r="U85" s="331"/>
      <c r="V85" s="331"/>
      <c r="W85" s="331"/>
      <c r="X85" s="331"/>
      <c r="Y85" s="331"/>
      <c r="Z85" s="332"/>
      <c r="AA85" s="332"/>
      <c r="AB85" s="332"/>
      <c r="AC85" s="332"/>
      <c r="AD85" s="332"/>
      <c r="AE85" s="332"/>
      <c r="AF85" s="332"/>
      <c r="AG85" s="332"/>
      <c r="AH85" s="331"/>
    </row>
    <row r="86" spans="3:34" x14ac:dyDescent="0.2">
      <c r="C86" s="331"/>
      <c r="D86" s="331"/>
      <c r="E86" s="331"/>
      <c r="F86" s="331"/>
      <c r="G86" s="331"/>
      <c r="H86" s="331"/>
      <c r="I86" s="331"/>
      <c r="J86" s="331"/>
      <c r="K86" s="331"/>
      <c r="L86" s="331"/>
      <c r="M86" s="332"/>
      <c r="N86" s="332"/>
      <c r="O86" s="332"/>
      <c r="P86" s="332"/>
      <c r="Q86" s="332"/>
      <c r="R86" s="333"/>
      <c r="S86" s="334"/>
      <c r="T86" s="331"/>
      <c r="U86" s="331"/>
      <c r="V86" s="331"/>
      <c r="W86" s="331"/>
      <c r="X86" s="331"/>
      <c r="Y86" s="331"/>
      <c r="Z86" s="332"/>
      <c r="AA86" s="332"/>
      <c r="AB86" s="332"/>
      <c r="AC86" s="332"/>
      <c r="AD86" s="332"/>
      <c r="AE86" s="332"/>
      <c r="AF86" s="332"/>
      <c r="AG86" s="332"/>
      <c r="AH86" s="331"/>
    </row>
    <row r="87" spans="3:34" x14ac:dyDescent="0.2">
      <c r="C87" s="331"/>
      <c r="D87" s="331"/>
      <c r="E87" s="331"/>
      <c r="F87" s="331"/>
      <c r="G87" s="331"/>
      <c r="H87" s="331"/>
      <c r="I87" s="331"/>
      <c r="J87" s="331"/>
      <c r="K87" s="331"/>
      <c r="L87" s="331"/>
      <c r="M87" s="332"/>
      <c r="N87" s="332"/>
      <c r="O87" s="332"/>
      <c r="P87" s="332"/>
      <c r="Q87" s="332"/>
      <c r="R87" s="333"/>
      <c r="S87" s="334"/>
      <c r="T87" s="331"/>
      <c r="U87" s="331"/>
      <c r="V87" s="331"/>
      <c r="W87" s="331"/>
      <c r="X87" s="331"/>
      <c r="Y87" s="331"/>
      <c r="Z87" s="332"/>
      <c r="AA87" s="332"/>
      <c r="AB87" s="332"/>
      <c r="AC87" s="332"/>
      <c r="AD87" s="332"/>
      <c r="AE87" s="332"/>
      <c r="AF87" s="332"/>
      <c r="AG87" s="332"/>
      <c r="AH87" s="331"/>
    </row>
    <row r="88" spans="3:34" x14ac:dyDescent="0.2">
      <c r="C88" s="331"/>
      <c r="D88" s="331"/>
      <c r="E88" s="331"/>
      <c r="F88" s="331"/>
      <c r="G88" s="331"/>
      <c r="H88" s="331"/>
      <c r="I88" s="331"/>
      <c r="J88" s="331"/>
      <c r="K88" s="331"/>
      <c r="L88" s="331"/>
      <c r="M88" s="332"/>
      <c r="N88" s="332"/>
      <c r="O88" s="332"/>
      <c r="P88" s="332"/>
      <c r="Q88" s="332"/>
      <c r="R88" s="333"/>
      <c r="S88" s="334"/>
      <c r="T88" s="331"/>
      <c r="U88" s="331"/>
      <c r="V88" s="331"/>
      <c r="W88" s="331"/>
      <c r="X88" s="331"/>
      <c r="Y88" s="331"/>
      <c r="Z88" s="332"/>
      <c r="AA88" s="332"/>
      <c r="AB88" s="332"/>
      <c r="AC88" s="332"/>
      <c r="AD88" s="332"/>
      <c r="AE88" s="332"/>
      <c r="AF88" s="332"/>
      <c r="AG88" s="332"/>
      <c r="AH88" s="331"/>
    </row>
    <row r="89" spans="3:34" x14ac:dyDescent="0.2">
      <c r="C89" s="331"/>
      <c r="D89" s="331"/>
      <c r="E89" s="331"/>
      <c r="F89" s="331"/>
      <c r="G89" s="331"/>
      <c r="H89" s="331"/>
      <c r="I89" s="331"/>
      <c r="J89" s="331"/>
      <c r="K89" s="331"/>
      <c r="L89" s="331"/>
      <c r="M89" s="332"/>
      <c r="N89" s="332"/>
      <c r="O89" s="332"/>
      <c r="P89" s="332"/>
      <c r="Q89" s="332"/>
      <c r="R89" s="333"/>
      <c r="S89" s="334"/>
      <c r="T89" s="331"/>
      <c r="U89" s="331"/>
      <c r="V89" s="331"/>
      <c r="W89" s="331"/>
      <c r="X89" s="331"/>
      <c r="Y89" s="331"/>
      <c r="Z89" s="332"/>
      <c r="AA89" s="332"/>
      <c r="AB89" s="332"/>
      <c r="AC89" s="332"/>
      <c r="AD89" s="332"/>
      <c r="AE89" s="332"/>
      <c r="AF89" s="332"/>
      <c r="AG89" s="332"/>
      <c r="AH89" s="331"/>
    </row>
    <row r="90" spans="3:34" x14ac:dyDescent="0.2">
      <c r="C90" s="331"/>
      <c r="D90" s="331"/>
      <c r="E90" s="331"/>
      <c r="F90" s="331"/>
      <c r="G90" s="331"/>
      <c r="H90" s="331"/>
      <c r="I90" s="331"/>
      <c r="J90" s="331"/>
      <c r="K90" s="331"/>
      <c r="L90" s="331"/>
      <c r="M90" s="332"/>
      <c r="N90" s="332"/>
      <c r="O90" s="332"/>
      <c r="P90" s="332"/>
      <c r="Q90" s="332"/>
      <c r="R90" s="333"/>
      <c r="S90" s="334"/>
      <c r="T90" s="331"/>
      <c r="U90" s="331"/>
      <c r="V90" s="331"/>
      <c r="W90" s="331"/>
      <c r="X90" s="331"/>
      <c r="Y90" s="331"/>
      <c r="Z90" s="332"/>
      <c r="AA90" s="332"/>
      <c r="AB90" s="332"/>
      <c r="AC90" s="332"/>
      <c r="AD90" s="332"/>
      <c r="AE90" s="332"/>
      <c r="AF90" s="332"/>
      <c r="AG90" s="332"/>
      <c r="AH90" s="331"/>
    </row>
    <row r="91" spans="3:34" x14ac:dyDescent="0.2">
      <c r="C91" s="331"/>
      <c r="D91" s="331"/>
      <c r="E91" s="331"/>
      <c r="F91" s="331"/>
      <c r="G91" s="331"/>
      <c r="H91" s="331"/>
      <c r="I91" s="331"/>
      <c r="J91" s="331"/>
      <c r="K91" s="331"/>
      <c r="L91" s="331"/>
      <c r="M91" s="332"/>
      <c r="N91" s="332"/>
      <c r="O91" s="332"/>
      <c r="P91" s="332"/>
      <c r="Q91" s="332"/>
      <c r="R91" s="333"/>
      <c r="S91" s="334"/>
      <c r="T91" s="331"/>
      <c r="U91" s="331"/>
      <c r="V91" s="331"/>
      <c r="W91" s="331"/>
      <c r="X91" s="331"/>
      <c r="Y91" s="331"/>
      <c r="Z91" s="332"/>
      <c r="AA91" s="332"/>
      <c r="AB91" s="332"/>
      <c r="AC91" s="332"/>
      <c r="AD91" s="332"/>
      <c r="AE91" s="332"/>
      <c r="AF91" s="332"/>
      <c r="AG91" s="332"/>
      <c r="AH91" s="331"/>
    </row>
    <row r="92" spans="3:34" x14ac:dyDescent="0.2">
      <c r="C92" s="331"/>
      <c r="D92" s="331"/>
      <c r="E92" s="331"/>
      <c r="F92" s="331"/>
      <c r="G92" s="331"/>
      <c r="H92" s="331"/>
      <c r="I92" s="331"/>
      <c r="J92" s="331"/>
      <c r="K92" s="331"/>
      <c r="L92" s="331"/>
      <c r="M92" s="332"/>
      <c r="N92" s="332"/>
      <c r="O92" s="332"/>
      <c r="P92" s="332"/>
      <c r="Q92" s="332"/>
      <c r="R92" s="333"/>
      <c r="S92" s="334"/>
      <c r="T92" s="331"/>
      <c r="U92" s="331"/>
      <c r="V92" s="331"/>
      <c r="W92" s="331"/>
      <c r="X92" s="331"/>
      <c r="Y92" s="331"/>
      <c r="Z92" s="332"/>
      <c r="AA92" s="332"/>
      <c r="AB92" s="332"/>
      <c r="AC92" s="332"/>
      <c r="AD92" s="332"/>
      <c r="AE92" s="332"/>
      <c r="AF92" s="332"/>
      <c r="AG92" s="332"/>
      <c r="AH92" s="331"/>
    </row>
    <row r="93" spans="3:34" x14ac:dyDescent="0.2">
      <c r="C93" s="331"/>
      <c r="D93" s="331"/>
      <c r="E93" s="331"/>
      <c r="F93" s="331"/>
      <c r="G93" s="331"/>
      <c r="H93" s="331"/>
      <c r="I93" s="331"/>
      <c r="J93" s="331"/>
      <c r="K93" s="331"/>
      <c r="L93" s="331"/>
      <c r="M93" s="332"/>
      <c r="N93" s="332"/>
      <c r="O93" s="332"/>
      <c r="P93" s="332"/>
      <c r="Q93" s="332"/>
      <c r="R93" s="333"/>
      <c r="S93" s="334"/>
      <c r="T93" s="331"/>
      <c r="U93" s="331"/>
      <c r="V93" s="331"/>
      <c r="W93" s="331"/>
      <c r="X93" s="331"/>
      <c r="Y93" s="331"/>
      <c r="Z93" s="332"/>
      <c r="AA93" s="332"/>
      <c r="AB93" s="332"/>
      <c r="AC93" s="332"/>
      <c r="AD93" s="332"/>
      <c r="AE93" s="332"/>
      <c r="AF93" s="332"/>
      <c r="AG93" s="332"/>
      <c r="AH93" s="331"/>
    </row>
    <row r="94" spans="3:34" x14ac:dyDescent="0.2">
      <c r="C94" s="331"/>
      <c r="D94" s="331"/>
      <c r="E94" s="331"/>
      <c r="F94" s="331"/>
      <c r="G94" s="331"/>
      <c r="H94" s="331"/>
      <c r="I94" s="331"/>
      <c r="J94" s="331"/>
      <c r="K94" s="331"/>
      <c r="L94" s="331"/>
      <c r="M94" s="332"/>
      <c r="N94" s="332"/>
      <c r="O94" s="332"/>
      <c r="P94" s="332"/>
      <c r="Q94" s="332"/>
      <c r="R94" s="333"/>
      <c r="S94" s="334"/>
      <c r="T94" s="331"/>
      <c r="U94" s="331"/>
      <c r="V94" s="331"/>
      <c r="W94" s="331"/>
      <c r="X94" s="331"/>
      <c r="Y94" s="331"/>
      <c r="Z94" s="332"/>
      <c r="AA94" s="332"/>
      <c r="AB94" s="332"/>
      <c r="AC94" s="332"/>
      <c r="AD94" s="332"/>
      <c r="AE94" s="332"/>
      <c r="AF94" s="332"/>
      <c r="AG94" s="332"/>
      <c r="AH94" s="331"/>
    </row>
    <row r="95" spans="3:34" x14ac:dyDescent="0.2">
      <c r="C95" s="331"/>
      <c r="D95" s="331"/>
      <c r="E95" s="331"/>
      <c r="F95" s="331"/>
      <c r="G95" s="331"/>
      <c r="H95" s="331"/>
      <c r="I95" s="331"/>
      <c r="J95" s="331"/>
      <c r="K95" s="331"/>
      <c r="L95" s="331"/>
      <c r="M95" s="332"/>
      <c r="N95" s="332"/>
      <c r="O95" s="332"/>
      <c r="P95" s="332"/>
      <c r="Q95" s="332"/>
      <c r="R95" s="333"/>
      <c r="S95" s="334"/>
      <c r="T95" s="331"/>
      <c r="U95" s="331"/>
      <c r="V95" s="331"/>
      <c r="W95" s="331"/>
      <c r="X95" s="331"/>
      <c r="Y95" s="331"/>
      <c r="Z95" s="332"/>
      <c r="AA95" s="332"/>
      <c r="AB95" s="332"/>
      <c r="AC95" s="332"/>
      <c r="AD95" s="332"/>
      <c r="AE95" s="332"/>
      <c r="AF95" s="332"/>
      <c r="AG95" s="332"/>
      <c r="AH95" s="331"/>
    </row>
    <row r="96" spans="3:34" x14ac:dyDescent="0.2">
      <c r="C96" s="331"/>
      <c r="D96" s="331"/>
      <c r="E96" s="331"/>
      <c r="F96" s="331"/>
      <c r="G96" s="331"/>
      <c r="H96" s="331"/>
      <c r="I96" s="331"/>
      <c r="J96" s="331"/>
      <c r="K96" s="331"/>
      <c r="L96" s="331"/>
      <c r="M96" s="332"/>
      <c r="N96" s="332"/>
      <c r="O96" s="332"/>
      <c r="P96" s="332"/>
      <c r="Q96" s="332"/>
      <c r="R96" s="333"/>
      <c r="S96" s="334"/>
      <c r="T96" s="331"/>
      <c r="U96" s="331"/>
      <c r="V96" s="331"/>
      <c r="W96" s="331"/>
      <c r="X96" s="331"/>
      <c r="Y96" s="331"/>
      <c r="Z96" s="332"/>
      <c r="AA96" s="332"/>
      <c r="AB96" s="332"/>
      <c r="AC96" s="332"/>
      <c r="AD96" s="332"/>
      <c r="AE96" s="332"/>
      <c r="AF96" s="332"/>
      <c r="AG96" s="332"/>
      <c r="AH96" s="331"/>
    </row>
    <row r="97" spans="3:34" x14ac:dyDescent="0.2">
      <c r="C97" s="331"/>
      <c r="D97" s="331"/>
      <c r="E97" s="331"/>
      <c r="F97" s="331"/>
      <c r="G97" s="331"/>
      <c r="H97" s="331"/>
      <c r="I97" s="331"/>
      <c r="J97" s="331"/>
      <c r="K97" s="331"/>
      <c r="L97" s="331"/>
      <c r="M97" s="332"/>
      <c r="N97" s="332"/>
      <c r="O97" s="332"/>
      <c r="P97" s="332"/>
      <c r="Q97" s="332"/>
      <c r="R97" s="333"/>
      <c r="S97" s="334"/>
      <c r="T97" s="331"/>
      <c r="U97" s="331"/>
      <c r="V97" s="331"/>
      <c r="W97" s="331"/>
      <c r="X97" s="331"/>
      <c r="Y97" s="331"/>
      <c r="Z97" s="332"/>
      <c r="AA97" s="332"/>
      <c r="AB97" s="332"/>
      <c r="AC97" s="332"/>
      <c r="AD97" s="332"/>
      <c r="AE97" s="332"/>
      <c r="AF97" s="332"/>
      <c r="AG97" s="332"/>
      <c r="AH97" s="331"/>
    </row>
    <row r="98" spans="3:34" x14ac:dyDescent="0.2">
      <c r="C98" s="331"/>
      <c r="D98" s="331"/>
      <c r="E98" s="331"/>
      <c r="F98" s="331"/>
      <c r="G98" s="331"/>
      <c r="H98" s="331"/>
      <c r="I98" s="331"/>
      <c r="J98" s="331"/>
      <c r="K98" s="331"/>
      <c r="L98" s="331"/>
      <c r="M98" s="332"/>
      <c r="N98" s="332"/>
      <c r="O98" s="332"/>
      <c r="P98" s="332"/>
      <c r="Q98" s="332"/>
      <c r="R98" s="333"/>
      <c r="S98" s="334"/>
      <c r="T98" s="331"/>
      <c r="U98" s="331"/>
      <c r="V98" s="331"/>
      <c r="W98" s="331"/>
      <c r="X98" s="331"/>
      <c r="Y98" s="331"/>
      <c r="Z98" s="332"/>
      <c r="AA98" s="332"/>
      <c r="AB98" s="332"/>
      <c r="AC98" s="332"/>
      <c r="AD98" s="332"/>
      <c r="AE98" s="332"/>
      <c r="AF98" s="332"/>
      <c r="AG98" s="332"/>
      <c r="AH98" s="331"/>
    </row>
    <row r="99" spans="3:34" x14ac:dyDescent="0.2">
      <c r="C99" s="331"/>
      <c r="D99" s="331"/>
      <c r="E99" s="331"/>
      <c r="F99" s="331"/>
      <c r="G99" s="331"/>
      <c r="H99" s="331"/>
      <c r="I99" s="331"/>
      <c r="J99" s="331"/>
      <c r="K99" s="331"/>
      <c r="L99" s="331"/>
      <c r="M99" s="332"/>
      <c r="N99" s="332"/>
      <c r="O99" s="332"/>
      <c r="P99" s="332"/>
      <c r="Q99" s="332"/>
      <c r="R99" s="333"/>
      <c r="S99" s="334"/>
      <c r="T99" s="331"/>
      <c r="U99" s="331"/>
      <c r="V99" s="331"/>
      <c r="W99" s="331"/>
      <c r="X99" s="331"/>
      <c r="Y99" s="331"/>
      <c r="Z99" s="332"/>
      <c r="AA99" s="332"/>
      <c r="AB99" s="332"/>
      <c r="AC99" s="332"/>
      <c r="AD99" s="332"/>
      <c r="AE99" s="332"/>
      <c r="AF99" s="332"/>
      <c r="AG99" s="332"/>
      <c r="AH99" s="331"/>
    </row>
    <row r="100" spans="3:34" x14ac:dyDescent="0.2">
      <c r="C100" s="331"/>
      <c r="D100" s="331"/>
      <c r="E100" s="331"/>
      <c r="F100" s="331"/>
      <c r="G100" s="331"/>
      <c r="H100" s="331"/>
      <c r="I100" s="331"/>
      <c r="J100" s="331"/>
      <c r="K100" s="331"/>
      <c r="L100" s="331"/>
      <c r="M100" s="332"/>
      <c r="N100" s="332"/>
      <c r="O100" s="332"/>
      <c r="P100" s="332"/>
      <c r="Q100" s="332"/>
      <c r="R100" s="333"/>
      <c r="S100" s="334"/>
      <c r="T100" s="331"/>
      <c r="U100" s="331"/>
      <c r="V100" s="331"/>
      <c r="W100" s="331"/>
      <c r="X100" s="331"/>
      <c r="Y100" s="331"/>
      <c r="Z100" s="332"/>
      <c r="AA100" s="332"/>
      <c r="AB100" s="332"/>
      <c r="AC100" s="332"/>
      <c r="AD100" s="332"/>
      <c r="AE100" s="332"/>
      <c r="AF100" s="332"/>
      <c r="AG100" s="332"/>
      <c r="AH100" s="331"/>
    </row>
    <row r="101" spans="3:34" x14ac:dyDescent="0.2">
      <c r="C101" s="331"/>
      <c r="D101" s="331"/>
      <c r="E101" s="331"/>
      <c r="F101" s="331"/>
      <c r="G101" s="331"/>
      <c r="H101" s="331"/>
      <c r="I101" s="331"/>
      <c r="J101" s="331"/>
      <c r="K101" s="331"/>
      <c r="L101" s="331"/>
      <c r="M101" s="332"/>
      <c r="N101" s="332"/>
      <c r="O101" s="332"/>
      <c r="P101" s="332"/>
      <c r="Q101" s="332"/>
      <c r="R101" s="333"/>
      <c r="S101" s="334"/>
      <c r="T101" s="331"/>
      <c r="U101" s="331"/>
      <c r="V101" s="331"/>
      <c r="W101" s="331"/>
      <c r="X101" s="331"/>
      <c r="Y101" s="331"/>
      <c r="Z101" s="332"/>
      <c r="AA101" s="332"/>
      <c r="AB101" s="332"/>
      <c r="AC101" s="332"/>
      <c r="AD101" s="332"/>
      <c r="AE101" s="332"/>
      <c r="AF101" s="332"/>
      <c r="AG101" s="332"/>
      <c r="AH101" s="331"/>
    </row>
    <row r="102" spans="3:34" x14ac:dyDescent="0.2">
      <c r="C102" s="331"/>
      <c r="D102" s="331"/>
      <c r="E102" s="331"/>
      <c r="F102" s="331"/>
      <c r="G102" s="331"/>
      <c r="H102" s="331"/>
      <c r="I102" s="331"/>
      <c r="J102" s="331"/>
      <c r="K102" s="331"/>
      <c r="L102" s="331"/>
      <c r="M102" s="332"/>
      <c r="N102" s="332"/>
      <c r="O102" s="332"/>
      <c r="P102" s="332"/>
      <c r="Q102" s="332"/>
      <c r="R102" s="333"/>
      <c r="S102" s="334"/>
      <c r="T102" s="331"/>
      <c r="U102" s="331"/>
      <c r="V102" s="331"/>
      <c r="W102" s="331"/>
      <c r="X102" s="331"/>
      <c r="Y102" s="331"/>
      <c r="Z102" s="332"/>
      <c r="AA102" s="332"/>
      <c r="AB102" s="332"/>
      <c r="AC102" s="332"/>
      <c r="AD102" s="332"/>
      <c r="AE102" s="332"/>
      <c r="AF102" s="332"/>
      <c r="AG102" s="332"/>
      <c r="AH102" s="331"/>
    </row>
    <row r="103" spans="3:34" x14ac:dyDescent="0.2">
      <c r="C103" s="331"/>
      <c r="D103" s="331"/>
      <c r="E103" s="331"/>
      <c r="F103" s="331"/>
      <c r="G103" s="331"/>
      <c r="H103" s="331"/>
      <c r="I103" s="331"/>
      <c r="J103" s="331"/>
      <c r="K103" s="331"/>
      <c r="L103" s="331"/>
      <c r="M103" s="332"/>
      <c r="N103" s="332"/>
      <c r="O103" s="332"/>
      <c r="P103" s="332"/>
      <c r="Q103" s="332"/>
      <c r="R103" s="333"/>
      <c r="S103" s="334"/>
      <c r="T103" s="331"/>
      <c r="U103" s="331"/>
      <c r="V103" s="331"/>
      <c r="W103" s="331"/>
      <c r="X103" s="331"/>
      <c r="Y103" s="331"/>
      <c r="Z103" s="332"/>
      <c r="AA103" s="332"/>
      <c r="AB103" s="332"/>
      <c r="AC103" s="332"/>
      <c r="AD103" s="332"/>
      <c r="AE103" s="332"/>
      <c r="AF103" s="332"/>
      <c r="AG103" s="332"/>
      <c r="AH103" s="331"/>
    </row>
    <row r="104" spans="3:34" x14ac:dyDescent="0.2">
      <c r="C104" s="331"/>
      <c r="D104" s="331"/>
      <c r="E104" s="331"/>
      <c r="F104" s="331"/>
      <c r="G104" s="331"/>
      <c r="H104" s="331"/>
      <c r="I104" s="331"/>
      <c r="J104" s="331"/>
      <c r="K104" s="331"/>
      <c r="L104" s="331"/>
      <c r="M104" s="332"/>
      <c r="N104" s="332"/>
      <c r="O104" s="332"/>
      <c r="P104" s="332"/>
      <c r="Q104" s="332"/>
      <c r="R104" s="333"/>
      <c r="S104" s="334"/>
      <c r="T104" s="331"/>
      <c r="U104" s="331"/>
      <c r="V104" s="331"/>
      <c r="W104" s="331"/>
      <c r="X104" s="331"/>
      <c r="Y104" s="331"/>
      <c r="Z104" s="332"/>
      <c r="AA104" s="332"/>
      <c r="AB104" s="332"/>
      <c r="AC104" s="332"/>
      <c r="AD104" s="332"/>
      <c r="AE104" s="332"/>
      <c r="AF104" s="332"/>
      <c r="AG104" s="332"/>
      <c r="AH104" s="331"/>
    </row>
    <row r="105" spans="3:34" x14ac:dyDescent="0.2">
      <c r="C105" s="331"/>
      <c r="D105" s="331"/>
      <c r="E105" s="331"/>
      <c r="F105" s="331"/>
      <c r="G105" s="331"/>
      <c r="H105" s="331"/>
      <c r="I105" s="331"/>
      <c r="J105" s="331"/>
      <c r="K105" s="331"/>
      <c r="L105" s="331"/>
      <c r="M105" s="332"/>
      <c r="N105" s="332"/>
      <c r="O105" s="332"/>
      <c r="P105" s="332"/>
      <c r="Q105" s="332"/>
      <c r="R105" s="333"/>
      <c r="S105" s="334"/>
      <c r="T105" s="331"/>
      <c r="U105" s="331"/>
      <c r="V105" s="331"/>
      <c r="W105" s="331"/>
      <c r="X105" s="331"/>
      <c r="Y105" s="331"/>
      <c r="Z105" s="332"/>
      <c r="AA105" s="332"/>
      <c r="AB105" s="332"/>
      <c r="AC105" s="332"/>
      <c r="AD105" s="332"/>
      <c r="AE105" s="332"/>
      <c r="AF105" s="332"/>
      <c r="AG105" s="332"/>
      <c r="AH105" s="331"/>
    </row>
    <row r="106" spans="3:34" x14ac:dyDescent="0.2">
      <c r="C106" s="331"/>
      <c r="D106" s="331"/>
      <c r="E106" s="331"/>
      <c r="F106" s="331"/>
      <c r="G106" s="331"/>
      <c r="H106" s="331"/>
      <c r="I106" s="331"/>
      <c r="J106" s="331"/>
      <c r="K106" s="331"/>
      <c r="L106" s="331"/>
      <c r="M106" s="332"/>
      <c r="N106" s="332"/>
      <c r="O106" s="332"/>
      <c r="P106" s="332"/>
      <c r="Q106" s="332"/>
      <c r="R106" s="333"/>
      <c r="S106" s="334"/>
      <c r="T106" s="331"/>
      <c r="U106" s="331"/>
      <c r="V106" s="331"/>
      <c r="W106" s="331"/>
      <c r="X106" s="331"/>
      <c r="Y106" s="331"/>
      <c r="Z106" s="332"/>
      <c r="AA106" s="332"/>
      <c r="AB106" s="332"/>
      <c r="AC106" s="332"/>
      <c r="AD106" s="332"/>
      <c r="AE106" s="332"/>
      <c r="AF106" s="332"/>
      <c r="AG106" s="332"/>
      <c r="AH106" s="331"/>
    </row>
    <row r="107" spans="3:34" x14ac:dyDescent="0.2">
      <c r="C107" s="331"/>
      <c r="D107" s="331"/>
      <c r="E107" s="331"/>
      <c r="F107" s="331"/>
      <c r="G107" s="331"/>
      <c r="H107" s="331"/>
      <c r="I107" s="331"/>
      <c r="J107" s="331"/>
      <c r="K107" s="331"/>
      <c r="L107" s="331"/>
      <c r="M107" s="332"/>
      <c r="N107" s="332"/>
      <c r="O107" s="332"/>
      <c r="P107" s="332"/>
      <c r="Q107" s="332"/>
      <c r="R107" s="333"/>
      <c r="S107" s="334"/>
      <c r="T107" s="331"/>
      <c r="U107" s="331"/>
      <c r="V107" s="331"/>
      <c r="W107" s="331"/>
      <c r="X107" s="331"/>
      <c r="Y107" s="331"/>
      <c r="Z107" s="332"/>
      <c r="AA107" s="332"/>
      <c r="AB107" s="332"/>
      <c r="AC107" s="332"/>
      <c r="AD107" s="332"/>
      <c r="AE107" s="332"/>
      <c r="AF107" s="332"/>
      <c r="AG107" s="332"/>
      <c r="AH107" s="331"/>
    </row>
    <row r="108" spans="3:34" x14ac:dyDescent="0.2">
      <c r="C108" s="331"/>
      <c r="D108" s="331"/>
      <c r="E108" s="331"/>
      <c r="F108" s="331"/>
      <c r="G108" s="331"/>
      <c r="H108" s="331"/>
      <c r="I108" s="331"/>
      <c r="J108" s="331"/>
      <c r="K108" s="331"/>
      <c r="L108" s="331"/>
      <c r="M108" s="332"/>
      <c r="N108" s="332"/>
      <c r="O108" s="332"/>
      <c r="P108" s="332"/>
      <c r="Q108" s="332"/>
      <c r="R108" s="333"/>
      <c r="S108" s="334"/>
      <c r="T108" s="331"/>
      <c r="U108" s="331"/>
      <c r="V108" s="331"/>
      <c r="W108" s="331"/>
      <c r="X108" s="331"/>
      <c r="Y108" s="331"/>
      <c r="Z108" s="332"/>
      <c r="AA108" s="332"/>
      <c r="AB108" s="332"/>
      <c r="AC108" s="332"/>
      <c r="AD108" s="332"/>
      <c r="AE108" s="332"/>
      <c r="AF108" s="332"/>
      <c r="AG108" s="332"/>
      <c r="AH108" s="331"/>
    </row>
    <row r="109" spans="3:34" x14ac:dyDescent="0.2">
      <c r="C109" s="338"/>
      <c r="D109" s="338"/>
      <c r="E109" s="338"/>
      <c r="F109" s="338"/>
      <c r="G109" s="338"/>
      <c r="H109" s="338"/>
      <c r="I109" s="338"/>
      <c r="J109" s="338"/>
      <c r="K109" s="338"/>
      <c r="L109" s="338"/>
      <c r="M109" s="339"/>
      <c r="N109" s="339"/>
      <c r="O109" s="339"/>
      <c r="P109" s="339"/>
      <c r="Q109" s="339"/>
      <c r="R109" s="340"/>
      <c r="S109" s="341"/>
      <c r="T109" s="338"/>
      <c r="U109" s="338"/>
      <c r="V109" s="338"/>
      <c r="W109" s="338"/>
      <c r="X109" s="338"/>
      <c r="Y109" s="338"/>
      <c r="Z109" s="339"/>
      <c r="AA109" s="339"/>
      <c r="AB109" s="339"/>
      <c r="AC109" s="339"/>
      <c r="AD109" s="339"/>
      <c r="AE109" s="339"/>
      <c r="AF109" s="339"/>
      <c r="AG109" s="339"/>
      <c r="AH109" s="338"/>
    </row>
    <row r="110" spans="3:34" x14ac:dyDescent="0.2">
      <c r="C110" s="338"/>
      <c r="D110" s="338"/>
      <c r="E110" s="338"/>
      <c r="F110" s="338"/>
      <c r="G110" s="338"/>
      <c r="H110" s="338"/>
      <c r="I110" s="338"/>
      <c r="J110" s="338"/>
      <c r="K110" s="338"/>
      <c r="L110" s="338"/>
      <c r="M110" s="339"/>
      <c r="N110" s="339"/>
      <c r="O110" s="339"/>
      <c r="P110" s="339"/>
      <c r="Q110" s="339"/>
      <c r="R110" s="340"/>
      <c r="S110" s="341"/>
      <c r="T110" s="338"/>
      <c r="U110" s="338"/>
      <c r="V110" s="338"/>
      <c r="W110" s="338"/>
      <c r="X110" s="338"/>
      <c r="Y110" s="338"/>
      <c r="Z110" s="339"/>
      <c r="AA110" s="339"/>
      <c r="AB110" s="339"/>
      <c r="AC110" s="339"/>
      <c r="AD110" s="339"/>
      <c r="AE110" s="339"/>
      <c r="AF110" s="339"/>
      <c r="AG110" s="339"/>
      <c r="AH110" s="338"/>
    </row>
    <row r="111" spans="3:34" x14ac:dyDescent="0.2">
      <c r="C111" s="338"/>
      <c r="D111" s="338"/>
      <c r="E111" s="338"/>
      <c r="F111" s="338"/>
      <c r="G111" s="338"/>
      <c r="H111" s="338"/>
      <c r="I111" s="338"/>
      <c r="J111" s="338"/>
      <c r="K111" s="338"/>
      <c r="L111" s="338"/>
      <c r="M111" s="339"/>
      <c r="N111" s="339"/>
      <c r="O111" s="339"/>
      <c r="P111" s="339"/>
      <c r="Q111" s="339"/>
      <c r="R111" s="340"/>
      <c r="S111" s="341"/>
      <c r="T111" s="338"/>
      <c r="U111" s="338"/>
      <c r="V111" s="338"/>
      <c r="W111" s="338"/>
      <c r="X111" s="338"/>
      <c r="Y111" s="338"/>
      <c r="Z111" s="339"/>
      <c r="AA111" s="339"/>
      <c r="AB111" s="339"/>
      <c r="AC111" s="339"/>
      <c r="AD111" s="339"/>
      <c r="AE111" s="339"/>
      <c r="AF111" s="339"/>
      <c r="AG111" s="339"/>
      <c r="AH111" s="338"/>
    </row>
    <row r="112" spans="3:34" x14ac:dyDescent="0.2">
      <c r="C112" s="338"/>
      <c r="D112" s="338"/>
      <c r="E112" s="338"/>
      <c r="F112" s="338"/>
      <c r="G112" s="338"/>
      <c r="H112" s="338"/>
      <c r="I112" s="338"/>
      <c r="J112" s="338"/>
      <c r="K112" s="338"/>
      <c r="L112" s="338"/>
      <c r="M112" s="339"/>
      <c r="N112" s="339"/>
      <c r="O112" s="339"/>
      <c r="P112" s="339"/>
      <c r="Q112" s="339"/>
      <c r="R112" s="340"/>
      <c r="S112" s="341"/>
      <c r="T112" s="338"/>
      <c r="U112" s="338"/>
      <c r="V112" s="338"/>
      <c r="W112" s="338"/>
      <c r="X112" s="338"/>
      <c r="Y112" s="338"/>
      <c r="Z112" s="339"/>
      <c r="AA112" s="339"/>
      <c r="AB112" s="339"/>
      <c r="AC112" s="339"/>
      <c r="AD112" s="339"/>
      <c r="AE112" s="339"/>
      <c r="AF112" s="339"/>
      <c r="AG112" s="339"/>
      <c r="AH112" s="338"/>
    </row>
    <row r="113" spans="3:34" x14ac:dyDescent="0.2">
      <c r="C113" s="338"/>
      <c r="D113" s="338"/>
      <c r="E113" s="338"/>
      <c r="F113" s="338"/>
      <c r="G113" s="338"/>
      <c r="H113" s="338"/>
      <c r="I113" s="338"/>
      <c r="J113" s="338"/>
      <c r="K113" s="338"/>
      <c r="L113" s="338"/>
      <c r="M113" s="339"/>
      <c r="N113" s="339"/>
      <c r="O113" s="339"/>
      <c r="P113" s="339"/>
      <c r="Q113" s="339"/>
      <c r="R113" s="340"/>
      <c r="S113" s="341"/>
      <c r="T113" s="338"/>
      <c r="U113" s="338"/>
      <c r="V113" s="338"/>
      <c r="W113" s="338"/>
      <c r="X113" s="338"/>
      <c r="Y113" s="338"/>
      <c r="Z113" s="339"/>
      <c r="AA113" s="339"/>
      <c r="AB113" s="339"/>
      <c r="AC113" s="339"/>
      <c r="AD113" s="339"/>
      <c r="AE113" s="339"/>
      <c r="AF113" s="339"/>
      <c r="AG113" s="339"/>
      <c r="AH113" s="338"/>
    </row>
    <row r="114" spans="3:34" x14ac:dyDescent="0.2">
      <c r="C114" s="338"/>
      <c r="D114" s="338"/>
      <c r="E114" s="338"/>
      <c r="F114" s="338"/>
      <c r="G114" s="338"/>
      <c r="H114" s="338"/>
      <c r="I114" s="338"/>
      <c r="J114" s="338"/>
      <c r="K114" s="338"/>
      <c r="L114" s="338"/>
      <c r="M114" s="339"/>
      <c r="N114" s="339"/>
      <c r="O114" s="339"/>
      <c r="P114" s="339"/>
      <c r="Q114" s="339"/>
      <c r="R114" s="340"/>
      <c r="S114" s="341"/>
      <c r="T114" s="338"/>
      <c r="U114" s="338"/>
      <c r="V114" s="338"/>
      <c r="W114" s="338"/>
      <c r="X114" s="338"/>
      <c r="Y114" s="338"/>
      <c r="Z114" s="339"/>
      <c r="AA114" s="339"/>
      <c r="AB114" s="339"/>
      <c r="AC114" s="339"/>
      <c r="AD114" s="339"/>
      <c r="AE114" s="339"/>
      <c r="AF114" s="339"/>
      <c r="AG114" s="339"/>
      <c r="AH114" s="338"/>
    </row>
    <row r="115" spans="3:34" x14ac:dyDescent="0.2">
      <c r="C115" s="338"/>
      <c r="D115" s="338"/>
      <c r="E115" s="338"/>
      <c r="F115" s="338"/>
      <c r="G115" s="338"/>
      <c r="H115" s="338"/>
      <c r="I115" s="338"/>
      <c r="J115" s="338"/>
      <c r="K115" s="338"/>
      <c r="L115" s="338"/>
      <c r="M115" s="339"/>
      <c r="N115" s="339"/>
      <c r="O115" s="339"/>
      <c r="P115" s="339"/>
      <c r="Q115" s="339"/>
      <c r="R115" s="340"/>
      <c r="S115" s="341"/>
      <c r="T115" s="338"/>
      <c r="U115" s="338"/>
      <c r="V115" s="338"/>
      <c r="W115" s="338"/>
      <c r="X115" s="338"/>
      <c r="Y115" s="338"/>
      <c r="Z115" s="339"/>
      <c r="AA115" s="339"/>
      <c r="AB115" s="339"/>
      <c r="AC115" s="339"/>
      <c r="AD115" s="339"/>
      <c r="AE115" s="339"/>
      <c r="AF115" s="339"/>
      <c r="AG115" s="339"/>
      <c r="AH115" s="338"/>
    </row>
    <row r="116" spans="3:34" x14ac:dyDescent="0.2">
      <c r="C116" s="338"/>
      <c r="D116" s="338"/>
      <c r="E116" s="338"/>
      <c r="F116" s="338"/>
      <c r="G116" s="338"/>
      <c r="H116" s="338"/>
      <c r="I116" s="338"/>
      <c r="J116" s="338"/>
      <c r="K116" s="338"/>
      <c r="L116" s="338"/>
      <c r="M116" s="339"/>
      <c r="N116" s="339"/>
      <c r="O116" s="339"/>
      <c r="P116" s="339"/>
      <c r="Q116" s="339"/>
      <c r="R116" s="340"/>
      <c r="S116" s="341"/>
      <c r="T116" s="338"/>
      <c r="U116" s="338"/>
      <c r="V116" s="338"/>
      <c r="W116" s="338"/>
      <c r="X116" s="338"/>
      <c r="Y116" s="338"/>
      <c r="Z116" s="339"/>
      <c r="AA116" s="339"/>
      <c r="AB116" s="339"/>
      <c r="AC116" s="339"/>
      <c r="AD116" s="339"/>
      <c r="AE116" s="339"/>
      <c r="AF116" s="339"/>
      <c r="AG116" s="339"/>
      <c r="AH116" s="338"/>
    </row>
    <row r="117" spans="3:34" x14ac:dyDescent="0.2">
      <c r="C117" s="338"/>
      <c r="D117" s="338"/>
      <c r="E117" s="338"/>
      <c r="F117" s="338"/>
      <c r="G117" s="338"/>
      <c r="H117" s="338"/>
      <c r="I117" s="338"/>
      <c r="J117" s="338"/>
      <c r="K117" s="338"/>
      <c r="L117" s="338"/>
      <c r="M117" s="339"/>
      <c r="N117" s="339"/>
      <c r="O117" s="339"/>
      <c r="P117" s="339"/>
      <c r="Q117" s="339"/>
      <c r="R117" s="340"/>
      <c r="S117" s="341"/>
      <c r="T117" s="338"/>
      <c r="U117" s="338"/>
      <c r="V117" s="338"/>
      <c r="W117" s="338"/>
      <c r="X117" s="338"/>
      <c r="Y117" s="338"/>
      <c r="Z117" s="339"/>
      <c r="AA117" s="339"/>
      <c r="AB117" s="339"/>
      <c r="AC117" s="339"/>
      <c r="AD117" s="339"/>
      <c r="AE117" s="339"/>
      <c r="AF117" s="339"/>
      <c r="AG117" s="339"/>
      <c r="AH117" s="338"/>
    </row>
    <row r="118" spans="3:34" x14ac:dyDescent="0.2">
      <c r="C118" s="338"/>
      <c r="D118" s="338"/>
      <c r="E118" s="338"/>
      <c r="F118" s="338"/>
      <c r="G118" s="338"/>
      <c r="H118" s="338"/>
      <c r="I118" s="338"/>
      <c r="J118" s="338"/>
      <c r="K118" s="338"/>
      <c r="L118" s="338"/>
      <c r="M118" s="339"/>
      <c r="N118" s="339"/>
      <c r="O118" s="339"/>
      <c r="P118" s="339"/>
      <c r="Q118" s="339"/>
      <c r="R118" s="340"/>
      <c r="S118" s="341"/>
      <c r="T118" s="338"/>
      <c r="U118" s="338"/>
      <c r="V118" s="338"/>
      <c r="W118" s="338"/>
      <c r="X118" s="338"/>
      <c r="Y118" s="338"/>
      <c r="Z118" s="339"/>
      <c r="AA118" s="339"/>
      <c r="AB118" s="339"/>
      <c r="AC118" s="339"/>
      <c r="AD118" s="339"/>
      <c r="AE118" s="339"/>
      <c r="AF118" s="339"/>
      <c r="AG118" s="339"/>
      <c r="AH118" s="338"/>
    </row>
    <row r="119" spans="3:34" x14ac:dyDescent="0.2">
      <c r="C119" s="338"/>
      <c r="D119" s="338"/>
      <c r="E119" s="338"/>
      <c r="F119" s="338"/>
      <c r="G119" s="338"/>
      <c r="H119" s="338"/>
      <c r="I119" s="338"/>
      <c r="J119" s="338"/>
      <c r="K119" s="338"/>
      <c r="L119" s="338"/>
      <c r="M119" s="339"/>
      <c r="N119" s="339"/>
      <c r="O119" s="339"/>
      <c r="P119" s="339"/>
      <c r="Q119" s="339"/>
      <c r="R119" s="340"/>
      <c r="S119" s="341"/>
      <c r="T119" s="338"/>
      <c r="U119" s="338"/>
      <c r="V119" s="338"/>
      <c r="W119" s="338"/>
      <c r="X119" s="338"/>
      <c r="Y119" s="338"/>
      <c r="Z119" s="339"/>
      <c r="AA119" s="339"/>
      <c r="AB119" s="339"/>
      <c r="AC119" s="339"/>
      <c r="AD119" s="339"/>
      <c r="AE119" s="339"/>
      <c r="AF119" s="339"/>
      <c r="AG119" s="339"/>
      <c r="AH119" s="338"/>
    </row>
    <row r="120" spans="3:34" x14ac:dyDescent="0.2">
      <c r="C120" s="338"/>
      <c r="D120" s="338"/>
      <c r="E120" s="338"/>
      <c r="F120" s="338"/>
      <c r="G120" s="338"/>
      <c r="H120" s="338"/>
      <c r="I120" s="338"/>
      <c r="J120" s="338"/>
      <c r="K120" s="338"/>
      <c r="L120" s="338"/>
      <c r="M120" s="339"/>
      <c r="N120" s="339"/>
      <c r="O120" s="339"/>
      <c r="P120" s="339"/>
      <c r="Q120" s="339"/>
      <c r="R120" s="340"/>
      <c r="S120" s="341"/>
      <c r="T120" s="338"/>
      <c r="U120" s="338"/>
      <c r="V120" s="338"/>
      <c r="W120" s="338"/>
      <c r="X120" s="338"/>
      <c r="Y120" s="338"/>
      <c r="Z120" s="339"/>
      <c r="AA120" s="339"/>
      <c r="AB120" s="339"/>
      <c r="AC120" s="339"/>
      <c r="AD120" s="339"/>
      <c r="AE120" s="339"/>
      <c r="AF120" s="339"/>
      <c r="AG120" s="339"/>
      <c r="AH120" s="338"/>
    </row>
    <row r="121" spans="3:34" x14ac:dyDescent="0.2">
      <c r="C121" s="338"/>
      <c r="D121" s="338"/>
      <c r="E121" s="338"/>
      <c r="F121" s="338"/>
      <c r="G121" s="338"/>
      <c r="H121" s="338"/>
      <c r="I121" s="338"/>
      <c r="J121" s="338"/>
      <c r="K121" s="338"/>
      <c r="L121" s="338"/>
      <c r="M121" s="339"/>
      <c r="N121" s="339"/>
      <c r="O121" s="339"/>
      <c r="P121" s="339"/>
      <c r="Q121" s="339"/>
      <c r="R121" s="340"/>
      <c r="S121" s="341"/>
      <c r="T121" s="338"/>
      <c r="U121" s="338"/>
      <c r="V121" s="338"/>
      <c r="W121" s="338"/>
      <c r="X121" s="338"/>
      <c r="Y121" s="338"/>
      <c r="Z121" s="339"/>
      <c r="AA121" s="339"/>
      <c r="AB121" s="339"/>
      <c r="AC121" s="339"/>
      <c r="AD121" s="339"/>
      <c r="AE121" s="339"/>
      <c r="AF121" s="339"/>
      <c r="AG121" s="339"/>
      <c r="AH121" s="338"/>
    </row>
    <row r="122" spans="3:34" x14ac:dyDescent="0.2">
      <c r="C122" s="338"/>
      <c r="D122" s="338"/>
      <c r="E122" s="338"/>
      <c r="F122" s="338"/>
      <c r="G122" s="338"/>
      <c r="H122" s="338"/>
      <c r="I122" s="338"/>
      <c r="J122" s="338"/>
      <c r="K122" s="338"/>
      <c r="L122" s="338"/>
      <c r="M122" s="339"/>
      <c r="N122" s="339"/>
      <c r="O122" s="339"/>
      <c r="P122" s="339"/>
      <c r="Q122" s="339"/>
      <c r="R122" s="340"/>
      <c r="S122" s="341"/>
      <c r="T122" s="338"/>
      <c r="U122" s="338"/>
      <c r="V122" s="338"/>
      <c r="W122" s="338"/>
      <c r="X122" s="338"/>
      <c r="Y122" s="338"/>
      <c r="Z122" s="339"/>
      <c r="AA122" s="339"/>
      <c r="AB122" s="339"/>
      <c r="AC122" s="339"/>
      <c r="AD122" s="339"/>
      <c r="AE122" s="339"/>
      <c r="AF122" s="339"/>
      <c r="AG122" s="339"/>
      <c r="AH122" s="338"/>
    </row>
    <row r="123" spans="3:34" x14ac:dyDescent="0.2">
      <c r="C123" s="338"/>
      <c r="D123" s="338"/>
      <c r="E123" s="338"/>
      <c r="F123" s="338"/>
      <c r="G123" s="338"/>
      <c r="H123" s="338"/>
      <c r="I123" s="338"/>
      <c r="J123" s="338"/>
      <c r="K123" s="338"/>
      <c r="L123" s="338"/>
      <c r="M123" s="339"/>
      <c r="N123" s="339"/>
      <c r="O123" s="339"/>
      <c r="P123" s="339"/>
      <c r="Q123" s="339"/>
      <c r="R123" s="340"/>
      <c r="S123" s="341"/>
      <c r="T123" s="338"/>
      <c r="U123" s="338"/>
      <c r="V123" s="338"/>
      <c r="W123" s="338"/>
      <c r="X123" s="338"/>
      <c r="Y123" s="338"/>
      <c r="Z123" s="339"/>
      <c r="AA123" s="339"/>
      <c r="AB123" s="339"/>
      <c r="AC123" s="339"/>
      <c r="AD123" s="339"/>
      <c r="AE123" s="339"/>
      <c r="AF123" s="339"/>
      <c r="AG123" s="339"/>
      <c r="AH123" s="338"/>
    </row>
    <row r="124" spans="3:34" x14ac:dyDescent="0.2">
      <c r="C124" s="338"/>
      <c r="D124" s="338"/>
      <c r="E124" s="338"/>
      <c r="F124" s="338"/>
      <c r="G124" s="338"/>
      <c r="H124" s="338"/>
      <c r="I124" s="338"/>
      <c r="J124" s="338"/>
      <c r="K124" s="338"/>
      <c r="L124" s="338"/>
      <c r="M124" s="339"/>
      <c r="N124" s="339"/>
      <c r="O124" s="339"/>
      <c r="P124" s="339"/>
      <c r="Q124" s="339"/>
      <c r="R124" s="340"/>
      <c r="S124" s="341"/>
      <c r="T124" s="338"/>
      <c r="U124" s="338"/>
      <c r="V124" s="338"/>
      <c r="W124" s="338"/>
      <c r="X124" s="338"/>
      <c r="Y124" s="338"/>
      <c r="Z124" s="339"/>
      <c r="AA124" s="339"/>
      <c r="AB124" s="339"/>
      <c r="AC124" s="339"/>
      <c r="AD124" s="339"/>
      <c r="AE124" s="339"/>
      <c r="AF124" s="339"/>
      <c r="AG124" s="339"/>
      <c r="AH124" s="338"/>
    </row>
    <row r="125" spans="3:34" x14ac:dyDescent="0.2">
      <c r="C125" s="338"/>
      <c r="D125" s="338"/>
      <c r="E125" s="338"/>
      <c r="F125" s="338"/>
      <c r="G125" s="338"/>
      <c r="H125" s="338"/>
      <c r="I125" s="338"/>
      <c r="J125" s="338"/>
      <c r="K125" s="338"/>
      <c r="L125" s="338"/>
      <c r="M125" s="339"/>
      <c r="N125" s="339"/>
      <c r="O125" s="339"/>
      <c r="P125" s="339"/>
      <c r="Q125" s="339"/>
      <c r="R125" s="340"/>
      <c r="S125" s="341"/>
      <c r="T125" s="338"/>
      <c r="U125" s="338"/>
      <c r="V125" s="338"/>
      <c r="W125" s="338"/>
      <c r="X125" s="338"/>
      <c r="Y125" s="338"/>
      <c r="Z125" s="339"/>
      <c r="AA125" s="339"/>
      <c r="AB125" s="339"/>
      <c r="AC125" s="339"/>
      <c r="AD125" s="339"/>
      <c r="AE125" s="339"/>
      <c r="AF125" s="339"/>
      <c r="AG125" s="339"/>
      <c r="AH125" s="338"/>
    </row>
    <row r="126" spans="3:34" x14ac:dyDescent="0.2">
      <c r="C126" s="338"/>
      <c r="D126" s="338"/>
      <c r="E126" s="338"/>
      <c r="F126" s="338"/>
      <c r="G126" s="338"/>
      <c r="H126" s="338"/>
      <c r="I126" s="338"/>
      <c r="J126" s="338"/>
      <c r="K126" s="338"/>
      <c r="L126" s="338"/>
      <c r="M126" s="339"/>
      <c r="N126" s="339"/>
      <c r="O126" s="339"/>
      <c r="P126" s="339"/>
      <c r="Q126" s="339"/>
      <c r="R126" s="340"/>
      <c r="S126" s="341"/>
      <c r="T126" s="338"/>
      <c r="U126" s="338"/>
      <c r="V126" s="338"/>
      <c r="W126" s="338"/>
      <c r="X126" s="338"/>
      <c r="Y126" s="338"/>
      <c r="Z126" s="339"/>
      <c r="AA126" s="339"/>
      <c r="AB126" s="339"/>
      <c r="AC126" s="339"/>
      <c r="AD126" s="339"/>
      <c r="AE126" s="339"/>
      <c r="AF126" s="339"/>
      <c r="AG126" s="339"/>
      <c r="AH126" s="338"/>
    </row>
    <row r="127" spans="3:34" x14ac:dyDescent="0.2">
      <c r="C127" s="338"/>
      <c r="D127" s="338"/>
      <c r="E127" s="338"/>
      <c r="F127" s="338"/>
      <c r="G127" s="338"/>
      <c r="H127" s="338"/>
      <c r="I127" s="338"/>
      <c r="J127" s="338"/>
      <c r="K127" s="338"/>
      <c r="L127" s="338"/>
      <c r="M127" s="339"/>
      <c r="N127" s="339"/>
      <c r="O127" s="339"/>
      <c r="P127" s="339"/>
      <c r="Q127" s="339"/>
      <c r="R127" s="340"/>
      <c r="S127" s="341"/>
      <c r="T127" s="338"/>
      <c r="U127" s="338"/>
      <c r="V127" s="338"/>
      <c r="W127" s="338"/>
      <c r="X127" s="338"/>
      <c r="Y127" s="338"/>
      <c r="Z127" s="339"/>
      <c r="AA127" s="339"/>
      <c r="AB127" s="339"/>
      <c r="AC127" s="339"/>
      <c r="AD127" s="339"/>
      <c r="AE127" s="339"/>
      <c r="AF127" s="339"/>
      <c r="AG127" s="339"/>
      <c r="AH127" s="338"/>
    </row>
    <row r="128" spans="3:34" x14ac:dyDescent="0.2">
      <c r="C128" s="338"/>
      <c r="D128" s="338"/>
      <c r="E128" s="338"/>
      <c r="F128" s="338"/>
      <c r="G128" s="338"/>
      <c r="H128" s="338"/>
      <c r="I128" s="338"/>
      <c r="J128" s="338"/>
      <c r="K128" s="338"/>
      <c r="L128" s="338"/>
      <c r="M128" s="339"/>
      <c r="N128" s="339"/>
      <c r="O128" s="339"/>
      <c r="P128" s="339"/>
      <c r="Q128" s="339"/>
      <c r="R128" s="340"/>
      <c r="S128" s="341"/>
      <c r="T128" s="338"/>
      <c r="U128" s="338"/>
      <c r="V128" s="338"/>
      <c r="W128" s="338"/>
      <c r="X128" s="338"/>
      <c r="Y128" s="338"/>
      <c r="Z128" s="339"/>
      <c r="AA128" s="339"/>
      <c r="AB128" s="339"/>
      <c r="AC128" s="339"/>
      <c r="AD128" s="339"/>
      <c r="AE128" s="339"/>
      <c r="AF128" s="339"/>
      <c r="AG128" s="339"/>
      <c r="AH128" s="338"/>
    </row>
    <row r="129" spans="3:34" x14ac:dyDescent="0.2">
      <c r="C129" s="338"/>
      <c r="D129" s="338"/>
      <c r="E129" s="338"/>
      <c r="F129" s="338"/>
      <c r="G129" s="338"/>
      <c r="H129" s="338"/>
      <c r="I129" s="338"/>
      <c r="J129" s="338"/>
      <c r="K129" s="338"/>
      <c r="L129" s="338"/>
      <c r="M129" s="339"/>
      <c r="N129" s="339"/>
      <c r="O129" s="339"/>
      <c r="P129" s="339"/>
      <c r="Q129" s="339"/>
      <c r="R129" s="340"/>
      <c r="S129" s="341"/>
      <c r="T129" s="338"/>
      <c r="U129" s="338"/>
      <c r="V129" s="338"/>
      <c r="W129" s="338"/>
      <c r="X129" s="338"/>
      <c r="Y129" s="338"/>
      <c r="Z129" s="339"/>
      <c r="AA129" s="339"/>
      <c r="AB129" s="339"/>
      <c r="AC129" s="339"/>
      <c r="AD129" s="339"/>
      <c r="AE129" s="339"/>
      <c r="AF129" s="339"/>
      <c r="AG129" s="339"/>
      <c r="AH129" s="338"/>
    </row>
    <row r="130" spans="3:34" x14ac:dyDescent="0.2">
      <c r="C130" s="338"/>
      <c r="D130" s="338"/>
      <c r="E130" s="338"/>
      <c r="F130" s="338"/>
      <c r="G130" s="338"/>
      <c r="H130" s="338"/>
      <c r="I130" s="338"/>
      <c r="J130" s="338"/>
      <c r="K130" s="338"/>
      <c r="L130" s="338"/>
      <c r="M130" s="339"/>
      <c r="N130" s="339"/>
      <c r="O130" s="339"/>
      <c r="P130" s="339"/>
      <c r="Q130" s="339"/>
      <c r="R130" s="340"/>
      <c r="S130" s="341"/>
      <c r="T130" s="338"/>
      <c r="U130" s="338"/>
      <c r="V130" s="338"/>
      <c r="W130" s="338"/>
      <c r="X130" s="338"/>
      <c r="Y130" s="338"/>
      <c r="Z130" s="339"/>
      <c r="AA130" s="339"/>
      <c r="AB130" s="339"/>
      <c r="AC130" s="339"/>
      <c r="AD130" s="339"/>
      <c r="AE130" s="339"/>
      <c r="AF130" s="339"/>
      <c r="AG130" s="339"/>
      <c r="AH130" s="338"/>
    </row>
    <row r="131" spans="3:34" x14ac:dyDescent="0.2">
      <c r="C131" s="338"/>
      <c r="D131" s="338"/>
      <c r="E131" s="338"/>
      <c r="F131" s="338"/>
      <c r="G131" s="338"/>
      <c r="H131" s="338"/>
      <c r="I131" s="338"/>
      <c r="J131" s="338"/>
      <c r="K131" s="338"/>
      <c r="L131" s="338"/>
      <c r="M131" s="339"/>
      <c r="N131" s="339"/>
      <c r="O131" s="339"/>
      <c r="P131" s="339"/>
      <c r="Q131" s="339"/>
      <c r="R131" s="340"/>
      <c r="S131" s="341"/>
      <c r="T131" s="338"/>
      <c r="U131" s="338"/>
      <c r="V131" s="338"/>
      <c r="W131" s="338"/>
      <c r="X131" s="338"/>
      <c r="Y131" s="338"/>
      <c r="Z131" s="339"/>
      <c r="AA131" s="339"/>
      <c r="AB131" s="339"/>
      <c r="AC131" s="339"/>
      <c r="AD131" s="339"/>
      <c r="AE131" s="339"/>
      <c r="AF131" s="339"/>
      <c r="AG131" s="339"/>
      <c r="AH131" s="338"/>
    </row>
    <row r="132" spans="3:34" x14ac:dyDescent="0.2">
      <c r="C132" s="338"/>
      <c r="D132" s="338"/>
      <c r="E132" s="338"/>
      <c r="F132" s="338"/>
      <c r="G132" s="338"/>
      <c r="H132" s="338"/>
      <c r="I132" s="338"/>
      <c r="J132" s="338"/>
      <c r="K132" s="338"/>
      <c r="L132" s="338"/>
      <c r="M132" s="339"/>
      <c r="N132" s="339"/>
      <c r="O132" s="339"/>
      <c r="P132" s="339"/>
      <c r="Q132" s="339"/>
      <c r="R132" s="340"/>
      <c r="S132" s="341"/>
      <c r="T132" s="338"/>
      <c r="U132" s="338"/>
      <c r="V132" s="338"/>
      <c r="W132" s="338"/>
      <c r="X132" s="338"/>
      <c r="Y132" s="338"/>
      <c r="Z132" s="339"/>
      <c r="AA132" s="339"/>
      <c r="AB132" s="339"/>
      <c r="AC132" s="339"/>
      <c r="AD132" s="339"/>
      <c r="AE132" s="339"/>
      <c r="AF132" s="339"/>
      <c r="AG132" s="339"/>
      <c r="AH132" s="338"/>
    </row>
    <row r="133" spans="3:34" x14ac:dyDescent="0.2">
      <c r="C133" s="338"/>
      <c r="D133" s="338"/>
      <c r="E133" s="338"/>
      <c r="F133" s="338"/>
      <c r="G133" s="338"/>
      <c r="H133" s="338"/>
      <c r="I133" s="338"/>
      <c r="J133" s="338"/>
      <c r="K133" s="338"/>
      <c r="L133" s="338"/>
      <c r="M133" s="339"/>
      <c r="N133" s="339"/>
      <c r="O133" s="339"/>
      <c r="P133" s="339"/>
      <c r="Q133" s="339"/>
      <c r="R133" s="340"/>
      <c r="S133" s="341"/>
      <c r="T133" s="338"/>
      <c r="U133" s="338"/>
      <c r="V133" s="338"/>
      <c r="W133" s="338"/>
      <c r="X133" s="338"/>
      <c r="Y133" s="338"/>
      <c r="Z133" s="339"/>
      <c r="AA133" s="339"/>
      <c r="AB133" s="339"/>
      <c r="AC133" s="339"/>
      <c r="AD133" s="339"/>
      <c r="AE133" s="339"/>
      <c r="AF133" s="339"/>
      <c r="AG133" s="339"/>
      <c r="AH133" s="338"/>
    </row>
    <row r="134" spans="3:34" x14ac:dyDescent="0.2">
      <c r="C134" s="338"/>
      <c r="D134" s="338"/>
      <c r="E134" s="338"/>
      <c r="F134" s="338"/>
      <c r="G134" s="338"/>
      <c r="H134" s="338"/>
      <c r="I134" s="338"/>
      <c r="J134" s="338"/>
      <c r="K134" s="338"/>
      <c r="L134" s="338"/>
      <c r="M134" s="339"/>
      <c r="N134" s="339"/>
      <c r="O134" s="339"/>
      <c r="P134" s="339"/>
      <c r="Q134" s="339"/>
      <c r="R134" s="340"/>
      <c r="S134" s="341"/>
      <c r="T134" s="338"/>
      <c r="U134" s="338"/>
      <c r="V134" s="338"/>
      <c r="W134" s="338"/>
      <c r="X134" s="338"/>
      <c r="Y134" s="338"/>
      <c r="Z134" s="339"/>
      <c r="AA134" s="339"/>
      <c r="AB134" s="339"/>
      <c r="AC134" s="339"/>
      <c r="AD134" s="339"/>
      <c r="AE134" s="339"/>
      <c r="AF134" s="339"/>
      <c r="AG134" s="339"/>
      <c r="AH134" s="338"/>
    </row>
    <row r="135" spans="3:34" x14ac:dyDescent="0.2">
      <c r="C135" s="338"/>
      <c r="D135" s="338"/>
      <c r="E135" s="338"/>
      <c r="F135" s="338"/>
      <c r="G135" s="338"/>
      <c r="H135" s="338"/>
      <c r="I135" s="338"/>
      <c r="J135" s="338"/>
      <c r="K135" s="338"/>
      <c r="L135" s="338"/>
      <c r="M135" s="339"/>
      <c r="N135" s="339"/>
      <c r="O135" s="339"/>
      <c r="P135" s="339"/>
      <c r="Q135" s="339"/>
      <c r="R135" s="340"/>
      <c r="S135" s="341"/>
      <c r="T135" s="338"/>
      <c r="U135" s="338"/>
      <c r="V135" s="338"/>
      <c r="W135" s="338"/>
      <c r="X135" s="338"/>
      <c r="Y135" s="338"/>
      <c r="Z135" s="339"/>
      <c r="AA135" s="339"/>
      <c r="AB135" s="339"/>
      <c r="AC135" s="339"/>
      <c r="AD135" s="339"/>
      <c r="AE135" s="339"/>
      <c r="AF135" s="339"/>
      <c r="AG135" s="339"/>
      <c r="AH135" s="338"/>
    </row>
    <row r="136" spans="3:34" x14ac:dyDescent="0.2">
      <c r="C136" s="338"/>
      <c r="D136" s="338"/>
      <c r="E136" s="338"/>
      <c r="F136" s="338"/>
      <c r="G136" s="338"/>
      <c r="H136" s="338"/>
      <c r="I136" s="338"/>
      <c r="J136" s="338"/>
      <c r="K136" s="338"/>
      <c r="L136" s="338"/>
      <c r="M136" s="339"/>
      <c r="N136" s="339"/>
      <c r="O136" s="339"/>
      <c r="P136" s="339"/>
      <c r="Q136" s="339"/>
      <c r="R136" s="340"/>
      <c r="S136" s="341"/>
      <c r="T136" s="338"/>
      <c r="U136" s="338"/>
      <c r="V136" s="338"/>
      <c r="W136" s="338"/>
      <c r="X136" s="338"/>
      <c r="Y136" s="338"/>
      <c r="Z136" s="339"/>
      <c r="AA136" s="339"/>
      <c r="AB136" s="339"/>
      <c r="AC136" s="339"/>
      <c r="AD136" s="339"/>
      <c r="AE136" s="339"/>
      <c r="AF136" s="339"/>
      <c r="AG136" s="339"/>
      <c r="AH136" s="338"/>
    </row>
    <row r="137" spans="3:34" x14ac:dyDescent="0.2">
      <c r="C137" s="338"/>
      <c r="D137" s="338"/>
      <c r="E137" s="338"/>
      <c r="F137" s="338"/>
      <c r="G137" s="338"/>
      <c r="H137" s="338"/>
      <c r="I137" s="338"/>
      <c r="J137" s="338"/>
      <c r="K137" s="338"/>
      <c r="L137" s="338"/>
      <c r="M137" s="339"/>
      <c r="N137" s="339"/>
      <c r="O137" s="339"/>
      <c r="P137" s="339"/>
      <c r="Q137" s="339"/>
      <c r="R137" s="340"/>
      <c r="S137" s="341"/>
      <c r="T137" s="338"/>
      <c r="U137" s="338"/>
      <c r="V137" s="338"/>
      <c r="W137" s="338"/>
      <c r="X137" s="338"/>
      <c r="Y137" s="338"/>
      <c r="Z137" s="339"/>
      <c r="AA137" s="339"/>
      <c r="AB137" s="339"/>
      <c r="AC137" s="339"/>
      <c r="AD137" s="339"/>
      <c r="AE137" s="339"/>
      <c r="AF137" s="339"/>
      <c r="AG137" s="339"/>
      <c r="AH137" s="338"/>
    </row>
    <row r="138" spans="3:34" x14ac:dyDescent="0.2">
      <c r="C138" s="338"/>
      <c r="D138" s="338"/>
      <c r="E138" s="338"/>
      <c r="F138" s="338"/>
      <c r="G138" s="338"/>
      <c r="H138" s="338"/>
      <c r="I138" s="338"/>
      <c r="J138" s="338"/>
      <c r="K138" s="338"/>
      <c r="L138" s="338"/>
      <c r="M138" s="339"/>
      <c r="N138" s="339"/>
      <c r="O138" s="339"/>
      <c r="P138" s="339"/>
      <c r="Q138" s="339"/>
      <c r="R138" s="340"/>
      <c r="S138" s="341"/>
      <c r="T138" s="338"/>
      <c r="U138" s="338"/>
      <c r="V138" s="338"/>
      <c r="W138" s="338"/>
      <c r="X138" s="338"/>
      <c r="Y138" s="338"/>
      <c r="Z138" s="339"/>
      <c r="AA138" s="339"/>
      <c r="AB138" s="339"/>
      <c r="AC138" s="339"/>
      <c r="AD138" s="339"/>
      <c r="AE138" s="339"/>
      <c r="AF138" s="339"/>
      <c r="AG138" s="339"/>
      <c r="AH138" s="338"/>
    </row>
    <row r="139" spans="3:34" x14ac:dyDescent="0.2">
      <c r="C139" s="338"/>
      <c r="D139" s="338"/>
      <c r="E139" s="338"/>
      <c r="F139" s="338"/>
      <c r="G139" s="338"/>
      <c r="H139" s="338"/>
      <c r="I139" s="338"/>
      <c r="J139" s="338"/>
      <c r="K139" s="338"/>
      <c r="L139" s="338"/>
      <c r="M139" s="339"/>
      <c r="N139" s="339"/>
      <c r="O139" s="339"/>
      <c r="P139" s="339"/>
      <c r="Q139" s="339"/>
      <c r="R139" s="340"/>
      <c r="S139" s="341"/>
      <c r="T139" s="338"/>
      <c r="U139" s="338"/>
      <c r="V139" s="338"/>
      <c r="W139" s="338"/>
      <c r="X139" s="338"/>
      <c r="Y139" s="338"/>
      <c r="Z139" s="339"/>
      <c r="AA139" s="339"/>
      <c r="AB139" s="339"/>
      <c r="AC139" s="339"/>
      <c r="AD139" s="339"/>
      <c r="AE139" s="339"/>
      <c r="AF139" s="339"/>
      <c r="AG139" s="339"/>
      <c r="AH139" s="338"/>
    </row>
    <row r="140" spans="3:34" x14ac:dyDescent="0.2">
      <c r="C140" s="338"/>
      <c r="D140" s="338"/>
      <c r="E140" s="338"/>
      <c r="F140" s="338"/>
      <c r="G140" s="338"/>
      <c r="H140" s="338"/>
      <c r="I140" s="338"/>
      <c r="J140" s="338"/>
      <c r="K140" s="338"/>
      <c r="L140" s="338"/>
      <c r="M140" s="339"/>
      <c r="N140" s="339"/>
      <c r="O140" s="339"/>
      <c r="P140" s="339"/>
      <c r="Q140" s="339"/>
      <c r="R140" s="340"/>
      <c r="S140" s="341"/>
      <c r="T140" s="338"/>
      <c r="U140" s="338"/>
      <c r="V140" s="338"/>
      <c r="W140" s="338"/>
      <c r="X140" s="338"/>
      <c r="Y140" s="338"/>
      <c r="Z140" s="339"/>
      <c r="AA140" s="339"/>
      <c r="AB140" s="339"/>
      <c r="AC140" s="339"/>
      <c r="AD140" s="339"/>
      <c r="AE140" s="339"/>
      <c r="AF140" s="339"/>
      <c r="AG140" s="339"/>
      <c r="AH140" s="338"/>
    </row>
    <row r="141" spans="3:34" x14ac:dyDescent="0.2">
      <c r="C141" s="338"/>
      <c r="D141" s="338"/>
      <c r="E141" s="338"/>
      <c r="F141" s="338"/>
      <c r="G141" s="338"/>
      <c r="H141" s="338"/>
      <c r="I141" s="338"/>
      <c r="J141" s="338"/>
      <c r="K141" s="338"/>
      <c r="L141" s="338"/>
      <c r="M141" s="339"/>
      <c r="N141" s="339"/>
      <c r="O141" s="339"/>
      <c r="P141" s="339"/>
      <c r="Q141" s="339"/>
      <c r="R141" s="340"/>
      <c r="S141" s="341"/>
      <c r="T141" s="338"/>
      <c r="U141" s="338"/>
      <c r="V141" s="338"/>
      <c r="W141" s="338"/>
      <c r="X141" s="338"/>
      <c r="Y141" s="338"/>
      <c r="Z141" s="339"/>
      <c r="AA141" s="339"/>
      <c r="AB141" s="339"/>
      <c r="AC141" s="339"/>
      <c r="AD141" s="339"/>
      <c r="AE141" s="339"/>
      <c r="AF141" s="339"/>
      <c r="AG141" s="339"/>
      <c r="AH141" s="338"/>
    </row>
    <row r="142" spans="3:34" x14ac:dyDescent="0.2">
      <c r="C142" s="338"/>
      <c r="D142" s="338"/>
      <c r="E142" s="338"/>
      <c r="F142" s="338"/>
      <c r="G142" s="338"/>
      <c r="H142" s="338"/>
      <c r="I142" s="338"/>
      <c r="J142" s="338"/>
      <c r="K142" s="338"/>
      <c r="L142" s="338"/>
      <c r="M142" s="339"/>
      <c r="N142" s="339"/>
      <c r="O142" s="339"/>
      <c r="P142" s="339"/>
      <c r="Q142" s="339"/>
      <c r="R142" s="340"/>
      <c r="S142" s="341"/>
      <c r="T142" s="338"/>
      <c r="U142" s="338"/>
      <c r="V142" s="338"/>
      <c r="W142" s="338"/>
      <c r="X142" s="338"/>
      <c r="Y142" s="338"/>
      <c r="Z142" s="339"/>
      <c r="AA142" s="339"/>
      <c r="AB142" s="339"/>
      <c r="AC142" s="339"/>
      <c r="AD142" s="339"/>
      <c r="AE142" s="339"/>
      <c r="AF142" s="339"/>
      <c r="AG142" s="339"/>
      <c r="AH142" s="338"/>
    </row>
    <row r="143" spans="3:34" x14ac:dyDescent="0.2">
      <c r="C143" s="338"/>
      <c r="D143" s="338"/>
      <c r="E143" s="338"/>
      <c r="F143" s="338"/>
      <c r="G143" s="338"/>
      <c r="H143" s="338"/>
      <c r="I143" s="338"/>
      <c r="J143" s="338"/>
      <c r="K143" s="338"/>
      <c r="L143" s="338"/>
      <c r="M143" s="339"/>
      <c r="N143" s="339"/>
      <c r="O143" s="339"/>
      <c r="P143" s="339"/>
      <c r="Q143" s="339"/>
      <c r="R143" s="340"/>
      <c r="S143" s="341"/>
      <c r="T143" s="338"/>
      <c r="U143" s="338"/>
      <c r="V143" s="338"/>
      <c r="W143" s="338"/>
      <c r="X143" s="338"/>
      <c r="Y143" s="338"/>
      <c r="Z143" s="339"/>
      <c r="AA143" s="339"/>
      <c r="AB143" s="339"/>
      <c r="AC143" s="339"/>
      <c r="AD143" s="339"/>
      <c r="AE143" s="339"/>
      <c r="AF143" s="339"/>
      <c r="AG143" s="339"/>
      <c r="AH143" s="338"/>
    </row>
    <row r="144" spans="3:34" x14ac:dyDescent="0.2">
      <c r="C144" s="338"/>
      <c r="D144" s="338"/>
      <c r="E144" s="338"/>
      <c r="F144" s="338"/>
      <c r="G144" s="338"/>
      <c r="H144" s="338"/>
      <c r="I144" s="338"/>
      <c r="J144" s="338"/>
      <c r="K144" s="338"/>
      <c r="L144" s="338"/>
      <c r="M144" s="339"/>
      <c r="N144" s="339"/>
      <c r="O144" s="339"/>
      <c r="P144" s="339"/>
      <c r="Q144" s="339"/>
      <c r="R144" s="340"/>
      <c r="S144" s="341"/>
      <c r="T144" s="338"/>
      <c r="U144" s="338"/>
      <c r="V144" s="338"/>
      <c r="W144" s="338"/>
      <c r="X144" s="338"/>
      <c r="Y144" s="338"/>
      <c r="Z144" s="339"/>
      <c r="AA144" s="339"/>
      <c r="AB144" s="339"/>
      <c r="AC144" s="339"/>
      <c r="AD144" s="339"/>
      <c r="AE144" s="339"/>
      <c r="AF144" s="339"/>
      <c r="AG144" s="339"/>
      <c r="AH144" s="338"/>
    </row>
    <row r="145" spans="3:34" x14ac:dyDescent="0.2">
      <c r="C145" s="338"/>
      <c r="D145" s="338"/>
      <c r="E145" s="338"/>
      <c r="F145" s="338"/>
      <c r="G145" s="338"/>
      <c r="H145" s="338"/>
      <c r="I145" s="338"/>
      <c r="J145" s="338"/>
      <c r="K145" s="338"/>
      <c r="L145" s="338"/>
      <c r="M145" s="339"/>
      <c r="N145" s="339"/>
      <c r="O145" s="339"/>
      <c r="P145" s="339"/>
      <c r="Q145" s="339"/>
      <c r="R145" s="340"/>
      <c r="S145" s="341"/>
      <c r="T145" s="338"/>
      <c r="U145" s="338"/>
      <c r="V145" s="338"/>
      <c r="W145" s="338"/>
      <c r="X145" s="338"/>
      <c r="Y145" s="338"/>
      <c r="Z145" s="339"/>
      <c r="AA145" s="339"/>
      <c r="AB145" s="339"/>
      <c r="AC145" s="339"/>
      <c r="AD145" s="339"/>
      <c r="AE145" s="339"/>
      <c r="AF145" s="339"/>
      <c r="AG145" s="339"/>
      <c r="AH145" s="338"/>
    </row>
    <row r="146" spans="3:34" x14ac:dyDescent="0.2">
      <c r="C146" s="338"/>
      <c r="D146" s="338"/>
      <c r="E146" s="338"/>
      <c r="F146" s="338"/>
      <c r="G146" s="338"/>
      <c r="H146" s="338"/>
      <c r="I146" s="338"/>
      <c r="J146" s="338"/>
      <c r="K146" s="338"/>
      <c r="L146" s="338"/>
      <c r="M146" s="339"/>
      <c r="N146" s="339"/>
      <c r="O146" s="339"/>
      <c r="P146" s="339"/>
      <c r="Q146" s="339"/>
      <c r="R146" s="340"/>
      <c r="S146" s="341"/>
      <c r="T146" s="338"/>
      <c r="U146" s="338"/>
      <c r="V146" s="338"/>
      <c r="W146" s="338"/>
      <c r="X146" s="338"/>
      <c r="Y146" s="338"/>
      <c r="Z146" s="339"/>
      <c r="AA146" s="339"/>
      <c r="AB146" s="339"/>
      <c r="AC146" s="339"/>
      <c r="AD146" s="339"/>
      <c r="AE146" s="339"/>
      <c r="AF146" s="339"/>
      <c r="AG146" s="339"/>
      <c r="AH146" s="338"/>
    </row>
    <row r="147" spans="3:34" x14ac:dyDescent="0.2">
      <c r="C147" s="338"/>
      <c r="D147" s="338"/>
      <c r="E147" s="338"/>
      <c r="F147" s="338"/>
      <c r="G147" s="338"/>
      <c r="H147" s="338"/>
      <c r="I147" s="338"/>
      <c r="J147" s="338"/>
      <c r="K147" s="338"/>
      <c r="L147" s="338"/>
      <c r="M147" s="339"/>
      <c r="N147" s="339"/>
      <c r="O147" s="339"/>
      <c r="P147" s="339"/>
      <c r="Q147" s="339"/>
      <c r="R147" s="340"/>
      <c r="S147" s="341"/>
      <c r="T147" s="338"/>
      <c r="U147" s="338"/>
      <c r="V147" s="338"/>
      <c r="W147" s="338"/>
      <c r="X147" s="338"/>
      <c r="Y147" s="338"/>
      <c r="Z147" s="339"/>
      <c r="AA147" s="339"/>
      <c r="AB147" s="339"/>
      <c r="AC147" s="339"/>
      <c r="AD147" s="339"/>
      <c r="AE147" s="339"/>
      <c r="AF147" s="339"/>
      <c r="AG147" s="339"/>
      <c r="AH147" s="338"/>
    </row>
    <row r="148" spans="3:34" x14ac:dyDescent="0.2">
      <c r="C148" s="338"/>
      <c r="D148" s="338"/>
      <c r="E148" s="338"/>
      <c r="F148" s="338"/>
      <c r="G148" s="338"/>
      <c r="H148" s="338"/>
      <c r="I148" s="338"/>
      <c r="J148" s="338"/>
      <c r="K148" s="338"/>
      <c r="L148" s="338"/>
      <c r="M148" s="339"/>
      <c r="N148" s="339"/>
      <c r="O148" s="339"/>
      <c r="P148" s="339"/>
      <c r="Q148" s="339"/>
      <c r="R148" s="340"/>
      <c r="S148" s="341"/>
      <c r="T148" s="338"/>
      <c r="U148" s="338"/>
      <c r="V148" s="338"/>
      <c r="W148" s="338"/>
      <c r="X148" s="338"/>
      <c r="Y148" s="338"/>
      <c r="Z148" s="339"/>
      <c r="AA148" s="339"/>
      <c r="AB148" s="339"/>
      <c r="AC148" s="339"/>
      <c r="AD148" s="339"/>
      <c r="AE148" s="339"/>
      <c r="AF148" s="339"/>
      <c r="AG148" s="339"/>
      <c r="AH148" s="338"/>
    </row>
    <row r="149" spans="3:34" x14ac:dyDescent="0.2">
      <c r="C149" s="338"/>
      <c r="D149" s="338"/>
      <c r="E149" s="338"/>
      <c r="F149" s="338"/>
      <c r="G149" s="338"/>
      <c r="H149" s="338"/>
      <c r="I149" s="338"/>
      <c r="J149" s="338"/>
      <c r="K149" s="338"/>
      <c r="L149" s="338"/>
      <c r="M149" s="339"/>
      <c r="N149" s="339"/>
      <c r="O149" s="339"/>
      <c r="P149" s="339"/>
      <c r="Q149" s="339"/>
      <c r="R149" s="340"/>
      <c r="S149" s="341"/>
      <c r="T149" s="338"/>
      <c r="U149" s="338"/>
      <c r="V149" s="338"/>
      <c r="W149" s="338"/>
      <c r="X149" s="338"/>
      <c r="Y149" s="338"/>
      <c r="Z149" s="339"/>
      <c r="AA149" s="339"/>
      <c r="AB149" s="339"/>
      <c r="AC149" s="339"/>
      <c r="AD149" s="339"/>
      <c r="AE149" s="339"/>
      <c r="AF149" s="339"/>
      <c r="AG149" s="339"/>
      <c r="AH149" s="338"/>
    </row>
    <row r="150" spans="3:34" x14ac:dyDescent="0.2">
      <c r="C150" s="338"/>
      <c r="D150" s="338"/>
      <c r="E150" s="338"/>
      <c r="F150" s="338"/>
      <c r="G150" s="338"/>
      <c r="H150" s="338"/>
      <c r="I150" s="338"/>
      <c r="J150" s="338"/>
      <c r="K150" s="338"/>
      <c r="L150" s="338"/>
      <c r="M150" s="339"/>
      <c r="N150" s="339"/>
      <c r="O150" s="339"/>
      <c r="P150" s="339"/>
      <c r="Q150" s="339"/>
      <c r="R150" s="340"/>
      <c r="S150" s="341"/>
      <c r="T150" s="338"/>
      <c r="U150" s="338"/>
      <c r="V150" s="338"/>
      <c r="W150" s="338"/>
      <c r="X150" s="338"/>
      <c r="Y150" s="338"/>
      <c r="Z150" s="339"/>
      <c r="AA150" s="339"/>
      <c r="AB150" s="339"/>
      <c r="AC150" s="339"/>
      <c r="AD150" s="339"/>
      <c r="AE150" s="339"/>
      <c r="AF150" s="339"/>
      <c r="AG150" s="339"/>
      <c r="AH150" s="338"/>
    </row>
    <row r="151" spans="3:34" x14ac:dyDescent="0.2">
      <c r="C151" s="338"/>
      <c r="D151" s="338"/>
      <c r="E151" s="338"/>
      <c r="F151" s="338"/>
      <c r="G151" s="338"/>
      <c r="H151" s="338"/>
      <c r="I151" s="338"/>
      <c r="J151" s="338"/>
      <c r="K151" s="338"/>
      <c r="L151" s="338"/>
      <c r="M151" s="339"/>
      <c r="N151" s="339"/>
      <c r="O151" s="339"/>
      <c r="P151" s="339"/>
      <c r="Q151" s="339"/>
      <c r="R151" s="340"/>
      <c r="S151" s="341"/>
      <c r="T151" s="338"/>
      <c r="U151" s="338"/>
      <c r="V151" s="338"/>
      <c r="W151" s="338"/>
      <c r="X151" s="338"/>
      <c r="Y151" s="338"/>
      <c r="Z151" s="339"/>
      <c r="AA151" s="339"/>
      <c r="AB151" s="339"/>
      <c r="AC151" s="339"/>
      <c r="AD151" s="339"/>
      <c r="AE151" s="339"/>
      <c r="AF151" s="339"/>
      <c r="AG151" s="339"/>
      <c r="AH151" s="338"/>
    </row>
    <row r="152" spans="3:34" x14ac:dyDescent="0.2">
      <c r="C152" s="338"/>
      <c r="D152" s="338"/>
      <c r="E152" s="338"/>
      <c r="F152" s="338"/>
      <c r="G152" s="338"/>
      <c r="H152" s="338"/>
      <c r="I152" s="338"/>
      <c r="J152" s="338"/>
      <c r="K152" s="338"/>
      <c r="L152" s="338"/>
      <c r="M152" s="339"/>
      <c r="N152" s="339"/>
      <c r="O152" s="339"/>
      <c r="P152" s="339"/>
      <c r="Q152" s="339"/>
      <c r="R152" s="340"/>
      <c r="S152" s="341"/>
      <c r="T152" s="338"/>
      <c r="U152" s="338"/>
      <c r="V152" s="338"/>
      <c r="W152" s="338"/>
      <c r="X152" s="338"/>
      <c r="Y152" s="338"/>
      <c r="Z152" s="339"/>
      <c r="AA152" s="339"/>
      <c r="AB152" s="339"/>
      <c r="AC152" s="339"/>
      <c r="AD152" s="339"/>
      <c r="AE152" s="339"/>
      <c r="AF152" s="339"/>
      <c r="AG152" s="339"/>
      <c r="AH152" s="338"/>
    </row>
    <row r="153" spans="3:34" x14ac:dyDescent="0.2">
      <c r="C153" s="338"/>
      <c r="D153" s="338"/>
      <c r="E153" s="338"/>
      <c r="F153" s="338"/>
      <c r="G153" s="338"/>
      <c r="H153" s="338"/>
      <c r="I153" s="338"/>
      <c r="J153" s="338"/>
      <c r="K153" s="338"/>
      <c r="L153" s="338"/>
      <c r="M153" s="339"/>
      <c r="N153" s="339"/>
      <c r="O153" s="339"/>
      <c r="P153" s="339"/>
      <c r="Q153" s="339"/>
      <c r="R153" s="340"/>
      <c r="S153" s="341"/>
      <c r="T153" s="338"/>
      <c r="U153" s="338"/>
      <c r="V153" s="338"/>
      <c r="W153" s="338"/>
      <c r="X153" s="338"/>
      <c r="Y153" s="338"/>
      <c r="Z153" s="339"/>
      <c r="AA153" s="339"/>
      <c r="AB153" s="339"/>
      <c r="AC153" s="339"/>
      <c r="AD153" s="339"/>
      <c r="AE153" s="339"/>
      <c r="AF153" s="339"/>
      <c r="AG153" s="339"/>
      <c r="AH153" s="338"/>
    </row>
    <row r="154" spans="3:34" x14ac:dyDescent="0.2">
      <c r="C154" s="338"/>
      <c r="D154" s="338"/>
      <c r="E154" s="338"/>
      <c r="F154" s="338"/>
      <c r="G154" s="338"/>
      <c r="H154" s="338"/>
      <c r="I154" s="338"/>
      <c r="J154" s="338"/>
      <c r="K154" s="338"/>
      <c r="L154" s="338"/>
      <c r="M154" s="339"/>
      <c r="N154" s="339"/>
      <c r="O154" s="339"/>
      <c r="P154" s="339"/>
      <c r="Q154" s="339"/>
      <c r="R154" s="340"/>
      <c r="S154" s="341"/>
      <c r="T154" s="338"/>
      <c r="U154" s="338"/>
      <c r="V154" s="338"/>
      <c r="W154" s="338"/>
      <c r="X154" s="338"/>
      <c r="Y154" s="338"/>
      <c r="Z154" s="339"/>
      <c r="AA154" s="339"/>
      <c r="AB154" s="339"/>
      <c r="AC154" s="339"/>
      <c r="AD154" s="339"/>
      <c r="AE154" s="339"/>
      <c r="AF154" s="339"/>
      <c r="AG154" s="339"/>
      <c r="AH154" s="338"/>
    </row>
    <row r="155" spans="3:34" x14ac:dyDescent="0.2">
      <c r="C155" s="338"/>
      <c r="D155" s="338"/>
      <c r="E155" s="338"/>
      <c r="F155" s="338"/>
      <c r="G155" s="338"/>
      <c r="H155" s="338"/>
      <c r="I155" s="338"/>
      <c r="J155" s="338"/>
      <c r="K155" s="338"/>
      <c r="L155" s="338"/>
      <c r="M155" s="339"/>
      <c r="N155" s="339"/>
      <c r="O155" s="339"/>
      <c r="P155" s="339"/>
      <c r="Q155" s="339"/>
      <c r="R155" s="340"/>
      <c r="S155" s="341"/>
      <c r="T155" s="338"/>
      <c r="U155" s="338"/>
      <c r="V155" s="338"/>
      <c r="W155" s="338"/>
      <c r="X155" s="338"/>
      <c r="Y155" s="338"/>
      <c r="Z155" s="339"/>
      <c r="AA155" s="339"/>
      <c r="AB155" s="339"/>
      <c r="AC155" s="339"/>
      <c r="AD155" s="339"/>
      <c r="AE155" s="339"/>
      <c r="AF155" s="339"/>
      <c r="AG155" s="339"/>
      <c r="AH155" s="338"/>
    </row>
    <row r="156" spans="3:34" x14ac:dyDescent="0.2">
      <c r="C156" s="338"/>
      <c r="D156" s="338"/>
      <c r="E156" s="338"/>
      <c r="F156" s="338"/>
      <c r="G156" s="338"/>
      <c r="H156" s="338"/>
      <c r="I156" s="338"/>
      <c r="J156" s="338"/>
      <c r="K156" s="338"/>
      <c r="L156" s="338"/>
      <c r="M156" s="339"/>
      <c r="N156" s="339"/>
      <c r="O156" s="339"/>
      <c r="P156" s="339"/>
      <c r="Q156" s="339"/>
      <c r="R156" s="340"/>
      <c r="S156" s="341"/>
      <c r="T156" s="338"/>
      <c r="U156" s="338"/>
      <c r="V156" s="338"/>
      <c r="W156" s="338"/>
      <c r="X156" s="338"/>
      <c r="Y156" s="338"/>
      <c r="Z156" s="339"/>
      <c r="AA156" s="339"/>
      <c r="AB156" s="339"/>
      <c r="AC156" s="339"/>
      <c r="AD156" s="339"/>
      <c r="AE156" s="339"/>
      <c r="AF156" s="339"/>
      <c r="AG156" s="339"/>
      <c r="AH156" s="338"/>
    </row>
    <row r="157" spans="3:34" x14ac:dyDescent="0.2">
      <c r="C157" s="338"/>
      <c r="D157" s="338"/>
      <c r="E157" s="338"/>
      <c r="F157" s="338"/>
      <c r="G157" s="338"/>
      <c r="H157" s="338"/>
      <c r="I157" s="338"/>
      <c r="J157" s="338"/>
      <c r="K157" s="338"/>
      <c r="L157" s="338"/>
      <c r="M157" s="339"/>
      <c r="N157" s="339"/>
      <c r="O157" s="339"/>
      <c r="P157" s="339"/>
      <c r="Q157" s="339"/>
      <c r="R157" s="340"/>
      <c r="S157" s="341"/>
      <c r="T157" s="338"/>
      <c r="U157" s="338"/>
      <c r="V157" s="338"/>
      <c r="W157" s="338"/>
      <c r="X157" s="338"/>
      <c r="Y157" s="338"/>
      <c r="Z157" s="339"/>
      <c r="AA157" s="339"/>
      <c r="AB157" s="339"/>
      <c r="AC157" s="339"/>
      <c r="AD157" s="339"/>
      <c r="AE157" s="339"/>
      <c r="AF157" s="339"/>
      <c r="AG157" s="339"/>
      <c r="AH157" s="338"/>
    </row>
    <row r="158" spans="3:34" x14ac:dyDescent="0.2">
      <c r="C158" s="338"/>
      <c r="D158" s="338"/>
      <c r="E158" s="338"/>
      <c r="F158" s="338"/>
      <c r="G158" s="338"/>
      <c r="H158" s="338"/>
      <c r="I158" s="338"/>
      <c r="J158" s="338"/>
      <c r="K158" s="338"/>
      <c r="L158" s="338"/>
      <c r="M158" s="339"/>
      <c r="N158" s="339"/>
      <c r="O158" s="339"/>
      <c r="P158" s="339"/>
      <c r="Q158" s="339"/>
      <c r="R158" s="340"/>
      <c r="S158" s="341"/>
      <c r="T158" s="338"/>
      <c r="U158" s="338"/>
      <c r="V158" s="338"/>
      <c r="W158" s="338"/>
      <c r="X158" s="338"/>
      <c r="Y158" s="338"/>
      <c r="Z158" s="339"/>
      <c r="AA158" s="339"/>
      <c r="AB158" s="339"/>
      <c r="AC158" s="339"/>
      <c r="AD158" s="339"/>
      <c r="AE158" s="339"/>
      <c r="AF158" s="339"/>
      <c r="AG158" s="339"/>
      <c r="AH158" s="338"/>
    </row>
    <row r="159" spans="3:34" x14ac:dyDescent="0.2">
      <c r="C159" s="338"/>
      <c r="D159" s="338"/>
      <c r="E159" s="338"/>
      <c r="F159" s="338"/>
      <c r="G159" s="338"/>
      <c r="H159" s="338"/>
      <c r="I159" s="338"/>
      <c r="J159" s="338"/>
      <c r="K159" s="338"/>
      <c r="L159" s="338"/>
      <c r="M159" s="339"/>
      <c r="N159" s="339"/>
      <c r="O159" s="339"/>
      <c r="P159" s="339"/>
      <c r="Q159" s="339"/>
      <c r="R159" s="340"/>
      <c r="S159" s="341"/>
      <c r="T159" s="338"/>
      <c r="U159" s="338"/>
      <c r="V159" s="338"/>
      <c r="W159" s="338"/>
      <c r="X159" s="338"/>
      <c r="Y159" s="338"/>
      <c r="Z159" s="339"/>
      <c r="AA159" s="339"/>
      <c r="AB159" s="339"/>
      <c r="AC159" s="339"/>
      <c r="AD159" s="339"/>
      <c r="AE159" s="339"/>
      <c r="AF159" s="339"/>
      <c r="AG159" s="339"/>
      <c r="AH159" s="338"/>
    </row>
    <row r="160" spans="3:34" x14ac:dyDescent="0.2">
      <c r="C160" s="338"/>
      <c r="D160" s="338"/>
      <c r="E160" s="338"/>
      <c r="F160" s="338"/>
      <c r="G160" s="338"/>
      <c r="H160" s="338"/>
      <c r="I160" s="338"/>
      <c r="J160" s="338"/>
      <c r="K160" s="338"/>
      <c r="L160" s="338"/>
      <c r="M160" s="339"/>
      <c r="N160" s="339"/>
      <c r="O160" s="339"/>
      <c r="P160" s="339"/>
      <c r="Q160" s="339"/>
      <c r="R160" s="340"/>
      <c r="S160" s="341"/>
      <c r="T160" s="338"/>
      <c r="U160" s="338"/>
      <c r="V160" s="338"/>
      <c r="W160" s="338"/>
      <c r="X160" s="338"/>
      <c r="Y160" s="338"/>
      <c r="Z160" s="339"/>
      <c r="AA160" s="339"/>
      <c r="AB160" s="339"/>
      <c r="AC160" s="339"/>
      <c r="AD160" s="339"/>
      <c r="AE160" s="339"/>
      <c r="AF160" s="339"/>
      <c r="AG160" s="339"/>
      <c r="AH160" s="338"/>
    </row>
    <row r="161" spans="3:34" x14ac:dyDescent="0.2">
      <c r="C161" s="338"/>
      <c r="D161" s="338"/>
      <c r="E161" s="338"/>
      <c r="F161" s="338"/>
      <c r="G161" s="338"/>
      <c r="H161" s="338"/>
      <c r="I161" s="338"/>
      <c r="J161" s="338"/>
      <c r="K161" s="338"/>
      <c r="L161" s="338"/>
      <c r="M161" s="339"/>
      <c r="N161" s="339"/>
      <c r="O161" s="339"/>
      <c r="P161" s="339"/>
      <c r="Q161" s="339"/>
      <c r="R161" s="340"/>
      <c r="S161" s="341"/>
      <c r="T161" s="338"/>
      <c r="U161" s="338"/>
      <c r="V161" s="338"/>
      <c r="W161" s="338"/>
      <c r="X161" s="338"/>
      <c r="Y161" s="338"/>
      <c r="Z161" s="339"/>
      <c r="AA161" s="339"/>
      <c r="AB161" s="339"/>
      <c r="AC161" s="339"/>
      <c r="AD161" s="339"/>
      <c r="AE161" s="339"/>
      <c r="AF161" s="339"/>
      <c r="AG161" s="339"/>
      <c r="AH161" s="338"/>
    </row>
    <row r="162" spans="3:34" x14ac:dyDescent="0.2">
      <c r="C162" s="338"/>
      <c r="D162" s="338"/>
      <c r="E162" s="338"/>
      <c r="F162" s="338"/>
      <c r="G162" s="338"/>
      <c r="H162" s="338"/>
      <c r="I162" s="338"/>
      <c r="J162" s="338"/>
      <c r="K162" s="338"/>
      <c r="L162" s="338"/>
      <c r="M162" s="339"/>
      <c r="N162" s="339"/>
      <c r="O162" s="339"/>
      <c r="P162" s="339"/>
      <c r="Q162" s="339"/>
      <c r="R162" s="340"/>
      <c r="S162" s="341"/>
      <c r="T162" s="338"/>
      <c r="U162" s="338"/>
      <c r="V162" s="338"/>
      <c r="W162" s="338"/>
      <c r="X162" s="338"/>
      <c r="Y162" s="338"/>
      <c r="Z162" s="339"/>
      <c r="AA162" s="339"/>
      <c r="AB162" s="339"/>
      <c r="AC162" s="339"/>
      <c r="AD162" s="339"/>
      <c r="AE162" s="339"/>
      <c r="AF162" s="339"/>
      <c r="AG162" s="339"/>
      <c r="AH162" s="338"/>
    </row>
    <row r="163" spans="3:34" x14ac:dyDescent="0.2">
      <c r="C163" s="338"/>
      <c r="D163" s="338"/>
      <c r="E163" s="338"/>
      <c r="F163" s="338"/>
      <c r="G163" s="338"/>
      <c r="H163" s="338"/>
      <c r="I163" s="338"/>
      <c r="J163" s="338"/>
      <c r="K163" s="338"/>
      <c r="L163" s="338"/>
      <c r="M163" s="339"/>
      <c r="N163" s="339"/>
      <c r="O163" s="339"/>
      <c r="P163" s="339"/>
      <c r="Q163" s="339"/>
      <c r="R163" s="340"/>
      <c r="S163" s="341"/>
      <c r="T163" s="338"/>
      <c r="U163" s="338"/>
      <c r="V163" s="338"/>
      <c r="W163" s="338"/>
      <c r="X163" s="338"/>
      <c r="Y163" s="338"/>
      <c r="Z163" s="339"/>
      <c r="AA163" s="339"/>
      <c r="AB163" s="339"/>
      <c r="AC163" s="339"/>
      <c r="AD163" s="339"/>
      <c r="AE163" s="339"/>
      <c r="AF163" s="339"/>
      <c r="AG163" s="339"/>
      <c r="AH163" s="338"/>
    </row>
    <row r="164" spans="3:34" x14ac:dyDescent="0.2">
      <c r="C164" s="338"/>
      <c r="D164" s="338"/>
      <c r="E164" s="338"/>
      <c r="F164" s="338"/>
      <c r="G164" s="338"/>
      <c r="H164" s="338"/>
      <c r="I164" s="338"/>
      <c r="J164" s="338"/>
      <c r="K164" s="338"/>
      <c r="L164" s="338"/>
      <c r="M164" s="339"/>
      <c r="N164" s="339"/>
      <c r="O164" s="339"/>
      <c r="P164" s="339"/>
      <c r="Q164" s="339"/>
      <c r="R164" s="340"/>
      <c r="S164" s="341"/>
      <c r="T164" s="338"/>
      <c r="U164" s="338"/>
      <c r="V164" s="338"/>
      <c r="W164" s="338"/>
      <c r="X164" s="338"/>
      <c r="Y164" s="338"/>
      <c r="Z164" s="339"/>
      <c r="AA164" s="339"/>
      <c r="AB164" s="339"/>
      <c r="AC164" s="339"/>
      <c r="AD164" s="339"/>
      <c r="AE164" s="339"/>
      <c r="AF164" s="339"/>
      <c r="AG164" s="339"/>
      <c r="AH164" s="338"/>
    </row>
    <row r="165" spans="3:34" x14ac:dyDescent="0.2">
      <c r="C165" s="338"/>
      <c r="D165" s="338"/>
      <c r="E165" s="338"/>
      <c r="F165" s="338"/>
      <c r="G165" s="338"/>
      <c r="H165" s="338"/>
      <c r="I165" s="338"/>
      <c r="J165" s="338"/>
      <c r="K165" s="338"/>
      <c r="L165" s="338"/>
      <c r="M165" s="339"/>
      <c r="N165" s="339"/>
      <c r="O165" s="339"/>
      <c r="P165" s="339"/>
      <c r="Q165" s="339"/>
      <c r="R165" s="340"/>
      <c r="S165" s="341"/>
      <c r="T165" s="338"/>
      <c r="U165" s="338"/>
      <c r="V165" s="338"/>
      <c r="W165" s="338"/>
      <c r="X165" s="338"/>
      <c r="Y165" s="338"/>
      <c r="Z165" s="339"/>
      <c r="AA165" s="339"/>
      <c r="AB165" s="339"/>
      <c r="AC165" s="339"/>
      <c r="AD165" s="339"/>
      <c r="AE165" s="339"/>
      <c r="AF165" s="339"/>
      <c r="AG165" s="339"/>
      <c r="AH165" s="338"/>
    </row>
    <row r="166" spans="3:34" x14ac:dyDescent="0.2">
      <c r="C166" s="338"/>
      <c r="D166" s="338"/>
      <c r="E166" s="338"/>
      <c r="F166" s="338"/>
      <c r="G166" s="338"/>
      <c r="H166" s="338"/>
      <c r="I166" s="338"/>
      <c r="J166" s="338"/>
      <c r="K166" s="338"/>
      <c r="L166" s="338"/>
      <c r="M166" s="339"/>
      <c r="N166" s="339"/>
      <c r="O166" s="339"/>
      <c r="P166" s="339"/>
      <c r="Q166" s="339"/>
      <c r="R166" s="340"/>
      <c r="S166" s="341"/>
      <c r="T166" s="338"/>
      <c r="U166" s="338"/>
      <c r="V166" s="338"/>
      <c r="W166" s="338"/>
      <c r="X166" s="338"/>
      <c r="Y166" s="338"/>
      <c r="Z166" s="339"/>
      <c r="AA166" s="339"/>
      <c r="AB166" s="339"/>
      <c r="AC166" s="339"/>
      <c r="AD166" s="339"/>
      <c r="AE166" s="339"/>
      <c r="AF166" s="339"/>
      <c r="AG166" s="339"/>
      <c r="AH166" s="338"/>
    </row>
    <row r="167" spans="3:34" x14ac:dyDescent="0.2">
      <c r="C167" s="338"/>
      <c r="D167" s="338"/>
      <c r="E167" s="338"/>
      <c r="F167" s="338"/>
      <c r="G167" s="338"/>
      <c r="H167" s="338"/>
      <c r="I167" s="338"/>
      <c r="J167" s="338"/>
      <c r="K167" s="338"/>
      <c r="L167" s="338"/>
      <c r="M167" s="339"/>
      <c r="N167" s="339"/>
      <c r="O167" s="339"/>
      <c r="P167" s="339"/>
      <c r="Q167" s="339"/>
      <c r="R167" s="340"/>
      <c r="S167" s="341"/>
      <c r="T167" s="338"/>
      <c r="U167" s="338"/>
      <c r="V167" s="338"/>
      <c r="W167" s="338"/>
      <c r="X167" s="338"/>
      <c r="Y167" s="338"/>
      <c r="Z167" s="339"/>
      <c r="AA167" s="339"/>
      <c r="AB167" s="339"/>
      <c r="AC167" s="339"/>
      <c r="AD167" s="339"/>
      <c r="AE167" s="339"/>
      <c r="AF167" s="339"/>
      <c r="AG167" s="339"/>
      <c r="AH167" s="338"/>
    </row>
    <row r="168" spans="3:34" x14ac:dyDescent="0.2">
      <c r="C168" s="338"/>
      <c r="D168" s="338"/>
      <c r="E168" s="338"/>
      <c r="F168" s="338"/>
      <c r="G168" s="338"/>
      <c r="H168" s="338"/>
      <c r="I168" s="338"/>
      <c r="J168" s="338"/>
      <c r="K168" s="338"/>
      <c r="L168" s="338"/>
      <c r="M168" s="339"/>
      <c r="N168" s="339"/>
      <c r="O168" s="339"/>
      <c r="P168" s="339"/>
      <c r="Q168" s="339"/>
      <c r="R168" s="340"/>
      <c r="S168" s="341"/>
      <c r="T168" s="338"/>
      <c r="U168" s="338"/>
      <c r="V168" s="338"/>
      <c r="W168" s="338"/>
      <c r="X168" s="338"/>
      <c r="Y168" s="338"/>
      <c r="Z168" s="339"/>
      <c r="AA168" s="339"/>
      <c r="AB168" s="339"/>
      <c r="AC168" s="339"/>
      <c r="AD168" s="339"/>
      <c r="AE168" s="339"/>
      <c r="AF168" s="339"/>
      <c r="AG168" s="339"/>
      <c r="AH168" s="338"/>
    </row>
    <row r="169" spans="3:34" x14ac:dyDescent="0.2">
      <c r="C169" s="338"/>
      <c r="D169" s="338"/>
      <c r="E169" s="338"/>
      <c r="F169" s="338"/>
      <c r="G169" s="338"/>
      <c r="H169" s="338"/>
      <c r="I169" s="338"/>
      <c r="J169" s="338"/>
      <c r="K169" s="338"/>
      <c r="L169" s="338"/>
      <c r="M169" s="339"/>
      <c r="N169" s="339"/>
      <c r="O169" s="339"/>
      <c r="P169" s="339"/>
      <c r="Q169" s="339"/>
      <c r="R169" s="340"/>
      <c r="S169" s="341"/>
      <c r="T169" s="338"/>
      <c r="U169" s="338"/>
      <c r="V169" s="338"/>
      <c r="W169" s="338"/>
      <c r="X169" s="338"/>
      <c r="Y169" s="338"/>
      <c r="Z169" s="339"/>
      <c r="AA169" s="339"/>
      <c r="AB169" s="339"/>
      <c r="AC169" s="339"/>
      <c r="AD169" s="339"/>
      <c r="AE169" s="339"/>
      <c r="AF169" s="339"/>
      <c r="AG169" s="339"/>
      <c r="AH169" s="338"/>
    </row>
    <row r="170" spans="3:34" x14ac:dyDescent="0.2">
      <c r="C170" s="338"/>
      <c r="D170" s="338"/>
      <c r="E170" s="338"/>
      <c r="F170" s="338"/>
      <c r="G170" s="338"/>
      <c r="H170" s="338"/>
      <c r="I170" s="338"/>
      <c r="J170" s="338"/>
      <c r="K170" s="338"/>
      <c r="L170" s="338"/>
      <c r="M170" s="339"/>
      <c r="N170" s="339"/>
      <c r="O170" s="339"/>
      <c r="P170" s="339"/>
      <c r="Q170" s="339"/>
      <c r="R170" s="340"/>
      <c r="S170" s="341"/>
      <c r="T170" s="338"/>
      <c r="U170" s="338"/>
      <c r="V170" s="338"/>
      <c r="W170" s="338"/>
      <c r="X170" s="338"/>
      <c r="Y170" s="338"/>
      <c r="Z170" s="339"/>
      <c r="AA170" s="339"/>
      <c r="AB170" s="339"/>
      <c r="AC170" s="339"/>
      <c r="AD170" s="339"/>
      <c r="AE170" s="339"/>
      <c r="AF170" s="339"/>
      <c r="AG170" s="339"/>
      <c r="AH170" s="338"/>
    </row>
    <row r="171" spans="3:34" x14ac:dyDescent="0.2">
      <c r="C171" s="338"/>
      <c r="D171" s="338"/>
      <c r="E171" s="338"/>
      <c r="F171" s="338"/>
      <c r="G171" s="338"/>
      <c r="H171" s="338"/>
      <c r="I171" s="338"/>
      <c r="J171" s="338"/>
      <c r="K171" s="338"/>
      <c r="L171" s="338"/>
      <c r="M171" s="339"/>
      <c r="N171" s="339"/>
      <c r="O171" s="339"/>
      <c r="P171" s="339"/>
      <c r="Q171" s="339"/>
      <c r="R171" s="340"/>
      <c r="S171" s="341"/>
      <c r="T171" s="338"/>
      <c r="U171" s="338"/>
      <c r="V171" s="338"/>
      <c r="W171" s="338"/>
      <c r="X171" s="338"/>
      <c r="Y171" s="338"/>
      <c r="Z171" s="339"/>
      <c r="AA171" s="339"/>
      <c r="AB171" s="339"/>
      <c r="AC171" s="339"/>
      <c r="AD171" s="339"/>
      <c r="AE171" s="339"/>
      <c r="AF171" s="339"/>
      <c r="AG171" s="339"/>
      <c r="AH171" s="338"/>
    </row>
    <row r="172" spans="3:34" x14ac:dyDescent="0.2">
      <c r="C172" s="338"/>
      <c r="D172" s="338"/>
      <c r="E172" s="338"/>
      <c r="F172" s="338"/>
      <c r="G172" s="338"/>
      <c r="H172" s="338"/>
      <c r="I172" s="338"/>
      <c r="J172" s="338"/>
      <c r="K172" s="338"/>
      <c r="L172" s="338"/>
      <c r="M172" s="339"/>
      <c r="N172" s="339"/>
      <c r="O172" s="339"/>
      <c r="P172" s="339"/>
      <c r="Q172" s="339"/>
      <c r="R172" s="340"/>
      <c r="S172" s="341"/>
      <c r="T172" s="338"/>
      <c r="U172" s="338"/>
      <c r="V172" s="338"/>
      <c r="W172" s="338"/>
      <c r="X172" s="338"/>
      <c r="Y172" s="338"/>
      <c r="Z172" s="339"/>
      <c r="AA172" s="339"/>
      <c r="AB172" s="339"/>
      <c r="AC172" s="339"/>
      <c r="AD172" s="339"/>
      <c r="AE172" s="339"/>
      <c r="AF172" s="339"/>
      <c r="AG172" s="339"/>
      <c r="AH172" s="338"/>
    </row>
    <row r="173" spans="3:34" x14ac:dyDescent="0.2">
      <c r="C173" s="338"/>
      <c r="D173" s="338"/>
      <c r="E173" s="338"/>
      <c r="F173" s="338"/>
      <c r="G173" s="338"/>
      <c r="H173" s="338"/>
      <c r="I173" s="338"/>
      <c r="J173" s="338"/>
      <c r="K173" s="338"/>
      <c r="L173" s="338"/>
      <c r="M173" s="339"/>
      <c r="N173" s="339"/>
      <c r="O173" s="339"/>
      <c r="P173" s="339"/>
      <c r="Q173" s="339"/>
      <c r="R173" s="340"/>
      <c r="S173" s="341"/>
      <c r="T173" s="338"/>
      <c r="U173" s="338"/>
      <c r="V173" s="338"/>
      <c r="W173" s="338"/>
      <c r="X173" s="338"/>
      <c r="Y173" s="338"/>
      <c r="Z173" s="339"/>
      <c r="AA173" s="339"/>
      <c r="AB173" s="339"/>
      <c r="AC173" s="339"/>
      <c r="AD173" s="339"/>
      <c r="AE173" s="339"/>
      <c r="AF173" s="339"/>
      <c r="AG173" s="339"/>
      <c r="AH173" s="338"/>
    </row>
    <row r="174" spans="3:34" x14ac:dyDescent="0.2">
      <c r="C174" s="338"/>
      <c r="D174" s="338"/>
      <c r="E174" s="338"/>
      <c r="F174" s="338"/>
      <c r="G174" s="338"/>
      <c r="H174" s="338"/>
      <c r="I174" s="338"/>
      <c r="J174" s="338"/>
      <c r="K174" s="338"/>
      <c r="L174" s="338"/>
      <c r="M174" s="339"/>
      <c r="N174" s="339"/>
      <c r="O174" s="339"/>
      <c r="P174" s="339"/>
      <c r="Q174" s="339"/>
      <c r="R174" s="340"/>
      <c r="S174" s="341"/>
      <c r="T174" s="338"/>
      <c r="U174" s="338"/>
      <c r="V174" s="338"/>
      <c r="W174" s="338"/>
      <c r="X174" s="338"/>
      <c r="Y174" s="338"/>
      <c r="Z174" s="339"/>
      <c r="AA174" s="339"/>
      <c r="AB174" s="339"/>
      <c r="AC174" s="339"/>
      <c r="AD174" s="339"/>
      <c r="AE174" s="339"/>
      <c r="AF174" s="339"/>
      <c r="AG174" s="339"/>
      <c r="AH174" s="338"/>
    </row>
    <row r="175" spans="3:34" x14ac:dyDescent="0.2">
      <c r="C175" s="338"/>
      <c r="D175" s="338"/>
      <c r="E175" s="338"/>
      <c r="F175" s="338"/>
      <c r="G175" s="338"/>
      <c r="H175" s="338"/>
      <c r="I175" s="338"/>
      <c r="J175" s="338"/>
      <c r="K175" s="338"/>
      <c r="L175" s="338"/>
      <c r="M175" s="339"/>
      <c r="N175" s="339"/>
      <c r="O175" s="339"/>
      <c r="P175" s="339"/>
      <c r="Q175" s="339"/>
      <c r="R175" s="340"/>
      <c r="S175" s="341"/>
      <c r="T175" s="338"/>
      <c r="U175" s="338"/>
      <c r="V175" s="338"/>
      <c r="W175" s="338"/>
      <c r="X175" s="338"/>
      <c r="Y175" s="338"/>
      <c r="Z175" s="339"/>
      <c r="AA175" s="339"/>
      <c r="AB175" s="339"/>
      <c r="AC175" s="339"/>
      <c r="AD175" s="339"/>
      <c r="AE175" s="339"/>
      <c r="AF175" s="339"/>
      <c r="AG175" s="339"/>
      <c r="AH175" s="338"/>
    </row>
    <row r="176" spans="3:34" x14ac:dyDescent="0.2">
      <c r="C176" s="338"/>
      <c r="D176" s="338"/>
      <c r="E176" s="338"/>
      <c r="F176" s="338"/>
      <c r="G176" s="338"/>
      <c r="H176" s="338"/>
      <c r="I176" s="338"/>
      <c r="J176" s="338"/>
      <c r="K176" s="338"/>
      <c r="L176" s="338"/>
      <c r="M176" s="339"/>
      <c r="N176" s="339"/>
      <c r="O176" s="339"/>
      <c r="P176" s="339"/>
      <c r="Q176" s="339"/>
      <c r="R176" s="340"/>
      <c r="S176" s="341"/>
      <c r="T176" s="338"/>
      <c r="U176" s="338"/>
      <c r="V176" s="338"/>
      <c r="W176" s="338"/>
      <c r="X176" s="338"/>
      <c r="Y176" s="338"/>
      <c r="Z176" s="339"/>
      <c r="AA176" s="339"/>
      <c r="AB176" s="339"/>
      <c r="AC176" s="339"/>
      <c r="AD176" s="339"/>
      <c r="AE176" s="339"/>
      <c r="AF176" s="339"/>
      <c r="AG176" s="339"/>
      <c r="AH176" s="338"/>
    </row>
    <row r="177" spans="3:34" x14ac:dyDescent="0.2">
      <c r="C177" s="338"/>
      <c r="D177" s="338"/>
      <c r="E177" s="338"/>
      <c r="F177" s="338"/>
      <c r="G177" s="338"/>
      <c r="H177" s="338"/>
      <c r="I177" s="338"/>
      <c r="J177" s="338"/>
      <c r="K177" s="338"/>
      <c r="L177" s="338"/>
      <c r="M177" s="339"/>
      <c r="N177" s="339"/>
      <c r="O177" s="339"/>
      <c r="P177" s="339"/>
      <c r="Q177" s="339"/>
      <c r="R177" s="340"/>
      <c r="S177" s="341"/>
      <c r="T177" s="338"/>
      <c r="U177" s="338"/>
      <c r="V177" s="338"/>
      <c r="W177" s="338"/>
      <c r="X177" s="338"/>
      <c r="Y177" s="338"/>
      <c r="Z177" s="339"/>
      <c r="AA177" s="339"/>
      <c r="AB177" s="339"/>
      <c r="AC177" s="339"/>
      <c r="AD177" s="339"/>
      <c r="AE177" s="339"/>
      <c r="AF177" s="339"/>
      <c r="AG177" s="339"/>
      <c r="AH177" s="338"/>
    </row>
    <row r="178" spans="3:34" x14ac:dyDescent="0.2">
      <c r="C178" s="338"/>
      <c r="D178" s="338"/>
      <c r="E178" s="338"/>
      <c r="F178" s="338"/>
      <c r="G178" s="338"/>
      <c r="H178" s="338"/>
      <c r="I178" s="338"/>
      <c r="J178" s="338"/>
      <c r="K178" s="338"/>
      <c r="L178" s="338"/>
      <c r="M178" s="339"/>
      <c r="N178" s="339"/>
      <c r="O178" s="339"/>
      <c r="P178" s="339"/>
      <c r="Q178" s="339"/>
      <c r="R178" s="340"/>
      <c r="S178" s="341"/>
      <c r="T178" s="338"/>
      <c r="U178" s="338"/>
      <c r="V178" s="338"/>
      <c r="W178" s="338"/>
      <c r="X178" s="338"/>
      <c r="Y178" s="338"/>
      <c r="Z178" s="339"/>
      <c r="AA178" s="339"/>
      <c r="AB178" s="339"/>
      <c r="AC178" s="339"/>
      <c r="AD178" s="339"/>
      <c r="AE178" s="339"/>
      <c r="AF178" s="339"/>
      <c r="AG178" s="339"/>
      <c r="AH178" s="338"/>
    </row>
    <row r="179" spans="3:34" x14ac:dyDescent="0.2">
      <c r="C179" s="338"/>
      <c r="D179" s="338"/>
      <c r="E179" s="338"/>
      <c r="F179" s="338"/>
      <c r="G179" s="338"/>
      <c r="H179" s="338"/>
      <c r="I179" s="338"/>
      <c r="J179" s="338"/>
      <c r="K179" s="338"/>
      <c r="L179" s="338"/>
      <c r="M179" s="339"/>
      <c r="N179" s="339"/>
      <c r="O179" s="339"/>
      <c r="P179" s="339"/>
      <c r="Q179" s="339"/>
      <c r="R179" s="340"/>
      <c r="S179" s="341"/>
      <c r="T179" s="338"/>
      <c r="U179" s="338"/>
      <c r="V179" s="338"/>
      <c r="W179" s="338"/>
      <c r="X179" s="338"/>
      <c r="Y179" s="338"/>
      <c r="Z179" s="339"/>
      <c r="AA179" s="339"/>
      <c r="AB179" s="339"/>
      <c r="AC179" s="339"/>
      <c r="AD179" s="339"/>
      <c r="AE179" s="339"/>
      <c r="AF179" s="339"/>
      <c r="AG179" s="339"/>
      <c r="AH179" s="338"/>
    </row>
    <row r="180" spans="3:34" x14ac:dyDescent="0.2">
      <c r="C180" s="338"/>
      <c r="D180" s="338"/>
      <c r="E180" s="338"/>
      <c r="F180" s="338"/>
      <c r="G180" s="338"/>
      <c r="H180" s="338"/>
      <c r="I180" s="338"/>
      <c r="J180" s="338"/>
      <c r="K180" s="338"/>
      <c r="L180" s="338"/>
      <c r="M180" s="339"/>
      <c r="N180" s="339"/>
      <c r="O180" s="339"/>
      <c r="P180" s="339"/>
      <c r="Q180" s="339"/>
      <c r="R180" s="340"/>
      <c r="S180" s="341"/>
      <c r="T180" s="338"/>
      <c r="U180" s="338"/>
      <c r="V180" s="338"/>
      <c r="W180" s="338"/>
      <c r="X180" s="338"/>
      <c r="Y180" s="338"/>
      <c r="Z180" s="339"/>
      <c r="AA180" s="339"/>
      <c r="AB180" s="339"/>
      <c r="AC180" s="339"/>
      <c r="AD180" s="339"/>
      <c r="AE180" s="339"/>
      <c r="AF180" s="339"/>
      <c r="AG180" s="339"/>
      <c r="AH180" s="338"/>
    </row>
    <row r="181" spans="3:34" x14ac:dyDescent="0.2">
      <c r="C181" s="338"/>
      <c r="D181" s="338"/>
      <c r="E181" s="338"/>
      <c r="F181" s="338"/>
      <c r="G181" s="338"/>
      <c r="H181" s="338"/>
      <c r="I181" s="338"/>
      <c r="J181" s="338"/>
      <c r="K181" s="338"/>
      <c r="L181" s="338"/>
      <c r="M181" s="339"/>
      <c r="N181" s="339"/>
      <c r="O181" s="339"/>
      <c r="P181" s="339"/>
      <c r="Q181" s="339"/>
      <c r="R181" s="340"/>
      <c r="S181" s="341"/>
      <c r="T181" s="338"/>
      <c r="U181" s="338"/>
      <c r="V181" s="338"/>
      <c r="W181" s="338"/>
      <c r="X181" s="338"/>
      <c r="Y181" s="338"/>
      <c r="Z181" s="339"/>
      <c r="AA181" s="339"/>
      <c r="AB181" s="339"/>
      <c r="AC181" s="339"/>
      <c r="AD181" s="339"/>
      <c r="AE181" s="339"/>
      <c r="AF181" s="339"/>
      <c r="AG181" s="339"/>
      <c r="AH181" s="338"/>
    </row>
    <row r="182" spans="3:34" x14ac:dyDescent="0.2">
      <c r="C182" s="338"/>
      <c r="D182" s="338"/>
      <c r="E182" s="338"/>
      <c r="F182" s="338"/>
      <c r="G182" s="338"/>
      <c r="H182" s="338"/>
      <c r="I182" s="338"/>
      <c r="J182" s="338"/>
      <c r="K182" s="338"/>
      <c r="L182" s="338"/>
      <c r="M182" s="339"/>
      <c r="N182" s="339"/>
      <c r="O182" s="339"/>
      <c r="P182" s="339"/>
      <c r="Q182" s="339"/>
      <c r="R182" s="340"/>
      <c r="S182" s="341"/>
      <c r="T182" s="338"/>
      <c r="U182" s="338"/>
      <c r="V182" s="338"/>
      <c r="W182" s="338"/>
      <c r="X182" s="338"/>
      <c r="Y182" s="338"/>
      <c r="Z182" s="339"/>
      <c r="AA182" s="339"/>
      <c r="AB182" s="339"/>
      <c r="AC182" s="339"/>
      <c r="AD182" s="339"/>
      <c r="AE182" s="339"/>
      <c r="AF182" s="339"/>
      <c r="AG182" s="339"/>
      <c r="AH182" s="338"/>
    </row>
    <row r="183" spans="3:34" x14ac:dyDescent="0.2">
      <c r="C183" s="338"/>
      <c r="D183" s="338"/>
      <c r="E183" s="338"/>
      <c r="F183" s="338"/>
      <c r="G183" s="338"/>
      <c r="H183" s="338"/>
      <c r="I183" s="338"/>
      <c r="J183" s="338"/>
      <c r="K183" s="338"/>
      <c r="L183" s="338"/>
      <c r="M183" s="339"/>
      <c r="N183" s="339"/>
      <c r="O183" s="339"/>
      <c r="P183" s="339"/>
      <c r="Q183" s="339"/>
      <c r="R183" s="340"/>
      <c r="S183" s="341"/>
      <c r="T183" s="338"/>
      <c r="U183" s="338"/>
      <c r="V183" s="338"/>
      <c r="W183" s="338"/>
      <c r="X183" s="338"/>
      <c r="Y183" s="338"/>
      <c r="Z183" s="339"/>
      <c r="AA183" s="339"/>
      <c r="AB183" s="339"/>
      <c r="AC183" s="339"/>
      <c r="AD183" s="339"/>
      <c r="AE183" s="339"/>
      <c r="AF183" s="339"/>
      <c r="AG183" s="339"/>
      <c r="AH183" s="338"/>
    </row>
    <row r="184" spans="3:34" x14ac:dyDescent="0.2">
      <c r="C184" s="338"/>
      <c r="D184" s="338"/>
      <c r="E184" s="338"/>
      <c r="F184" s="338"/>
      <c r="G184" s="338"/>
      <c r="H184" s="338"/>
      <c r="I184" s="338"/>
      <c r="J184" s="338"/>
      <c r="K184" s="338"/>
      <c r="L184" s="338"/>
      <c r="M184" s="339"/>
      <c r="N184" s="339"/>
      <c r="O184" s="339"/>
      <c r="P184" s="339"/>
      <c r="Q184" s="339"/>
      <c r="R184" s="340"/>
      <c r="S184" s="341"/>
      <c r="T184" s="338"/>
      <c r="U184" s="338"/>
      <c r="V184" s="338"/>
      <c r="W184" s="338"/>
      <c r="X184" s="338"/>
      <c r="Y184" s="338"/>
      <c r="Z184" s="339"/>
      <c r="AA184" s="339"/>
      <c r="AB184" s="339"/>
      <c r="AC184" s="339"/>
      <c r="AD184" s="339"/>
      <c r="AE184" s="339"/>
      <c r="AF184" s="339"/>
      <c r="AG184" s="339"/>
      <c r="AH184" s="338"/>
    </row>
    <row r="185" spans="3:34" x14ac:dyDescent="0.2">
      <c r="C185" s="338"/>
      <c r="D185" s="338"/>
      <c r="E185" s="338"/>
      <c r="F185" s="338"/>
      <c r="G185" s="338"/>
      <c r="H185" s="338"/>
      <c r="I185" s="338"/>
      <c r="J185" s="338"/>
      <c r="K185" s="338"/>
      <c r="L185" s="338"/>
      <c r="M185" s="339"/>
      <c r="N185" s="339"/>
      <c r="O185" s="339"/>
      <c r="P185" s="339"/>
      <c r="Q185" s="339"/>
      <c r="R185" s="340"/>
      <c r="S185" s="341"/>
      <c r="T185" s="338"/>
      <c r="U185" s="338"/>
      <c r="V185" s="338"/>
      <c r="W185" s="338"/>
      <c r="X185" s="338"/>
      <c r="Y185" s="338"/>
      <c r="Z185" s="339"/>
      <c r="AA185" s="339"/>
      <c r="AB185" s="339"/>
      <c r="AC185" s="339"/>
      <c r="AD185" s="339"/>
      <c r="AE185" s="339"/>
      <c r="AF185" s="339"/>
      <c r="AG185" s="339"/>
      <c r="AH185" s="338"/>
    </row>
    <row r="186" spans="3:34" x14ac:dyDescent="0.2">
      <c r="C186" s="338"/>
      <c r="D186" s="338"/>
      <c r="E186" s="338"/>
      <c r="F186" s="338"/>
      <c r="G186" s="338"/>
      <c r="H186" s="338"/>
      <c r="I186" s="338"/>
      <c r="J186" s="338"/>
      <c r="K186" s="338"/>
      <c r="L186" s="338"/>
      <c r="M186" s="339"/>
      <c r="N186" s="339"/>
      <c r="O186" s="339"/>
      <c r="P186" s="339"/>
      <c r="Q186" s="339"/>
      <c r="R186" s="340"/>
      <c r="S186" s="341"/>
      <c r="T186" s="338"/>
      <c r="U186" s="338"/>
      <c r="V186" s="338"/>
      <c r="W186" s="338"/>
      <c r="X186" s="338"/>
      <c r="Y186" s="338"/>
      <c r="Z186" s="339"/>
      <c r="AA186" s="339"/>
      <c r="AB186" s="339"/>
      <c r="AC186" s="339"/>
      <c r="AD186" s="339"/>
      <c r="AE186" s="339"/>
      <c r="AF186" s="339"/>
      <c r="AG186" s="339"/>
      <c r="AH186" s="338"/>
    </row>
    <row r="187" spans="3:34" x14ac:dyDescent="0.2">
      <c r="C187" s="338"/>
      <c r="D187" s="338"/>
      <c r="E187" s="338"/>
      <c r="F187" s="338"/>
      <c r="G187" s="338"/>
      <c r="H187" s="338"/>
      <c r="I187" s="338"/>
      <c r="J187" s="338"/>
      <c r="K187" s="338"/>
      <c r="L187" s="338"/>
      <c r="M187" s="339"/>
      <c r="N187" s="339"/>
      <c r="O187" s="339"/>
      <c r="P187" s="339"/>
      <c r="Q187" s="339"/>
      <c r="R187" s="340"/>
      <c r="S187" s="341"/>
      <c r="T187" s="338"/>
      <c r="U187" s="338"/>
      <c r="V187" s="338"/>
      <c r="W187" s="338"/>
      <c r="X187" s="338"/>
      <c r="Y187" s="338"/>
      <c r="Z187" s="339"/>
      <c r="AA187" s="339"/>
      <c r="AB187" s="339"/>
      <c r="AC187" s="339"/>
      <c r="AD187" s="339"/>
      <c r="AE187" s="339"/>
      <c r="AF187" s="339"/>
      <c r="AG187" s="339"/>
      <c r="AH187" s="338"/>
    </row>
    <row r="188" spans="3:34" x14ac:dyDescent="0.2">
      <c r="C188" s="338"/>
      <c r="D188" s="338"/>
      <c r="E188" s="338"/>
      <c r="F188" s="338"/>
      <c r="G188" s="338"/>
      <c r="H188" s="338"/>
      <c r="I188" s="338"/>
      <c r="J188" s="338"/>
      <c r="K188" s="338"/>
      <c r="L188" s="338"/>
      <c r="M188" s="339"/>
      <c r="N188" s="339"/>
      <c r="O188" s="339"/>
      <c r="P188" s="339"/>
      <c r="Q188" s="339"/>
      <c r="R188" s="340"/>
      <c r="S188" s="341"/>
      <c r="T188" s="338"/>
      <c r="U188" s="338"/>
      <c r="V188" s="338"/>
      <c r="W188" s="338"/>
      <c r="X188" s="338"/>
      <c r="Y188" s="338"/>
      <c r="Z188" s="339"/>
      <c r="AA188" s="339"/>
      <c r="AB188" s="339"/>
      <c r="AC188" s="339"/>
      <c r="AD188" s="339"/>
      <c r="AE188" s="339"/>
      <c r="AF188" s="339"/>
      <c r="AG188" s="339"/>
      <c r="AH188" s="338"/>
    </row>
    <row r="189" spans="3:34" x14ac:dyDescent="0.2">
      <c r="C189" s="338"/>
      <c r="D189" s="338"/>
      <c r="E189" s="338"/>
      <c r="F189" s="338"/>
      <c r="G189" s="338"/>
      <c r="H189" s="338"/>
      <c r="I189" s="338"/>
      <c r="J189" s="338"/>
      <c r="K189" s="338"/>
      <c r="L189" s="338"/>
      <c r="M189" s="339"/>
      <c r="N189" s="339"/>
      <c r="O189" s="339"/>
      <c r="P189" s="339"/>
      <c r="Q189" s="339"/>
      <c r="R189" s="340"/>
      <c r="S189" s="341"/>
      <c r="T189" s="338"/>
      <c r="U189" s="338"/>
      <c r="V189" s="338"/>
      <c r="W189" s="338"/>
      <c r="X189" s="338"/>
      <c r="Y189" s="338"/>
      <c r="Z189" s="339"/>
      <c r="AA189" s="339"/>
      <c r="AB189" s="339"/>
      <c r="AC189" s="339"/>
      <c r="AD189" s="339"/>
      <c r="AE189" s="339"/>
      <c r="AF189" s="339"/>
      <c r="AG189" s="339"/>
      <c r="AH189" s="338"/>
    </row>
    <row r="190" spans="3:34" x14ac:dyDescent="0.2">
      <c r="C190" s="338"/>
      <c r="D190" s="338"/>
      <c r="E190" s="338"/>
      <c r="F190" s="338"/>
      <c r="G190" s="338"/>
      <c r="H190" s="338"/>
      <c r="I190" s="338"/>
      <c r="J190" s="338"/>
      <c r="K190" s="338"/>
      <c r="L190" s="338"/>
      <c r="M190" s="339"/>
      <c r="N190" s="339"/>
      <c r="O190" s="339"/>
      <c r="P190" s="339"/>
      <c r="Q190" s="339"/>
      <c r="R190" s="340"/>
      <c r="S190" s="341"/>
      <c r="T190" s="338"/>
      <c r="U190" s="338"/>
      <c r="V190" s="338"/>
      <c r="W190" s="338"/>
      <c r="X190" s="338"/>
      <c r="Y190" s="338"/>
      <c r="Z190" s="339"/>
      <c r="AA190" s="339"/>
      <c r="AB190" s="339"/>
      <c r="AC190" s="339"/>
      <c r="AD190" s="339"/>
      <c r="AE190" s="339"/>
      <c r="AF190" s="339"/>
      <c r="AG190" s="339"/>
      <c r="AH190" s="338"/>
    </row>
    <row r="191" spans="3:34" x14ac:dyDescent="0.2">
      <c r="C191" s="338"/>
      <c r="D191" s="338"/>
      <c r="E191" s="338"/>
      <c r="F191" s="338"/>
      <c r="G191" s="338"/>
      <c r="H191" s="338"/>
      <c r="I191" s="338"/>
      <c r="J191" s="338"/>
      <c r="K191" s="338"/>
      <c r="L191" s="338"/>
      <c r="M191" s="339"/>
      <c r="N191" s="339"/>
      <c r="O191" s="339"/>
      <c r="P191" s="339"/>
      <c r="Q191" s="339"/>
      <c r="R191" s="340"/>
      <c r="S191" s="341"/>
      <c r="T191" s="338"/>
      <c r="U191" s="338"/>
      <c r="V191" s="338"/>
      <c r="W191" s="338"/>
      <c r="X191" s="338"/>
      <c r="Y191" s="338"/>
      <c r="Z191" s="339"/>
      <c r="AA191" s="339"/>
      <c r="AB191" s="339"/>
      <c r="AC191" s="339"/>
      <c r="AD191" s="339"/>
      <c r="AE191" s="339"/>
      <c r="AF191" s="339"/>
      <c r="AG191" s="339"/>
      <c r="AH191" s="338"/>
    </row>
    <row r="192" spans="3:34" x14ac:dyDescent="0.2">
      <c r="C192" s="338"/>
      <c r="D192" s="338"/>
      <c r="E192" s="338"/>
      <c r="F192" s="338"/>
      <c r="G192" s="338"/>
      <c r="H192" s="338"/>
      <c r="I192" s="338"/>
      <c r="J192" s="338"/>
      <c r="K192" s="338"/>
      <c r="L192" s="338"/>
      <c r="M192" s="339"/>
      <c r="N192" s="339"/>
      <c r="O192" s="339"/>
      <c r="P192" s="339"/>
      <c r="Q192" s="339"/>
      <c r="R192" s="340"/>
      <c r="S192" s="341"/>
      <c r="T192" s="338"/>
      <c r="U192" s="338"/>
      <c r="V192" s="338"/>
      <c r="W192" s="338"/>
      <c r="X192" s="338"/>
      <c r="Y192" s="338"/>
      <c r="Z192" s="339"/>
      <c r="AA192" s="339"/>
      <c r="AB192" s="339"/>
      <c r="AC192" s="339"/>
      <c r="AD192" s="339"/>
      <c r="AE192" s="339"/>
      <c r="AF192" s="339"/>
      <c r="AG192" s="339"/>
      <c r="AH192" s="338"/>
    </row>
    <row r="193" spans="3:34" x14ac:dyDescent="0.2">
      <c r="C193" s="338"/>
      <c r="D193" s="338"/>
      <c r="E193" s="338"/>
      <c r="F193" s="338"/>
      <c r="G193" s="338"/>
      <c r="H193" s="338"/>
      <c r="I193" s="338"/>
      <c r="J193" s="338"/>
      <c r="K193" s="338"/>
      <c r="L193" s="338"/>
      <c r="M193" s="339"/>
      <c r="N193" s="339"/>
      <c r="O193" s="339"/>
      <c r="P193" s="339"/>
      <c r="Q193" s="339"/>
      <c r="R193" s="340"/>
      <c r="S193" s="341"/>
      <c r="T193" s="338"/>
      <c r="U193" s="338"/>
      <c r="V193" s="338"/>
      <c r="W193" s="338"/>
      <c r="X193" s="338"/>
      <c r="Y193" s="338"/>
      <c r="Z193" s="339"/>
      <c r="AA193" s="339"/>
      <c r="AB193" s="339"/>
      <c r="AC193" s="339"/>
      <c r="AD193" s="339"/>
      <c r="AE193" s="339"/>
      <c r="AF193" s="339"/>
      <c r="AG193" s="339"/>
      <c r="AH193" s="338"/>
    </row>
    <row r="194" spans="3:34" x14ac:dyDescent="0.2">
      <c r="C194" s="338"/>
      <c r="D194" s="338"/>
      <c r="E194" s="338"/>
      <c r="F194" s="338"/>
      <c r="G194" s="338"/>
      <c r="H194" s="338"/>
      <c r="I194" s="338"/>
      <c r="J194" s="338"/>
      <c r="K194" s="338"/>
      <c r="L194" s="338"/>
      <c r="M194" s="339"/>
      <c r="N194" s="339"/>
      <c r="O194" s="339"/>
      <c r="P194" s="339"/>
      <c r="Q194" s="339"/>
      <c r="R194" s="340"/>
      <c r="S194" s="341"/>
      <c r="T194" s="338"/>
      <c r="U194" s="338"/>
      <c r="V194" s="338"/>
      <c r="W194" s="338"/>
      <c r="X194" s="338"/>
      <c r="Y194" s="338"/>
      <c r="Z194" s="339"/>
      <c r="AA194" s="339"/>
      <c r="AB194" s="339"/>
      <c r="AC194" s="339"/>
      <c r="AD194" s="339"/>
      <c r="AE194" s="339"/>
      <c r="AF194" s="339"/>
      <c r="AG194" s="339"/>
      <c r="AH194" s="338"/>
    </row>
    <row r="195" spans="3:34" x14ac:dyDescent="0.2">
      <c r="C195" s="338"/>
      <c r="D195" s="338"/>
      <c r="E195" s="338"/>
      <c r="F195" s="338"/>
      <c r="G195" s="338"/>
      <c r="H195" s="338"/>
      <c r="I195" s="338"/>
      <c r="J195" s="338"/>
      <c r="K195" s="338"/>
      <c r="L195" s="338"/>
      <c r="M195" s="339"/>
      <c r="N195" s="339"/>
      <c r="O195" s="339"/>
      <c r="P195" s="339"/>
      <c r="Q195" s="339"/>
      <c r="R195" s="340"/>
      <c r="S195" s="341"/>
      <c r="T195" s="338"/>
      <c r="U195" s="338"/>
      <c r="V195" s="338"/>
      <c r="W195" s="338"/>
      <c r="X195" s="338"/>
      <c r="Y195" s="338"/>
      <c r="Z195" s="339"/>
      <c r="AA195" s="339"/>
      <c r="AB195" s="339"/>
      <c r="AC195" s="339"/>
      <c r="AD195" s="339"/>
      <c r="AE195" s="339"/>
      <c r="AF195" s="339"/>
      <c r="AG195" s="339"/>
      <c r="AH195" s="338"/>
    </row>
    <row r="196" spans="3:34" x14ac:dyDescent="0.2">
      <c r="C196" s="338"/>
      <c r="D196" s="338"/>
      <c r="E196" s="338"/>
      <c r="F196" s="338"/>
      <c r="G196" s="338"/>
      <c r="H196" s="338"/>
      <c r="I196" s="338"/>
      <c r="J196" s="338"/>
      <c r="K196" s="338"/>
      <c r="L196" s="338"/>
      <c r="M196" s="339"/>
      <c r="N196" s="339"/>
      <c r="O196" s="339"/>
      <c r="P196" s="339"/>
      <c r="Q196" s="339"/>
      <c r="R196" s="340"/>
      <c r="S196" s="341"/>
      <c r="T196" s="338"/>
      <c r="U196" s="338"/>
      <c r="V196" s="338"/>
      <c r="W196" s="338"/>
      <c r="X196" s="338"/>
      <c r="Y196" s="338"/>
      <c r="Z196" s="339"/>
      <c r="AA196" s="339"/>
      <c r="AB196" s="339"/>
      <c r="AC196" s="339"/>
      <c r="AD196" s="339"/>
      <c r="AE196" s="339"/>
      <c r="AF196" s="339"/>
      <c r="AG196" s="339"/>
      <c r="AH196" s="338"/>
    </row>
    <row r="197" spans="3:34" x14ac:dyDescent="0.2">
      <c r="C197" s="338"/>
      <c r="D197" s="338"/>
      <c r="E197" s="338"/>
      <c r="F197" s="338"/>
      <c r="G197" s="338"/>
      <c r="H197" s="338"/>
      <c r="I197" s="338"/>
      <c r="J197" s="338"/>
      <c r="K197" s="338"/>
      <c r="L197" s="338"/>
      <c r="M197" s="339"/>
      <c r="N197" s="339"/>
      <c r="O197" s="339"/>
      <c r="P197" s="339"/>
      <c r="Q197" s="339"/>
      <c r="R197" s="340"/>
      <c r="S197" s="341"/>
      <c r="T197" s="338"/>
      <c r="U197" s="338"/>
      <c r="V197" s="338"/>
      <c r="W197" s="338"/>
      <c r="X197" s="338"/>
      <c r="Y197" s="338"/>
      <c r="Z197" s="339"/>
      <c r="AA197" s="339"/>
      <c r="AB197" s="339"/>
      <c r="AC197" s="339"/>
      <c r="AD197" s="339"/>
      <c r="AE197" s="339"/>
      <c r="AF197" s="339"/>
      <c r="AG197" s="339"/>
      <c r="AH197" s="338"/>
    </row>
    <row r="198" spans="3:34" x14ac:dyDescent="0.2">
      <c r="C198" s="338"/>
      <c r="D198" s="338"/>
      <c r="E198" s="338"/>
      <c r="F198" s="338"/>
      <c r="G198" s="338"/>
      <c r="H198" s="338"/>
      <c r="I198" s="338"/>
      <c r="J198" s="338"/>
      <c r="K198" s="338"/>
      <c r="L198" s="338"/>
      <c r="M198" s="339"/>
      <c r="N198" s="339"/>
      <c r="O198" s="339"/>
      <c r="P198" s="339"/>
      <c r="Q198" s="339"/>
      <c r="R198" s="340"/>
      <c r="S198" s="341"/>
      <c r="T198" s="338"/>
      <c r="U198" s="338"/>
      <c r="V198" s="338"/>
      <c r="W198" s="338"/>
      <c r="X198" s="338"/>
      <c r="Y198" s="338"/>
      <c r="Z198" s="339"/>
      <c r="AA198" s="339"/>
      <c r="AB198" s="339"/>
      <c r="AC198" s="339"/>
      <c r="AD198" s="339"/>
      <c r="AE198" s="339"/>
      <c r="AF198" s="339"/>
      <c r="AG198" s="339"/>
      <c r="AH198" s="338"/>
    </row>
    <row r="199" spans="3:34" x14ac:dyDescent="0.2">
      <c r="C199" s="338"/>
      <c r="D199" s="338"/>
      <c r="E199" s="338"/>
      <c r="F199" s="338"/>
      <c r="G199" s="338"/>
      <c r="H199" s="338"/>
      <c r="I199" s="338"/>
      <c r="J199" s="338"/>
      <c r="K199" s="338"/>
      <c r="L199" s="338"/>
      <c r="M199" s="339"/>
      <c r="N199" s="339"/>
      <c r="O199" s="339"/>
      <c r="P199" s="339"/>
      <c r="Q199" s="339"/>
      <c r="R199" s="340"/>
      <c r="S199" s="341"/>
      <c r="T199" s="338"/>
      <c r="U199" s="338"/>
      <c r="V199" s="338"/>
      <c r="W199" s="338"/>
      <c r="X199" s="338"/>
      <c r="Y199" s="338"/>
      <c r="Z199" s="339"/>
      <c r="AA199" s="339"/>
      <c r="AB199" s="339"/>
      <c r="AC199" s="339"/>
      <c r="AD199" s="339"/>
      <c r="AE199" s="339"/>
      <c r="AF199" s="339"/>
      <c r="AG199" s="339"/>
      <c r="AH199" s="338"/>
    </row>
    <row r="200" spans="3:34" x14ac:dyDescent="0.2">
      <c r="C200" s="338"/>
      <c r="D200" s="338"/>
      <c r="E200" s="338"/>
      <c r="F200" s="338"/>
      <c r="G200" s="338"/>
      <c r="H200" s="338"/>
      <c r="I200" s="338"/>
      <c r="J200" s="338"/>
      <c r="K200" s="338"/>
      <c r="L200" s="338"/>
      <c r="M200" s="339"/>
      <c r="N200" s="339"/>
      <c r="O200" s="339"/>
      <c r="P200" s="339"/>
      <c r="Q200" s="339"/>
      <c r="R200" s="340"/>
      <c r="S200" s="341"/>
      <c r="T200" s="338"/>
      <c r="U200" s="338"/>
      <c r="V200" s="338"/>
      <c r="W200" s="338"/>
      <c r="X200" s="338"/>
      <c r="Y200" s="338"/>
      <c r="Z200" s="339"/>
      <c r="AA200" s="339"/>
      <c r="AB200" s="339"/>
      <c r="AC200" s="339"/>
      <c r="AD200" s="339"/>
      <c r="AE200" s="339"/>
      <c r="AF200" s="339"/>
      <c r="AG200" s="339"/>
      <c r="AH200" s="338"/>
    </row>
    <row r="201" spans="3:34" x14ac:dyDescent="0.2">
      <c r="C201" s="338"/>
      <c r="D201" s="338"/>
      <c r="E201" s="338"/>
      <c r="F201" s="338"/>
      <c r="G201" s="338"/>
      <c r="H201" s="338"/>
      <c r="I201" s="338"/>
      <c r="J201" s="338"/>
      <c r="K201" s="338"/>
      <c r="L201" s="338"/>
      <c r="M201" s="339"/>
      <c r="N201" s="339"/>
      <c r="O201" s="339"/>
      <c r="P201" s="339"/>
      <c r="Q201" s="339"/>
      <c r="R201" s="340"/>
      <c r="S201" s="341"/>
      <c r="T201" s="338"/>
      <c r="U201" s="338"/>
      <c r="V201" s="338"/>
      <c r="W201" s="338"/>
      <c r="X201" s="338"/>
      <c r="Y201" s="338"/>
      <c r="Z201" s="339"/>
      <c r="AA201" s="339"/>
      <c r="AB201" s="339"/>
      <c r="AC201" s="339"/>
      <c r="AD201" s="339"/>
      <c r="AE201" s="339"/>
      <c r="AF201" s="339"/>
      <c r="AG201" s="339"/>
      <c r="AH201" s="338"/>
    </row>
    <row r="202" spans="3:34" x14ac:dyDescent="0.2">
      <c r="C202" s="338"/>
      <c r="D202" s="338"/>
      <c r="E202" s="338"/>
      <c r="F202" s="338"/>
      <c r="G202" s="338"/>
      <c r="H202" s="338"/>
      <c r="I202" s="338"/>
      <c r="J202" s="338"/>
      <c r="K202" s="338"/>
      <c r="L202" s="338"/>
      <c r="M202" s="339"/>
      <c r="N202" s="339"/>
      <c r="O202" s="339"/>
      <c r="P202" s="339"/>
      <c r="Q202" s="339"/>
      <c r="R202" s="340"/>
      <c r="S202" s="341"/>
      <c r="T202" s="338"/>
      <c r="U202" s="338"/>
      <c r="V202" s="338"/>
      <c r="W202" s="338"/>
      <c r="X202" s="338"/>
      <c r="Y202" s="338"/>
      <c r="Z202" s="339"/>
      <c r="AA202" s="339"/>
      <c r="AB202" s="339"/>
      <c r="AC202" s="339"/>
      <c r="AD202" s="339"/>
      <c r="AE202" s="339"/>
      <c r="AF202" s="339"/>
      <c r="AG202" s="339"/>
      <c r="AH202" s="338"/>
    </row>
    <row r="203" spans="3:34" x14ac:dyDescent="0.2">
      <c r="C203" s="338"/>
      <c r="D203" s="338"/>
      <c r="E203" s="338"/>
      <c r="F203" s="338"/>
      <c r="G203" s="338"/>
      <c r="H203" s="338"/>
      <c r="I203" s="338"/>
      <c r="J203" s="338"/>
      <c r="K203" s="338"/>
      <c r="L203" s="338"/>
      <c r="M203" s="339"/>
      <c r="N203" s="339"/>
      <c r="O203" s="339"/>
      <c r="P203" s="339"/>
      <c r="Q203" s="339"/>
      <c r="R203" s="340"/>
      <c r="S203" s="341"/>
      <c r="T203" s="338"/>
      <c r="U203" s="338"/>
      <c r="V203" s="338"/>
      <c r="W203" s="338"/>
      <c r="X203" s="338"/>
      <c r="Y203" s="338"/>
      <c r="Z203" s="339"/>
      <c r="AA203" s="339"/>
      <c r="AB203" s="339"/>
      <c r="AC203" s="339"/>
      <c r="AD203" s="339"/>
      <c r="AE203" s="339"/>
      <c r="AF203" s="339"/>
      <c r="AG203" s="339"/>
      <c r="AH203" s="338"/>
    </row>
    <row r="204" spans="3:34" x14ac:dyDescent="0.2">
      <c r="C204" s="338"/>
      <c r="D204" s="338"/>
      <c r="E204" s="338"/>
      <c r="F204" s="338"/>
      <c r="G204" s="338"/>
      <c r="H204" s="338"/>
      <c r="I204" s="338"/>
      <c r="J204" s="338"/>
      <c r="K204" s="338"/>
      <c r="L204" s="338"/>
      <c r="M204" s="339"/>
      <c r="N204" s="339"/>
      <c r="O204" s="339"/>
      <c r="P204" s="339"/>
      <c r="Q204" s="339"/>
      <c r="R204" s="340"/>
      <c r="S204" s="341"/>
      <c r="T204" s="338"/>
      <c r="U204" s="338"/>
      <c r="V204" s="338"/>
      <c r="W204" s="338"/>
      <c r="X204" s="338"/>
      <c r="Y204" s="338"/>
      <c r="Z204" s="339"/>
      <c r="AA204" s="339"/>
      <c r="AB204" s="339"/>
      <c r="AC204" s="339"/>
      <c r="AD204" s="339"/>
      <c r="AE204" s="339"/>
      <c r="AF204" s="339"/>
      <c r="AG204" s="339"/>
      <c r="AH204" s="338"/>
    </row>
    <row r="205" spans="3:34" x14ac:dyDescent="0.2">
      <c r="C205" s="338"/>
      <c r="D205" s="338"/>
      <c r="E205" s="338"/>
      <c r="F205" s="338"/>
      <c r="G205" s="338"/>
      <c r="H205" s="338"/>
      <c r="I205" s="338"/>
      <c r="J205" s="338"/>
      <c r="K205" s="338"/>
      <c r="L205" s="338"/>
      <c r="M205" s="339"/>
      <c r="N205" s="339"/>
      <c r="O205" s="339"/>
      <c r="P205" s="339"/>
      <c r="Q205" s="339"/>
      <c r="R205" s="340"/>
      <c r="S205" s="341"/>
      <c r="T205" s="338"/>
      <c r="U205" s="338"/>
      <c r="V205" s="338"/>
      <c r="W205" s="338"/>
      <c r="X205" s="338"/>
      <c r="Y205" s="338"/>
      <c r="Z205" s="339"/>
      <c r="AA205" s="339"/>
      <c r="AB205" s="339"/>
      <c r="AC205" s="339"/>
      <c r="AD205" s="339"/>
      <c r="AE205" s="339"/>
      <c r="AF205" s="339"/>
      <c r="AG205" s="339"/>
      <c r="AH205" s="338"/>
    </row>
    <row r="206" spans="3:34" x14ac:dyDescent="0.2">
      <c r="C206" s="338"/>
      <c r="D206" s="338"/>
      <c r="E206" s="338"/>
      <c r="F206" s="338"/>
      <c r="G206" s="338"/>
      <c r="H206" s="338"/>
      <c r="I206" s="338"/>
      <c r="J206" s="338"/>
      <c r="K206" s="338"/>
      <c r="L206" s="338"/>
      <c r="M206" s="339"/>
      <c r="N206" s="339"/>
      <c r="O206" s="339"/>
      <c r="P206" s="339"/>
      <c r="Q206" s="339"/>
      <c r="R206" s="340"/>
      <c r="S206" s="341"/>
      <c r="T206" s="338"/>
      <c r="U206" s="338"/>
      <c r="V206" s="338"/>
      <c r="W206" s="338"/>
      <c r="X206" s="338"/>
      <c r="Y206" s="338"/>
      <c r="Z206" s="339"/>
      <c r="AA206" s="339"/>
      <c r="AB206" s="339"/>
      <c r="AC206" s="339"/>
      <c r="AD206" s="339"/>
      <c r="AE206" s="339"/>
      <c r="AF206" s="339"/>
      <c r="AG206" s="339"/>
      <c r="AH206" s="338"/>
    </row>
    <row r="207" spans="3:34" x14ac:dyDescent="0.2">
      <c r="C207" s="338"/>
      <c r="D207" s="338"/>
      <c r="E207" s="338"/>
      <c r="F207" s="338"/>
      <c r="G207" s="338"/>
      <c r="H207" s="338"/>
      <c r="I207" s="338"/>
      <c r="J207" s="338"/>
      <c r="K207" s="338"/>
      <c r="L207" s="338"/>
      <c r="M207" s="339"/>
      <c r="N207" s="339"/>
      <c r="O207" s="339"/>
      <c r="P207" s="339"/>
      <c r="Q207" s="339"/>
      <c r="R207" s="340"/>
      <c r="S207" s="341"/>
      <c r="T207" s="338"/>
      <c r="U207" s="338"/>
      <c r="V207" s="338"/>
      <c r="W207" s="338"/>
      <c r="X207" s="338"/>
      <c r="Y207" s="338"/>
      <c r="Z207" s="339"/>
      <c r="AA207" s="339"/>
      <c r="AB207" s="339"/>
      <c r="AC207" s="339"/>
      <c r="AD207" s="339"/>
      <c r="AE207" s="339"/>
      <c r="AF207" s="339"/>
      <c r="AG207" s="339"/>
      <c r="AH207" s="338"/>
    </row>
    <row r="208" spans="3:34" x14ac:dyDescent="0.2">
      <c r="C208" s="338"/>
      <c r="D208" s="338"/>
      <c r="E208" s="338"/>
      <c r="F208" s="338"/>
      <c r="G208" s="338"/>
      <c r="H208" s="338"/>
      <c r="I208" s="338"/>
      <c r="J208" s="338"/>
      <c r="K208" s="338"/>
      <c r="L208" s="338"/>
      <c r="M208" s="339"/>
      <c r="N208" s="339"/>
      <c r="O208" s="339"/>
      <c r="P208" s="339"/>
      <c r="Q208" s="339"/>
      <c r="R208" s="340"/>
      <c r="S208" s="341"/>
      <c r="T208" s="338"/>
      <c r="U208" s="338"/>
      <c r="V208" s="338"/>
      <c r="W208" s="338"/>
      <c r="X208" s="338"/>
      <c r="Y208" s="338"/>
      <c r="Z208" s="339"/>
      <c r="AA208" s="339"/>
      <c r="AB208" s="339"/>
      <c r="AC208" s="339"/>
      <c r="AD208" s="339"/>
      <c r="AE208" s="339"/>
      <c r="AF208" s="339"/>
      <c r="AG208" s="339"/>
      <c r="AH208" s="338"/>
    </row>
    <row r="209" spans="3:34" x14ac:dyDescent="0.2">
      <c r="C209" s="338"/>
      <c r="D209" s="338"/>
      <c r="E209" s="338"/>
      <c r="F209" s="338"/>
      <c r="G209" s="338"/>
      <c r="H209" s="338"/>
      <c r="I209" s="338"/>
      <c r="J209" s="338"/>
      <c r="K209" s="338"/>
      <c r="L209" s="338"/>
      <c r="M209" s="339"/>
      <c r="N209" s="339"/>
      <c r="O209" s="339"/>
      <c r="P209" s="339"/>
      <c r="Q209" s="339"/>
      <c r="R209" s="340"/>
      <c r="S209" s="341"/>
      <c r="T209" s="338"/>
      <c r="U209" s="338"/>
      <c r="V209" s="338"/>
      <c r="W209" s="338"/>
      <c r="X209" s="338"/>
      <c r="Y209" s="338"/>
      <c r="Z209" s="339"/>
      <c r="AA209" s="339"/>
      <c r="AB209" s="339"/>
      <c r="AC209" s="339"/>
      <c r="AD209" s="339"/>
      <c r="AE209" s="339"/>
      <c r="AF209" s="339"/>
      <c r="AG209" s="339"/>
      <c r="AH209" s="338"/>
    </row>
    <row r="210" spans="3:34" x14ac:dyDescent="0.2">
      <c r="C210" s="338"/>
      <c r="D210" s="338"/>
      <c r="E210" s="338"/>
      <c r="F210" s="338"/>
      <c r="G210" s="338"/>
      <c r="H210" s="338"/>
      <c r="I210" s="338"/>
      <c r="J210" s="338"/>
      <c r="K210" s="338"/>
      <c r="L210" s="338"/>
      <c r="M210" s="339"/>
      <c r="N210" s="339"/>
      <c r="O210" s="339"/>
      <c r="P210" s="339"/>
      <c r="Q210" s="339"/>
      <c r="R210" s="340"/>
      <c r="S210" s="341"/>
      <c r="T210" s="338"/>
      <c r="U210" s="338"/>
      <c r="V210" s="338"/>
      <c r="W210" s="338"/>
      <c r="X210" s="338"/>
      <c r="Y210" s="338"/>
      <c r="Z210" s="339"/>
      <c r="AA210" s="339"/>
      <c r="AB210" s="339"/>
      <c r="AC210" s="339"/>
      <c r="AD210" s="339"/>
      <c r="AE210" s="339"/>
      <c r="AF210" s="339"/>
      <c r="AG210" s="339"/>
      <c r="AH210" s="338"/>
    </row>
    <row r="211" spans="3:34" x14ac:dyDescent="0.2">
      <c r="C211" s="338"/>
      <c r="D211" s="338"/>
      <c r="E211" s="338"/>
      <c r="F211" s="338"/>
      <c r="G211" s="338"/>
      <c r="H211" s="338"/>
      <c r="I211" s="338"/>
      <c r="J211" s="338"/>
      <c r="K211" s="338"/>
      <c r="L211" s="338"/>
      <c r="M211" s="339"/>
      <c r="N211" s="339"/>
      <c r="O211" s="339"/>
      <c r="P211" s="339"/>
      <c r="Q211" s="339"/>
      <c r="R211" s="340"/>
      <c r="S211" s="341"/>
      <c r="T211" s="338"/>
      <c r="U211" s="338"/>
      <c r="V211" s="338"/>
      <c r="W211" s="338"/>
      <c r="X211" s="338"/>
      <c r="Y211" s="338"/>
      <c r="Z211" s="339"/>
      <c r="AA211" s="339"/>
      <c r="AB211" s="339"/>
      <c r="AC211" s="339"/>
      <c r="AD211" s="339"/>
      <c r="AE211" s="339"/>
      <c r="AF211" s="339"/>
      <c r="AG211" s="339"/>
      <c r="AH211" s="338"/>
    </row>
    <row r="212" spans="3:34" x14ac:dyDescent="0.2">
      <c r="C212" s="338"/>
      <c r="D212" s="338"/>
      <c r="E212" s="338"/>
      <c r="F212" s="338"/>
      <c r="G212" s="338"/>
      <c r="H212" s="338"/>
      <c r="I212" s="338"/>
      <c r="J212" s="338"/>
      <c r="K212" s="338"/>
      <c r="L212" s="338"/>
      <c r="M212" s="339"/>
      <c r="N212" s="339"/>
      <c r="O212" s="339"/>
      <c r="P212" s="339"/>
      <c r="Q212" s="339"/>
      <c r="R212" s="340"/>
      <c r="S212" s="341"/>
      <c r="T212" s="338"/>
      <c r="U212" s="338"/>
      <c r="V212" s="338"/>
      <c r="W212" s="338"/>
      <c r="X212" s="338"/>
      <c r="Y212" s="338"/>
      <c r="Z212" s="339"/>
      <c r="AA212" s="339"/>
      <c r="AB212" s="339"/>
      <c r="AC212" s="339"/>
      <c r="AD212" s="339"/>
      <c r="AE212" s="339"/>
      <c r="AF212" s="339"/>
      <c r="AG212" s="339"/>
      <c r="AH212" s="338"/>
    </row>
    <row r="213" spans="3:34" x14ac:dyDescent="0.2">
      <c r="C213" s="338"/>
      <c r="D213" s="338"/>
      <c r="E213" s="338"/>
      <c r="F213" s="338"/>
      <c r="G213" s="338"/>
      <c r="H213" s="338"/>
      <c r="I213" s="338"/>
      <c r="J213" s="338"/>
      <c r="K213" s="338"/>
      <c r="L213" s="338"/>
      <c r="M213" s="339"/>
      <c r="N213" s="339"/>
      <c r="O213" s="339"/>
      <c r="P213" s="339"/>
      <c r="Q213" s="339"/>
      <c r="R213" s="340"/>
      <c r="S213" s="341"/>
      <c r="T213" s="338"/>
      <c r="U213" s="338"/>
      <c r="V213" s="338"/>
      <c r="W213" s="338"/>
      <c r="X213" s="338"/>
      <c r="Y213" s="338"/>
      <c r="Z213" s="339"/>
      <c r="AA213" s="339"/>
      <c r="AB213" s="339"/>
      <c r="AC213" s="339"/>
      <c r="AD213" s="339"/>
      <c r="AE213" s="339"/>
      <c r="AF213" s="339"/>
      <c r="AG213" s="339"/>
      <c r="AH213" s="338"/>
    </row>
    <row r="214" spans="3:34" x14ac:dyDescent="0.2">
      <c r="C214" s="338"/>
      <c r="D214" s="338"/>
      <c r="E214" s="338"/>
      <c r="F214" s="338"/>
      <c r="G214" s="338"/>
      <c r="H214" s="338"/>
      <c r="I214" s="338"/>
      <c r="J214" s="338"/>
      <c r="K214" s="338"/>
      <c r="L214" s="338"/>
      <c r="M214" s="339"/>
      <c r="N214" s="339"/>
      <c r="O214" s="339"/>
      <c r="P214" s="339"/>
      <c r="Q214" s="339"/>
      <c r="R214" s="340"/>
      <c r="S214" s="341"/>
      <c r="T214" s="338"/>
      <c r="U214" s="338"/>
      <c r="V214" s="338"/>
      <c r="W214" s="338"/>
      <c r="X214" s="338"/>
      <c r="Y214" s="338"/>
      <c r="Z214" s="339"/>
      <c r="AA214" s="339"/>
      <c r="AB214" s="339"/>
      <c r="AC214" s="339"/>
      <c r="AD214" s="339"/>
      <c r="AE214" s="339"/>
      <c r="AF214" s="339"/>
      <c r="AG214" s="339"/>
      <c r="AH214" s="338"/>
    </row>
    <row r="215" spans="3:34" x14ac:dyDescent="0.2">
      <c r="C215" s="338"/>
      <c r="D215" s="338"/>
      <c r="E215" s="338"/>
      <c r="F215" s="338"/>
      <c r="G215" s="338"/>
      <c r="H215" s="338"/>
      <c r="I215" s="338"/>
      <c r="J215" s="338"/>
      <c r="K215" s="338"/>
      <c r="L215" s="338"/>
      <c r="M215" s="339"/>
      <c r="N215" s="339"/>
      <c r="O215" s="339"/>
      <c r="P215" s="339"/>
      <c r="Q215" s="339"/>
      <c r="R215" s="340"/>
      <c r="S215" s="341"/>
      <c r="T215" s="338"/>
      <c r="U215" s="338"/>
      <c r="V215" s="338"/>
      <c r="W215" s="338"/>
      <c r="X215" s="338"/>
      <c r="Y215" s="338"/>
      <c r="Z215" s="339"/>
      <c r="AA215" s="339"/>
      <c r="AB215" s="339"/>
      <c r="AC215" s="339"/>
      <c r="AD215" s="339"/>
      <c r="AE215" s="339"/>
      <c r="AF215" s="339"/>
      <c r="AG215" s="339"/>
      <c r="AH215" s="338"/>
    </row>
    <row r="216" spans="3:34" x14ac:dyDescent="0.2">
      <c r="C216" s="338"/>
      <c r="D216" s="338"/>
      <c r="E216" s="338"/>
      <c r="F216" s="338"/>
      <c r="G216" s="338"/>
      <c r="H216" s="338"/>
      <c r="I216" s="338"/>
      <c r="J216" s="338"/>
      <c r="K216" s="338"/>
      <c r="L216" s="338"/>
      <c r="M216" s="339"/>
      <c r="N216" s="339"/>
      <c r="O216" s="339"/>
      <c r="P216" s="339"/>
      <c r="Q216" s="339"/>
      <c r="R216" s="340"/>
      <c r="S216" s="341"/>
      <c r="T216" s="338"/>
      <c r="U216" s="338"/>
      <c r="V216" s="338"/>
      <c r="W216" s="338"/>
      <c r="X216" s="338"/>
      <c r="Y216" s="338"/>
      <c r="Z216" s="339"/>
      <c r="AA216" s="339"/>
      <c r="AB216" s="339"/>
      <c r="AC216" s="339"/>
      <c r="AD216" s="339"/>
      <c r="AE216" s="339"/>
      <c r="AF216" s="339"/>
      <c r="AG216" s="339"/>
      <c r="AH216" s="338"/>
    </row>
    <row r="217" spans="3:34" x14ac:dyDescent="0.2">
      <c r="C217" s="338"/>
      <c r="D217" s="338"/>
      <c r="E217" s="338"/>
      <c r="F217" s="338"/>
      <c r="G217" s="338"/>
      <c r="H217" s="338"/>
      <c r="I217" s="338"/>
      <c r="J217" s="338"/>
      <c r="K217" s="338"/>
      <c r="L217" s="338"/>
      <c r="M217" s="339"/>
      <c r="N217" s="339"/>
      <c r="O217" s="339"/>
      <c r="P217" s="339"/>
      <c r="Q217" s="339"/>
      <c r="R217" s="340"/>
      <c r="S217" s="341"/>
      <c r="T217" s="338"/>
      <c r="U217" s="338"/>
      <c r="V217" s="338"/>
      <c r="W217" s="338"/>
      <c r="X217" s="338"/>
      <c r="Y217" s="338"/>
      <c r="Z217" s="339"/>
      <c r="AA217" s="339"/>
      <c r="AB217" s="339"/>
      <c r="AC217" s="339"/>
      <c r="AD217" s="339"/>
      <c r="AE217" s="339"/>
      <c r="AF217" s="339"/>
      <c r="AG217" s="339"/>
      <c r="AH217" s="338"/>
    </row>
    <row r="218" spans="3:34" x14ac:dyDescent="0.2">
      <c r="C218" s="338"/>
      <c r="D218" s="338"/>
      <c r="E218" s="338"/>
      <c r="F218" s="338"/>
      <c r="G218" s="338"/>
      <c r="H218" s="338"/>
      <c r="I218" s="338"/>
      <c r="J218" s="338"/>
      <c r="K218" s="338"/>
      <c r="L218" s="338"/>
      <c r="M218" s="339"/>
      <c r="N218" s="339"/>
      <c r="O218" s="339"/>
      <c r="P218" s="339"/>
      <c r="Q218" s="339"/>
      <c r="R218" s="340"/>
      <c r="S218" s="341"/>
      <c r="T218" s="338"/>
      <c r="U218" s="338"/>
      <c r="V218" s="338"/>
      <c r="W218" s="338"/>
      <c r="X218" s="338"/>
      <c r="Y218" s="338"/>
      <c r="Z218" s="339"/>
      <c r="AA218" s="339"/>
      <c r="AB218" s="339"/>
      <c r="AC218" s="339"/>
      <c r="AD218" s="339"/>
      <c r="AE218" s="339"/>
      <c r="AF218" s="339"/>
      <c r="AG218" s="339"/>
      <c r="AH218" s="338"/>
    </row>
    <row r="219" spans="3:34" x14ac:dyDescent="0.2">
      <c r="C219" s="338"/>
      <c r="D219" s="338"/>
      <c r="E219" s="338"/>
      <c r="F219" s="338"/>
      <c r="G219" s="338"/>
      <c r="H219" s="338"/>
      <c r="I219" s="338"/>
      <c r="J219" s="338"/>
      <c r="K219" s="338"/>
      <c r="L219" s="338"/>
      <c r="M219" s="339"/>
      <c r="N219" s="339"/>
      <c r="O219" s="339"/>
      <c r="P219" s="339"/>
      <c r="Q219" s="339"/>
      <c r="R219" s="340"/>
      <c r="S219" s="341"/>
      <c r="T219" s="338"/>
      <c r="U219" s="338"/>
      <c r="V219" s="338"/>
      <c r="W219" s="338"/>
      <c r="X219" s="338"/>
      <c r="Y219" s="338"/>
      <c r="Z219" s="339"/>
      <c r="AA219" s="339"/>
      <c r="AB219" s="339"/>
      <c r="AC219" s="339"/>
      <c r="AD219" s="339"/>
      <c r="AE219" s="339"/>
      <c r="AF219" s="339"/>
      <c r="AG219" s="339"/>
      <c r="AH219" s="338"/>
    </row>
    <row r="220" spans="3:34" x14ac:dyDescent="0.2">
      <c r="C220" s="338"/>
      <c r="D220" s="338"/>
      <c r="E220" s="338"/>
      <c r="F220" s="338"/>
      <c r="G220" s="338"/>
      <c r="H220" s="338"/>
      <c r="I220" s="338"/>
      <c r="J220" s="338"/>
      <c r="K220" s="338"/>
      <c r="L220" s="338"/>
      <c r="M220" s="339"/>
      <c r="N220" s="339"/>
      <c r="O220" s="339"/>
      <c r="P220" s="339"/>
      <c r="Q220" s="339"/>
      <c r="R220" s="340"/>
      <c r="S220" s="341"/>
      <c r="T220" s="338"/>
      <c r="U220" s="338"/>
      <c r="V220" s="338"/>
      <c r="W220" s="338"/>
      <c r="X220" s="338"/>
      <c r="Y220" s="338"/>
      <c r="Z220" s="339"/>
      <c r="AA220" s="339"/>
      <c r="AB220" s="339"/>
      <c r="AC220" s="339"/>
      <c r="AD220" s="339"/>
      <c r="AE220" s="339"/>
      <c r="AF220" s="339"/>
      <c r="AG220" s="339"/>
      <c r="AH220" s="338"/>
    </row>
    <row r="221" spans="3:34" x14ac:dyDescent="0.2">
      <c r="C221" s="338"/>
      <c r="D221" s="338"/>
      <c r="E221" s="338"/>
      <c r="F221" s="338"/>
      <c r="G221" s="338"/>
      <c r="H221" s="338"/>
      <c r="I221" s="338"/>
      <c r="J221" s="338"/>
      <c r="K221" s="338"/>
      <c r="L221" s="338"/>
      <c r="M221" s="339"/>
      <c r="N221" s="339"/>
      <c r="O221" s="339"/>
      <c r="P221" s="339"/>
      <c r="Q221" s="339"/>
      <c r="R221" s="340"/>
      <c r="S221" s="341"/>
      <c r="T221" s="338"/>
      <c r="U221" s="338"/>
      <c r="V221" s="338"/>
      <c r="W221" s="338"/>
      <c r="X221" s="338"/>
      <c r="Y221" s="338"/>
      <c r="Z221" s="339"/>
      <c r="AA221" s="339"/>
      <c r="AB221" s="339"/>
      <c r="AC221" s="339"/>
      <c r="AD221" s="339"/>
      <c r="AE221" s="339"/>
      <c r="AF221" s="339"/>
      <c r="AG221" s="339"/>
      <c r="AH221" s="338"/>
    </row>
    <row r="222" spans="3:34" x14ac:dyDescent="0.2">
      <c r="C222" s="338"/>
      <c r="D222" s="338"/>
      <c r="E222" s="338"/>
      <c r="F222" s="338"/>
      <c r="G222" s="338"/>
      <c r="H222" s="338"/>
      <c r="I222" s="338"/>
      <c r="J222" s="338"/>
      <c r="K222" s="338"/>
      <c r="L222" s="338"/>
      <c r="M222" s="339"/>
      <c r="N222" s="339"/>
      <c r="O222" s="339"/>
      <c r="P222" s="339"/>
      <c r="Q222" s="339"/>
      <c r="R222" s="340"/>
      <c r="S222" s="341"/>
      <c r="T222" s="338"/>
      <c r="U222" s="338"/>
      <c r="V222" s="338"/>
      <c r="W222" s="338"/>
      <c r="X222" s="338"/>
      <c r="Y222" s="338"/>
      <c r="Z222" s="339"/>
      <c r="AA222" s="339"/>
      <c r="AB222" s="339"/>
      <c r="AC222" s="339"/>
      <c r="AD222" s="339"/>
      <c r="AE222" s="339"/>
      <c r="AF222" s="339"/>
      <c r="AG222" s="339"/>
      <c r="AH222" s="338"/>
    </row>
    <row r="223" spans="3:34" x14ac:dyDescent="0.2">
      <c r="C223" s="338"/>
      <c r="D223" s="338"/>
      <c r="E223" s="338"/>
      <c r="F223" s="338"/>
      <c r="G223" s="338"/>
      <c r="H223" s="338"/>
      <c r="I223" s="338"/>
      <c r="J223" s="338"/>
      <c r="K223" s="338"/>
      <c r="L223" s="338"/>
      <c r="M223" s="339"/>
      <c r="N223" s="339"/>
      <c r="O223" s="339"/>
      <c r="P223" s="339"/>
      <c r="Q223" s="339"/>
      <c r="R223" s="340"/>
      <c r="S223" s="341"/>
      <c r="T223" s="338"/>
      <c r="U223" s="338"/>
      <c r="V223" s="338"/>
      <c r="W223" s="338"/>
      <c r="X223" s="338"/>
      <c r="Y223" s="338"/>
      <c r="Z223" s="339"/>
      <c r="AA223" s="339"/>
      <c r="AB223" s="339"/>
      <c r="AC223" s="339"/>
      <c r="AD223" s="339"/>
      <c r="AE223" s="339"/>
      <c r="AF223" s="339"/>
      <c r="AG223" s="339"/>
      <c r="AH223" s="338"/>
    </row>
    <row r="224" spans="3:34" x14ac:dyDescent="0.2">
      <c r="C224" s="338"/>
      <c r="D224" s="338"/>
      <c r="E224" s="338"/>
      <c r="F224" s="338"/>
      <c r="G224" s="338"/>
      <c r="H224" s="338"/>
      <c r="I224" s="338"/>
      <c r="J224" s="338"/>
      <c r="K224" s="338"/>
      <c r="L224" s="338"/>
      <c r="M224" s="339"/>
      <c r="N224" s="339"/>
      <c r="O224" s="339"/>
      <c r="P224" s="339"/>
      <c r="Q224" s="339"/>
      <c r="R224" s="340"/>
      <c r="S224" s="341"/>
      <c r="T224" s="338"/>
      <c r="U224" s="338"/>
      <c r="V224" s="338"/>
      <c r="W224" s="338"/>
      <c r="X224" s="338"/>
      <c r="Y224" s="338"/>
      <c r="Z224" s="339"/>
      <c r="AA224" s="339"/>
      <c r="AB224" s="339"/>
      <c r="AC224" s="339"/>
      <c r="AD224" s="339"/>
      <c r="AE224" s="339"/>
      <c r="AF224" s="339"/>
      <c r="AG224" s="339"/>
      <c r="AH224" s="338"/>
    </row>
    <row r="225" spans="3:34" x14ac:dyDescent="0.2">
      <c r="C225" s="338"/>
      <c r="D225" s="338"/>
      <c r="E225" s="338"/>
      <c r="F225" s="338"/>
      <c r="G225" s="338"/>
      <c r="H225" s="338"/>
      <c r="I225" s="338"/>
      <c r="J225" s="338"/>
      <c r="K225" s="338"/>
      <c r="L225" s="338"/>
      <c r="M225" s="339"/>
      <c r="N225" s="339"/>
      <c r="O225" s="339"/>
      <c r="P225" s="339"/>
      <c r="Q225" s="339"/>
      <c r="R225" s="340"/>
      <c r="S225" s="341"/>
      <c r="T225" s="338"/>
      <c r="U225" s="338"/>
      <c r="V225" s="338"/>
      <c r="W225" s="338"/>
      <c r="X225" s="338"/>
      <c r="Y225" s="338"/>
      <c r="Z225" s="339"/>
      <c r="AA225" s="339"/>
      <c r="AB225" s="339"/>
      <c r="AC225" s="339"/>
      <c r="AD225" s="339"/>
      <c r="AE225" s="339"/>
      <c r="AF225" s="339"/>
      <c r="AG225" s="339"/>
      <c r="AH225" s="338"/>
    </row>
    <row r="226" spans="3:34" x14ac:dyDescent="0.2">
      <c r="C226" s="338"/>
      <c r="D226" s="338"/>
      <c r="E226" s="338"/>
      <c r="F226" s="338"/>
      <c r="G226" s="338"/>
      <c r="H226" s="338"/>
      <c r="I226" s="338"/>
      <c r="J226" s="338"/>
      <c r="K226" s="338"/>
      <c r="L226" s="338"/>
      <c r="M226" s="339"/>
      <c r="N226" s="339"/>
      <c r="O226" s="339"/>
      <c r="P226" s="339"/>
      <c r="Q226" s="339"/>
      <c r="R226" s="340"/>
      <c r="S226" s="341"/>
      <c r="T226" s="338"/>
      <c r="U226" s="338"/>
      <c r="V226" s="338"/>
      <c r="W226" s="338"/>
      <c r="X226" s="338"/>
      <c r="Y226" s="338"/>
      <c r="Z226" s="339"/>
      <c r="AA226" s="339"/>
      <c r="AB226" s="339"/>
      <c r="AC226" s="339"/>
      <c r="AD226" s="339"/>
      <c r="AE226" s="339"/>
      <c r="AF226" s="339"/>
      <c r="AG226" s="339"/>
      <c r="AH226" s="338"/>
    </row>
    <row r="227" spans="3:34" x14ac:dyDescent="0.2">
      <c r="C227" s="338"/>
      <c r="D227" s="338"/>
      <c r="E227" s="338"/>
      <c r="F227" s="338"/>
      <c r="G227" s="338"/>
      <c r="H227" s="338"/>
      <c r="I227" s="338"/>
      <c r="J227" s="338"/>
      <c r="K227" s="338"/>
      <c r="L227" s="338"/>
      <c r="M227" s="339"/>
      <c r="N227" s="339"/>
      <c r="O227" s="339"/>
      <c r="P227" s="339"/>
      <c r="Q227" s="339"/>
      <c r="R227" s="340"/>
      <c r="S227" s="341"/>
      <c r="T227" s="338"/>
      <c r="U227" s="338"/>
      <c r="V227" s="338"/>
      <c r="W227" s="338"/>
      <c r="X227" s="338"/>
      <c r="Y227" s="338"/>
      <c r="Z227" s="339"/>
      <c r="AA227" s="339"/>
      <c r="AB227" s="339"/>
      <c r="AC227" s="339"/>
      <c r="AD227" s="339"/>
      <c r="AE227" s="339"/>
      <c r="AF227" s="339"/>
      <c r="AG227" s="339"/>
      <c r="AH227" s="338"/>
    </row>
    <row r="228" spans="3:34" x14ac:dyDescent="0.2">
      <c r="C228" s="338"/>
      <c r="D228" s="338"/>
      <c r="E228" s="338"/>
      <c r="F228" s="338"/>
      <c r="G228" s="338"/>
      <c r="H228" s="338"/>
      <c r="I228" s="338"/>
      <c r="J228" s="338"/>
      <c r="K228" s="338"/>
      <c r="L228" s="338"/>
      <c r="M228" s="339"/>
      <c r="N228" s="339"/>
      <c r="O228" s="339"/>
      <c r="P228" s="339"/>
      <c r="Q228" s="339"/>
      <c r="R228" s="340"/>
      <c r="S228" s="341"/>
      <c r="T228" s="338"/>
      <c r="U228" s="338"/>
      <c r="V228" s="338"/>
      <c r="W228" s="338"/>
      <c r="X228" s="338"/>
      <c r="Y228" s="338"/>
      <c r="Z228" s="339"/>
      <c r="AA228" s="339"/>
      <c r="AB228" s="339"/>
      <c r="AC228" s="339"/>
      <c r="AD228" s="339"/>
      <c r="AE228" s="339"/>
      <c r="AF228" s="339"/>
      <c r="AG228" s="339"/>
      <c r="AH228" s="338"/>
    </row>
    <row r="229" spans="3:34" x14ac:dyDescent="0.2">
      <c r="C229" s="338"/>
      <c r="D229" s="338"/>
      <c r="E229" s="338"/>
      <c r="F229" s="338"/>
      <c r="G229" s="338"/>
      <c r="H229" s="338"/>
      <c r="I229" s="338"/>
      <c r="J229" s="338"/>
      <c r="K229" s="338"/>
      <c r="L229" s="338"/>
      <c r="M229" s="339"/>
      <c r="N229" s="339"/>
      <c r="O229" s="339"/>
      <c r="P229" s="339"/>
      <c r="Q229" s="339"/>
      <c r="R229" s="340"/>
      <c r="S229" s="341"/>
      <c r="T229" s="338"/>
      <c r="U229" s="338"/>
      <c r="V229" s="338"/>
      <c r="W229" s="338"/>
      <c r="X229" s="338"/>
      <c r="Y229" s="338"/>
      <c r="Z229" s="339"/>
      <c r="AA229" s="339"/>
      <c r="AB229" s="339"/>
      <c r="AC229" s="339"/>
      <c r="AD229" s="339"/>
      <c r="AE229" s="339"/>
      <c r="AF229" s="339"/>
      <c r="AG229" s="339"/>
      <c r="AH229" s="338"/>
    </row>
    <row r="230" spans="3:34" x14ac:dyDescent="0.2">
      <c r="C230" s="338"/>
      <c r="D230" s="338"/>
      <c r="E230" s="338"/>
      <c r="F230" s="338"/>
      <c r="G230" s="338"/>
      <c r="H230" s="338"/>
      <c r="I230" s="338"/>
      <c r="J230" s="338"/>
      <c r="K230" s="338"/>
      <c r="L230" s="338"/>
      <c r="M230" s="339"/>
      <c r="N230" s="339"/>
      <c r="O230" s="339"/>
      <c r="P230" s="339"/>
      <c r="Q230" s="339"/>
      <c r="R230" s="340"/>
      <c r="S230" s="341"/>
      <c r="T230" s="338"/>
      <c r="U230" s="338"/>
      <c r="V230" s="338"/>
      <c r="W230" s="338"/>
      <c r="X230" s="338"/>
      <c r="Y230" s="338"/>
      <c r="Z230" s="339"/>
      <c r="AA230" s="339"/>
      <c r="AB230" s="339"/>
      <c r="AC230" s="339"/>
      <c r="AD230" s="339"/>
      <c r="AE230" s="339"/>
      <c r="AF230" s="339"/>
      <c r="AG230" s="339"/>
      <c r="AH230" s="338"/>
    </row>
    <row r="231" spans="3:34" x14ac:dyDescent="0.2">
      <c r="C231" s="338"/>
      <c r="D231" s="338"/>
      <c r="E231" s="338"/>
      <c r="F231" s="338"/>
      <c r="G231" s="338"/>
      <c r="H231" s="338"/>
      <c r="I231" s="338"/>
      <c r="J231" s="338"/>
      <c r="K231" s="338"/>
      <c r="L231" s="338"/>
      <c r="M231" s="339"/>
      <c r="N231" s="339"/>
      <c r="O231" s="339"/>
      <c r="P231" s="339"/>
      <c r="Q231" s="339"/>
      <c r="R231" s="340"/>
      <c r="S231" s="341"/>
      <c r="T231" s="338"/>
      <c r="U231" s="338"/>
      <c r="V231" s="338"/>
      <c r="W231" s="338"/>
      <c r="X231" s="338"/>
      <c r="Y231" s="338"/>
      <c r="Z231" s="339"/>
      <c r="AA231" s="339"/>
      <c r="AB231" s="339"/>
      <c r="AC231" s="339"/>
      <c r="AD231" s="339"/>
      <c r="AE231" s="339"/>
      <c r="AF231" s="339"/>
      <c r="AG231" s="339"/>
      <c r="AH231" s="338"/>
    </row>
    <row r="232" spans="3:34" x14ac:dyDescent="0.2">
      <c r="C232" s="338"/>
      <c r="D232" s="338"/>
      <c r="E232" s="338"/>
      <c r="F232" s="338"/>
      <c r="G232" s="338"/>
      <c r="H232" s="338"/>
      <c r="I232" s="338"/>
      <c r="J232" s="338"/>
      <c r="K232" s="338"/>
      <c r="L232" s="338"/>
      <c r="M232" s="339"/>
      <c r="N232" s="339"/>
      <c r="O232" s="339"/>
      <c r="P232" s="339"/>
      <c r="Q232" s="339"/>
      <c r="R232" s="340"/>
      <c r="S232" s="341"/>
      <c r="T232" s="338"/>
      <c r="U232" s="338"/>
      <c r="V232" s="338"/>
      <c r="W232" s="338"/>
      <c r="X232" s="338"/>
      <c r="Y232" s="338"/>
      <c r="Z232" s="339"/>
      <c r="AA232" s="339"/>
      <c r="AB232" s="339"/>
      <c r="AC232" s="339"/>
      <c r="AD232" s="339"/>
      <c r="AE232" s="339"/>
      <c r="AF232" s="339"/>
      <c r="AG232" s="339"/>
      <c r="AH232" s="338"/>
    </row>
    <row r="233" spans="3:34" x14ac:dyDescent="0.2">
      <c r="C233" s="338"/>
      <c r="D233" s="338"/>
      <c r="E233" s="338"/>
      <c r="F233" s="338"/>
      <c r="G233" s="338"/>
      <c r="H233" s="338"/>
      <c r="I233" s="338"/>
      <c r="J233" s="338"/>
      <c r="K233" s="338"/>
      <c r="L233" s="338"/>
      <c r="M233" s="339"/>
      <c r="N233" s="339"/>
      <c r="O233" s="339"/>
      <c r="P233" s="339"/>
      <c r="Q233" s="339"/>
      <c r="R233" s="340"/>
      <c r="S233" s="341"/>
      <c r="T233" s="338"/>
      <c r="U233" s="338"/>
      <c r="V233" s="338"/>
      <c r="W233" s="338"/>
      <c r="X233" s="338"/>
      <c r="Y233" s="338"/>
      <c r="Z233" s="339"/>
      <c r="AA233" s="339"/>
      <c r="AB233" s="339"/>
      <c r="AC233" s="339"/>
      <c r="AD233" s="339"/>
      <c r="AE233" s="339"/>
      <c r="AF233" s="339"/>
      <c r="AG233" s="339"/>
      <c r="AH233" s="338"/>
    </row>
    <row r="234" spans="3:34" x14ac:dyDescent="0.2">
      <c r="C234" s="338"/>
      <c r="D234" s="338"/>
      <c r="E234" s="338"/>
      <c r="F234" s="338"/>
      <c r="G234" s="338"/>
      <c r="H234" s="338"/>
      <c r="I234" s="338"/>
      <c r="J234" s="338"/>
      <c r="K234" s="338"/>
      <c r="L234" s="338"/>
      <c r="M234" s="339"/>
      <c r="N234" s="339"/>
      <c r="O234" s="339"/>
      <c r="P234" s="339"/>
      <c r="Q234" s="339"/>
      <c r="R234" s="340"/>
      <c r="S234" s="341"/>
      <c r="T234" s="338"/>
      <c r="U234" s="338"/>
      <c r="V234" s="338"/>
      <c r="W234" s="338"/>
      <c r="X234" s="338"/>
      <c r="Y234" s="338"/>
      <c r="Z234" s="339"/>
      <c r="AA234" s="339"/>
      <c r="AB234" s="339"/>
      <c r="AC234" s="339"/>
      <c r="AD234" s="339"/>
      <c r="AE234" s="339"/>
      <c r="AF234" s="339"/>
      <c r="AG234" s="339"/>
      <c r="AH234" s="338"/>
    </row>
    <row r="235" spans="3:34" x14ac:dyDescent="0.2">
      <c r="C235" s="338"/>
      <c r="D235" s="338"/>
      <c r="E235" s="338"/>
      <c r="F235" s="338"/>
      <c r="G235" s="338"/>
      <c r="H235" s="338"/>
      <c r="I235" s="338"/>
      <c r="J235" s="338"/>
      <c r="K235" s="338"/>
      <c r="L235" s="338"/>
      <c r="M235" s="339"/>
      <c r="N235" s="339"/>
      <c r="O235" s="339"/>
      <c r="P235" s="339"/>
      <c r="Q235" s="339"/>
      <c r="R235" s="340"/>
      <c r="S235" s="341"/>
      <c r="T235" s="338"/>
      <c r="U235" s="338"/>
      <c r="V235" s="338"/>
      <c r="W235" s="338"/>
      <c r="X235" s="338"/>
      <c r="Y235" s="338"/>
      <c r="Z235" s="339"/>
      <c r="AA235" s="339"/>
      <c r="AB235" s="339"/>
      <c r="AC235" s="339"/>
      <c r="AD235" s="339"/>
      <c r="AE235" s="339"/>
      <c r="AF235" s="339"/>
      <c r="AG235" s="339"/>
      <c r="AH235" s="338"/>
    </row>
    <row r="236" spans="3:34" x14ac:dyDescent="0.2">
      <c r="C236" s="338"/>
      <c r="D236" s="338"/>
      <c r="E236" s="338"/>
      <c r="F236" s="338"/>
      <c r="G236" s="338"/>
      <c r="H236" s="338"/>
      <c r="I236" s="338"/>
      <c r="J236" s="338"/>
      <c r="K236" s="338"/>
      <c r="L236" s="338"/>
      <c r="M236" s="339"/>
      <c r="N236" s="339"/>
      <c r="O236" s="339"/>
      <c r="P236" s="339"/>
      <c r="Q236" s="339"/>
      <c r="R236" s="340"/>
      <c r="S236" s="341"/>
      <c r="T236" s="338"/>
      <c r="U236" s="338"/>
      <c r="V236" s="338"/>
      <c r="W236" s="338"/>
      <c r="X236" s="338"/>
      <c r="Y236" s="338"/>
      <c r="Z236" s="339"/>
      <c r="AA236" s="339"/>
      <c r="AB236" s="339"/>
      <c r="AC236" s="339"/>
      <c r="AD236" s="339"/>
      <c r="AE236" s="339"/>
      <c r="AF236" s="339"/>
      <c r="AG236" s="339"/>
      <c r="AH236" s="338"/>
    </row>
    <row r="237" spans="3:34" x14ac:dyDescent="0.2">
      <c r="C237" s="338"/>
      <c r="D237" s="338"/>
      <c r="E237" s="338"/>
      <c r="F237" s="338"/>
      <c r="G237" s="338"/>
      <c r="H237" s="338"/>
      <c r="I237" s="338"/>
      <c r="J237" s="338"/>
      <c r="K237" s="338"/>
      <c r="L237" s="338"/>
      <c r="M237" s="339"/>
      <c r="N237" s="339"/>
      <c r="O237" s="339"/>
      <c r="P237" s="339"/>
      <c r="Q237" s="339"/>
      <c r="R237" s="340"/>
      <c r="S237" s="341"/>
      <c r="T237" s="338"/>
      <c r="U237" s="338"/>
      <c r="V237" s="338"/>
      <c r="W237" s="338"/>
      <c r="X237" s="338"/>
      <c r="Y237" s="338"/>
      <c r="Z237" s="339"/>
      <c r="AA237" s="339"/>
      <c r="AB237" s="339"/>
      <c r="AC237" s="339"/>
      <c r="AD237" s="339"/>
      <c r="AE237" s="339"/>
      <c r="AF237" s="339"/>
      <c r="AG237" s="339"/>
      <c r="AH237" s="338"/>
    </row>
    <row r="238" spans="3:34" x14ac:dyDescent="0.2">
      <c r="C238" s="338"/>
      <c r="D238" s="338"/>
      <c r="E238" s="338"/>
      <c r="F238" s="338"/>
      <c r="G238" s="338"/>
      <c r="H238" s="338"/>
      <c r="I238" s="338"/>
      <c r="J238" s="338"/>
      <c r="K238" s="338"/>
      <c r="L238" s="338"/>
      <c r="M238" s="339"/>
      <c r="N238" s="339"/>
      <c r="O238" s="339"/>
      <c r="P238" s="339"/>
      <c r="Q238" s="339"/>
      <c r="R238" s="340"/>
      <c r="S238" s="341"/>
      <c r="T238" s="338"/>
      <c r="U238" s="338"/>
      <c r="V238" s="338"/>
      <c r="W238" s="338"/>
      <c r="X238" s="338"/>
      <c r="Y238" s="338"/>
      <c r="Z238" s="339"/>
      <c r="AA238" s="339"/>
      <c r="AB238" s="339"/>
      <c r="AC238" s="339"/>
      <c r="AD238" s="339"/>
      <c r="AE238" s="339"/>
      <c r="AF238" s="339"/>
      <c r="AG238" s="339"/>
      <c r="AH238" s="338"/>
    </row>
    <row r="239" spans="3:34" x14ac:dyDescent="0.2">
      <c r="C239" s="338"/>
      <c r="D239" s="338"/>
      <c r="E239" s="338"/>
      <c r="F239" s="338"/>
      <c r="G239" s="338"/>
      <c r="H239" s="338"/>
      <c r="I239" s="338"/>
      <c r="J239" s="338"/>
      <c r="K239" s="338"/>
      <c r="L239" s="338"/>
      <c r="M239" s="339"/>
      <c r="N239" s="339"/>
      <c r="O239" s="339"/>
      <c r="P239" s="339"/>
      <c r="Q239" s="339"/>
      <c r="R239" s="340"/>
      <c r="S239" s="341"/>
      <c r="T239" s="338"/>
      <c r="U239" s="338"/>
      <c r="V239" s="338"/>
      <c r="W239" s="338"/>
      <c r="X239" s="338"/>
      <c r="Y239" s="338"/>
      <c r="Z239" s="339"/>
      <c r="AA239" s="339"/>
      <c r="AB239" s="339"/>
      <c r="AC239" s="339"/>
      <c r="AD239" s="339"/>
      <c r="AE239" s="339"/>
      <c r="AF239" s="339"/>
      <c r="AG239" s="339"/>
      <c r="AH239" s="338"/>
    </row>
    <row r="240" spans="3:34" x14ac:dyDescent="0.2">
      <c r="C240" s="338"/>
      <c r="D240" s="338"/>
      <c r="E240" s="338"/>
      <c r="F240" s="338"/>
      <c r="G240" s="338"/>
      <c r="H240" s="338"/>
      <c r="I240" s="338"/>
      <c r="J240" s="338"/>
      <c r="K240" s="338"/>
      <c r="L240" s="338"/>
      <c r="M240" s="339"/>
      <c r="N240" s="339"/>
      <c r="O240" s="339"/>
      <c r="P240" s="339"/>
      <c r="Q240" s="339"/>
      <c r="R240" s="340"/>
      <c r="S240" s="341"/>
      <c r="T240" s="338"/>
      <c r="U240" s="338"/>
      <c r="V240" s="338"/>
      <c r="W240" s="338"/>
      <c r="X240" s="338"/>
      <c r="Y240" s="338"/>
      <c r="Z240" s="339"/>
      <c r="AA240" s="339"/>
      <c r="AB240" s="339"/>
      <c r="AC240" s="339"/>
      <c r="AD240" s="339"/>
      <c r="AE240" s="339"/>
      <c r="AF240" s="339"/>
      <c r="AG240" s="339"/>
      <c r="AH240" s="338"/>
    </row>
    <row r="241" spans="3:34" x14ac:dyDescent="0.2">
      <c r="C241" s="338"/>
      <c r="D241" s="338"/>
      <c r="E241" s="338"/>
      <c r="F241" s="338"/>
      <c r="G241" s="338"/>
      <c r="H241" s="338"/>
      <c r="I241" s="338"/>
      <c r="J241" s="338"/>
      <c r="K241" s="338"/>
      <c r="L241" s="338"/>
      <c r="M241" s="339"/>
      <c r="N241" s="339"/>
      <c r="O241" s="339"/>
      <c r="P241" s="339"/>
      <c r="Q241" s="339"/>
      <c r="R241" s="340"/>
      <c r="S241" s="341"/>
      <c r="T241" s="338"/>
      <c r="U241" s="338"/>
      <c r="V241" s="338"/>
      <c r="W241" s="338"/>
      <c r="X241" s="338"/>
      <c r="Y241" s="338"/>
      <c r="Z241" s="339"/>
      <c r="AA241" s="339"/>
      <c r="AB241" s="339"/>
      <c r="AC241" s="339"/>
      <c r="AD241" s="339"/>
      <c r="AE241" s="339"/>
      <c r="AF241" s="339"/>
      <c r="AG241" s="339"/>
      <c r="AH241" s="338"/>
    </row>
    <row r="242" spans="3:34" x14ac:dyDescent="0.2">
      <c r="C242" s="338"/>
      <c r="D242" s="338"/>
      <c r="E242" s="338"/>
      <c r="F242" s="338"/>
      <c r="G242" s="338"/>
      <c r="H242" s="338"/>
      <c r="I242" s="338"/>
      <c r="J242" s="338"/>
      <c r="K242" s="338"/>
      <c r="L242" s="338"/>
      <c r="M242" s="339"/>
      <c r="N242" s="339"/>
      <c r="O242" s="339"/>
      <c r="P242" s="339"/>
      <c r="Q242" s="339"/>
      <c r="R242" s="340"/>
      <c r="S242" s="341"/>
      <c r="T242" s="338"/>
      <c r="U242" s="338"/>
      <c r="V242" s="338"/>
      <c r="W242" s="338"/>
      <c r="X242" s="338"/>
      <c r="Y242" s="338"/>
      <c r="Z242" s="339"/>
      <c r="AA242" s="339"/>
      <c r="AB242" s="339"/>
      <c r="AC242" s="339"/>
      <c r="AD242" s="339"/>
      <c r="AE242" s="339"/>
      <c r="AF242" s="339"/>
      <c r="AG242" s="339"/>
      <c r="AH242" s="338"/>
    </row>
    <row r="243" spans="3:34" x14ac:dyDescent="0.2">
      <c r="C243" s="338"/>
      <c r="D243" s="338"/>
      <c r="E243" s="338"/>
      <c r="F243" s="338"/>
      <c r="G243" s="338"/>
      <c r="H243" s="338"/>
      <c r="I243" s="338"/>
      <c r="J243" s="338"/>
      <c r="K243" s="338"/>
      <c r="L243" s="338"/>
      <c r="M243" s="339"/>
      <c r="N243" s="339"/>
      <c r="O243" s="339"/>
      <c r="P243" s="339"/>
      <c r="Q243" s="339"/>
      <c r="R243" s="340"/>
      <c r="S243" s="341"/>
      <c r="T243" s="338"/>
      <c r="U243" s="338"/>
      <c r="V243" s="338"/>
      <c r="W243" s="338"/>
      <c r="X243" s="338"/>
      <c r="Y243" s="338"/>
      <c r="Z243" s="339"/>
      <c r="AA243" s="339"/>
      <c r="AB243" s="339"/>
      <c r="AC243" s="339"/>
      <c r="AD243" s="339"/>
      <c r="AE243" s="339"/>
      <c r="AF243" s="339"/>
      <c r="AG243" s="339"/>
      <c r="AH243" s="338"/>
    </row>
    <row r="244" spans="3:34" x14ac:dyDescent="0.2">
      <c r="C244" s="338"/>
      <c r="D244" s="338"/>
      <c r="E244" s="338"/>
      <c r="F244" s="338"/>
      <c r="G244" s="338"/>
      <c r="H244" s="338"/>
      <c r="I244" s="338"/>
      <c r="J244" s="338"/>
      <c r="K244" s="338"/>
      <c r="L244" s="338"/>
      <c r="M244" s="339"/>
      <c r="N244" s="339"/>
      <c r="O244" s="339"/>
      <c r="P244" s="339"/>
      <c r="Q244" s="339"/>
      <c r="R244" s="340"/>
      <c r="S244" s="341"/>
      <c r="T244" s="338"/>
      <c r="U244" s="338"/>
      <c r="V244" s="338"/>
      <c r="W244" s="338"/>
      <c r="X244" s="338"/>
      <c r="Y244" s="338"/>
      <c r="Z244" s="339"/>
      <c r="AA244" s="339"/>
      <c r="AB244" s="339"/>
      <c r="AC244" s="339"/>
      <c r="AD244" s="339"/>
      <c r="AE244" s="339"/>
      <c r="AF244" s="339"/>
      <c r="AG244" s="339"/>
      <c r="AH244" s="338"/>
    </row>
    <row r="245" spans="3:34" x14ac:dyDescent="0.2">
      <c r="C245" s="338"/>
      <c r="D245" s="338"/>
      <c r="E245" s="338"/>
      <c r="F245" s="338"/>
      <c r="G245" s="338"/>
      <c r="H245" s="338"/>
      <c r="I245" s="338"/>
      <c r="J245" s="338"/>
      <c r="K245" s="338"/>
      <c r="L245" s="338"/>
      <c r="M245" s="339"/>
      <c r="N245" s="339"/>
      <c r="O245" s="339"/>
      <c r="P245" s="339"/>
      <c r="Q245" s="339"/>
      <c r="R245" s="340"/>
      <c r="S245" s="341"/>
      <c r="T245" s="338"/>
      <c r="U245" s="338"/>
      <c r="V245" s="338"/>
      <c r="W245" s="338"/>
      <c r="X245" s="338"/>
      <c r="Y245" s="338"/>
      <c r="Z245" s="339"/>
      <c r="AA245" s="339"/>
      <c r="AB245" s="339"/>
      <c r="AC245" s="339"/>
      <c r="AD245" s="339"/>
      <c r="AE245" s="339"/>
      <c r="AF245" s="339"/>
      <c r="AG245" s="339"/>
      <c r="AH245" s="338"/>
    </row>
    <row r="246" spans="3:34" x14ac:dyDescent="0.2">
      <c r="C246" s="338"/>
      <c r="D246" s="338"/>
      <c r="E246" s="338"/>
      <c r="F246" s="338"/>
      <c r="G246" s="338"/>
      <c r="H246" s="338"/>
      <c r="I246" s="338"/>
      <c r="J246" s="338"/>
      <c r="K246" s="338"/>
      <c r="L246" s="338"/>
      <c r="M246" s="339"/>
      <c r="N246" s="339"/>
      <c r="O246" s="339"/>
      <c r="P246" s="339"/>
      <c r="Q246" s="339"/>
      <c r="R246" s="340"/>
      <c r="S246" s="341"/>
      <c r="T246" s="338"/>
      <c r="U246" s="338"/>
      <c r="V246" s="338"/>
      <c r="W246" s="338"/>
      <c r="X246" s="338"/>
      <c r="Y246" s="338"/>
      <c r="Z246" s="339"/>
      <c r="AA246" s="339"/>
      <c r="AB246" s="339"/>
      <c r="AC246" s="339"/>
      <c r="AD246" s="339"/>
      <c r="AE246" s="339"/>
      <c r="AF246" s="339"/>
      <c r="AG246" s="339"/>
      <c r="AH246" s="338"/>
    </row>
    <row r="247" spans="3:34" x14ac:dyDescent="0.2">
      <c r="C247" s="338"/>
      <c r="D247" s="338"/>
      <c r="E247" s="338"/>
      <c r="F247" s="338"/>
      <c r="G247" s="338"/>
      <c r="H247" s="338"/>
      <c r="I247" s="338"/>
      <c r="J247" s="338"/>
      <c r="K247" s="338"/>
      <c r="L247" s="338"/>
      <c r="M247" s="339"/>
      <c r="N247" s="339"/>
      <c r="O247" s="339"/>
      <c r="P247" s="339"/>
      <c r="Q247" s="339"/>
      <c r="R247" s="340"/>
      <c r="S247" s="341"/>
      <c r="T247" s="338"/>
      <c r="U247" s="338"/>
      <c r="V247" s="338"/>
      <c r="W247" s="338"/>
      <c r="X247" s="338"/>
      <c r="Y247" s="338"/>
      <c r="Z247" s="339"/>
      <c r="AA247" s="339"/>
      <c r="AB247" s="339"/>
      <c r="AC247" s="339"/>
      <c r="AD247" s="339"/>
      <c r="AE247" s="339"/>
      <c r="AF247" s="339"/>
      <c r="AG247" s="339"/>
      <c r="AH247" s="338"/>
    </row>
    <row r="248" spans="3:34" x14ac:dyDescent="0.2">
      <c r="C248" s="338"/>
      <c r="D248" s="338"/>
      <c r="E248" s="338"/>
      <c r="F248" s="338"/>
      <c r="G248" s="338"/>
      <c r="H248" s="338"/>
      <c r="I248" s="338"/>
      <c r="J248" s="338"/>
      <c r="K248" s="338"/>
      <c r="L248" s="338"/>
      <c r="M248" s="339"/>
      <c r="N248" s="339"/>
      <c r="O248" s="339"/>
      <c r="P248" s="339"/>
      <c r="Q248" s="339"/>
      <c r="R248" s="340"/>
      <c r="S248" s="341"/>
      <c r="T248" s="338"/>
      <c r="U248" s="338"/>
      <c r="V248" s="338"/>
      <c r="W248" s="338"/>
      <c r="X248" s="338"/>
      <c r="Y248" s="338"/>
      <c r="Z248" s="339"/>
      <c r="AA248" s="339"/>
      <c r="AB248" s="339"/>
      <c r="AC248" s="339"/>
      <c r="AD248" s="339"/>
      <c r="AE248" s="339"/>
      <c r="AF248" s="339"/>
      <c r="AG248" s="339"/>
      <c r="AH248" s="338"/>
    </row>
    <row r="249" spans="3:34" x14ac:dyDescent="0.2">
      <c r="C249" s="338"/>
      <c r="D249" s="338"/>
      <c r="E249" s="338"/>
      <c r="F249" s="338"/>
      <c r="G249" s="338"/>
      <c r="H249" s="338"/>
      <c r="I249" s="338"/>
      <c r="J249" s="338"/>
      <c r="K249" s="338"/>
      <c r="L249" s="338"/>
      <c r="M249" s="339"/>
      <c r="N249" s="339"/>
      <c r="O249" s="339"/>
      <c r="P249" s="339"/>
      <c r="Q249" s="339"/>
      <c r="R249" s="340"/>
      <c r="S249" s="341"/>
      <c r="T249" s="338"/>
      <c r="U249" s="338"/>
      <c r="V249" s="338"/>
      <c r="W249" s="338"/>
      <c r="X249" s="338"/>
      <c r="Y249" s="338"/>
      <c r="Z249" s="339"/>
      <c r="AA249" s="339"/>
      <c r="AB249" s="339"/>
      <c r="AC249" s="339"/>
      <c r="AD249" s="339"/>
      <c r="AE249" s="339"/>
      <c r="AF249" s="339"/>
      <c r="AG249" s="339"/>
      <c r="AH249" s="338"/>
    </row>
    <row r="250" spans="3:34" x14ac:dyDescent="0.2">
      <c r="C250" s="338"/>
      <c r="D250" s="338"/>
      <c r="E250" s="338"/>
      <c r="F250" s="338"/>
      <c r="G250" s="338"/>
      <c r="H250" s="338"/>
      <c r="I250" s="338"/>
      <c r="J250" s="338"/>
      <c r="K250" s="338"/>
      <c r="L250" s="338"/>
      <c r="M250" s="339"/>
      <c r="N250" s="339"/>
      <c r="O250" s="339"/>
      <c r="P250" s="339"/>
      <c r="Q250" s="339"/>
      <c r="R250" s="340"/>
      <c r="S250" s="341"/>
      <c r="T250" s="338"/>
      <c r="U250" s="338"/>
      <c r="V250" s="338"/>
      <c r="W250" s="338"/>
      <c r="X250" s="338"/>
      <c r="Y250" s="338"/>
      <c r="Z250" s="339"/>
      <c r="AA250" s="339"/>
      <c r="AB250" s="339"/>
      <c r="AC250" s="339"/>
      <c r="AD250" s="339"/>
      <c r="AE250" s="339"/>
      <c r="AF250" s="339"/>
      <c r="AG250" s="339"/>
      <c r="AH250" s="338"/>
    </row>
    <row r="251" spans="3:34" x14ac:dyDescent="0.2">
      <c r="C251" s="338"/>
      <c r="D251" s="338"/>
      <c r="E251" s="338"/>
      <c r="F251" s="338"/>
      <c r="G251" s="338"/>
      <c r="H251" s="338"/>
      <c r="I251" s="338"/>
      <c r="J251" s="338"/>
      <c r="K251" s="338"/>
      <c r="L251" s="338"/>
      <c r="M251" s="339"/>
      <c r="N251" s="339"/>
      <c r="O251" s="339"/>
      <c r="P251" s="339"/>
      <c r="Q251" s="339"/>
      <c r="R251" s="340"/>
      <c r="S251" s="341"/>
      <c r="T251" s="338"/>
      <c r="U251" s="338"/>
      <c r="V251" s="338"/>
      <c r="W251" s="338"/>
      <c r="X251" s="338"/>
      <c r="Y251" s="338"/>
      <c r="Z251" s="339"/>
      <c r="AA251" s="339"/>
      <c r="AB251" s="339"/>
      <c r="AC251" s="339"/>
      <c r="AD251" s="339"/>
      <c r="AE251" s="339"/>
      <c r="AF251" s="339"/>
      <c r="AG251" s="339"/>
      <c r="AH251" s="338"/>
    </row>
    <row r="252" spans="3:34" x14ac:dyDescent="0.2">
      <c r="C252" s="338"/>
      <c r="D252" s="338"/>
      <c r="E252" s="338"/>
      <c r="F252" s="338"/>
      <c r="G252" s="338"/>
      <c r="H252" s="338"/>
      <c r="I252" s="338"/>
      <c r="J252" s="338"/>
      <c r="K252" s="338"/>
      <c r="L252" s="338"/>
      <c r="M252" s="339"/>
      <c r="N252" s="339"/>
      <c r="O252" s="339"/>
      <c r="P252" s="339"/>
      <c r="Q252" s="339"/>
      <c r="R252" s="340"/>
      <c r="S252" s="341"/>
      <c r="T252" s="338"/>
      <c r="U252" s="338"/>
      <c r="V252" s="338"/>
      <c r="W252" s="338"/>
      <c r="X252" s="338"/>
      <c r="Y252" s="338"/>
      <c r="Z252" s="339"/>
      <c r="AA252" s="339"/>
      <c r="AB252" s="339"/>
      <c r="AC252" s="339"/>
      <c r="AD252" s="339"/>
      <c r="AE252" s="339"/>
      <c r="AF252" s="339"/>
      <c r="AG252" s="339"/>
      <c r="AH252" s="338"/>
    </row>
    <row r="253" spans="3:34" x14ac:dyDescent="0.2">
      <c r="C253" s="338"/>
      <c r="D253" s="338"/>
      <c r="E253" s="338"/>
      <c r="F253" s="338"/>
      <c r="G253" s="338"/>
      <c r="H253" s="338"/>
      <c r="I253" s="338"/>
      <c r="J253" s="338"/>
      <c r="K253" s="338"/>
      <c r="L253" s="338"/>
      <c r="M253" s="339"/>
      <c r="N253" s="339"/>
      <c r="O253" s="339"/>
      <c r="P253" s="339"/>
      <c r="Q253" s="339"/>
      <c r="R253" s="340"/>
      <c r="S253" s="341"/>
      <c r="T253" s="338"/>
      <c r="U253" s="338"/>
      <c r="V253" s="338"/>
      <c r="W253" s="338"/>
      <c r="X253" s="338"/>
      <c r="Y253" s="338"/>
      <c r="Z253" s="339"/>
      <c r="AA253" s="339"/>
      <c r="AB253" s="339"/>
      <c r="AC253" s="339"/>
      <c r="AD253" s="339"/>
      <c r="AE253" s="339"/>
      <c r="AF253" s="339"/>
      <c r="AG253" s="339"/>
      <c r="AH253" s="338"/>
    </row>
    <row r="254" spans="3:34" x14ac:dyDescent="0.2">
      <c r="C254" s="338"/>
      <c r="D254" s="338"/>
      <c r="E254" s="338"/>
      <c r="F254" s="338"/>
      <c r="G254" s="338"/>
      <c r="H254" s="338"/>
      <c r="I254" s="338"/>
      <c r="J254" s="338"/>
      <c r="K254" s="338"/>
      <c r="L254" s="338"/>
      <c r="M254" s="339"/>
      <c r="N254" s="339"/>
      <c r="O254" s="339"/>
      <c r="P254" s="339"/>
      <c r="Q254" s="339"/>
      <c r="R254" s="340"/>
      <c r="S254" s="341"/>
      <c r="T254" s="338"/>
      <c r="U254" s="338"/>
      <c r="V254" s="338"/>
      <c r="W254" s="338"/>
      <c r="X254" s="338"/>
      <c r="Y254" s="338"/>
      <c r="Z254" s="339"/>
      <c r="AA254" s="339"/>
      <c r="AB254" s="339"/>
      <c r="AC254" s="339"/>
      <c r="AD254" s="339"/>
      <c r="AE254" s="339"/>
      <c r="AF254" s="339"/>
      <c r="AG254" s="339"/>
      <c r="AH254" s="338"/>
    </row>
    <row r="255" spans="3:34" x14ac:dyDescent="0.2">
      <c r="C255" s="338"/>
      <c r="D255" s="338"/>
      <c r="E255" s="338"/>
      <c r="F255" s="338"/>
      <c r="G255" s="338"/>
      <c r="H255" s="338"/>
      <c r="I255" s="338"/>
      <c r="J255" s="338"/>
      <c r="K255" s="338"/>
      <c r="L255" s="338"/>
      <c r="M255" s="339"/>
      <c r="N255" s="339"/>
      <c r="O255" s="339"/>
      <c r="P255" s="339"/>
      <c r="Q255" s="339"/>
      <c r="R255" s="340"/>
      <c r="S255" s="341"/>
      <c r="T255" s="338"/>
      <c r="U255" s="338"/>
      <c r="V255" s="338"/>
      <c r="W255" s="338"/>
      <c r="X255" s="338"/>
      <c r="Y255" s="338"/>
      <c r="Z255" s="339"/>
      <c r="AA255" s="339"/>
      <c r="AB255" s="339"/>
      <c r="AC255" s="339"/>
      <c r="AD255" s="339"/>
      <c r="AE255" s="339"/>
      <c r="AF255" s="339"/>
      <c r="AG255" s="339"/>
      <c r="AH255" s="338"/>
    </row>
    <row r="256" spans="3:34" x14ac:dyDescent="0.2">
      <c r="C256" s="338"/>
      <c r="D256" s="338"/>
      <c r="E256" s="338"/>
      <c r="F256" s="338"/>
      <c r="G256" s="338"/>
      <c r="H256" s="338"/>
      <c r="I256" s="338"/>
      <c r="J256" s="338"/>
      <c r="K256" s="338"/>
      <c r="L256" s="338"/>
      <c r="M256" s="339"/>
      <c r="N256" s="339"/>
      <c r="O256" s="339"/>
      <c r="P256" s="339"/>
      <c r="Q256" s="339"/>
      <c r="R256" s="340"/>
      <c r="S256" s="341"/>
      <c r="T256" s="338"/>
      <c r="U256" s="338"/>
      <c r="V256" s="338"/>
      <c r="W256" s="338"/>
      <c r="X256" s="338"/>
      <c r="Y256" s="338"/>
      <c r="Z256" s="339"/>
      <c r="AA256" s="339"/>
      <c r="AB256" s="339"/>
      <c r="AC256" s="339"/>
      <c r="AD256" s="339"/>
      <c r="AE256" s="339"/>
      <c r="AF256" s="339"/>
      <c r="AG256" s="339"/>
      <c r="AH256" s="338"/>
    </row>
    <row r="257" spans="3:34" x14ac:dyDescent="0.2">
      <c r="C257" s="338"/>
      <c r="D257" s="338"/>
      <c r="E257" s="338"/>
      <c r="F257" s="338"/>
      <c r="G257" s="338"/>
      <c r="H257" s="338"/>
      <c r="I257" s="338"/>
      <c r="J257" s="338"/>
      <c r="K257" s="338"/>
      <c r="L257" s="338"/>
      <c r="M257" s="339"/>
      <c r="N257" s="339"/>
      <c r="O257" s="339"/>
      <c r="P257" s="339"/>
      <c r="Q257" s="339"/>
      <c r="R257" s="340"/>
      <c r="S257" s="341"/>
      <c r="T257" s="338"/>
      <c r="U257" s="338"/>
      <c r="V257" s="338"/>
      <c r="W257" s="338"/>
      <c r="X257" s="338"/>
      <c r="Y257" s="338"/>
      <c r="Z257" s="339"/>
      <c r="AA257" s="339"/>
      <c r="AB257" s="339"/>
      <c r="AC257" s="339"/>
      <c r="AD257" s="339"/>
      <c r="AE257" s="339"/>
      <c r="AF257" s="339"/>
      <c r="AG257" s="339"/>
      <c r="AH257" s="338"/>
    </row>
    <row r="258" spans="3:34" x14ac:dyDescent="0.2">
      <c r="C258" s="338"/>
      <c r="D258" s="338"/>
      <c r="E258" s="338"/>
      <c r="F258" s="338"/>
      <c r="G258" s="338"/>
      <c r="H258" s="338"/>
      <c r="I258" s="338"/>
      <c r="J258" s="338"/>
      <c r="K258" s="338"/>
      <c r="L258" s="338"/>
      <c r="M258" s="339"/>
      <c r="N258" s="339"/>
      <c r="O258" s="339"/>
      <c r="P258" s="339"/>
      <c r="Q258" s="339"/>
      <c r="R258" s="340"/>
      <c r="S258" s="341"/>
      <c r="T258" s="338"/>
      <c r="U258" s="338"/>
      <c r="V258" s="338"/>
      <c r="W258" s="338"/>
      <c r="X258" s="338"/>
      <c r="Y258" s="338"/>
      <c r="Z258" s="339"/>
      <c r="AA258" s="339"/>
      <c r="AB258" s="339"/>
      <c r="AC258" s="339"/>
      <c r="AD258" s="339"/>
      <c r="AE258" s="339"/>
      <c r="AF258" s="339"/>
      <c r="AG258" s="339"/>
      <c r="AH258" s="338"/>
    </row>
    <row r="259" spans="3:34" x14ac:dyDescent="0.2">
      <c r="C259" s="338"/>
      <c r="D259" s="338"/>
      <c r="E259" s="338"/>
      <c r="F259" s="338"/>
      <c r="G259" s="338"/>
      <c r="H259" s="338"/>
      <c r="I259" s="338"/>
      <c r="J259" s="338"/>
      <c r="K259" s="338"/>
      <c r="L259" s="338"/>
      <c r="M259" s="339"/>
      <c r="N259" s="339"/>
      <c r="O259" s="339"/>
      <c r="P259" s="339"/>
      <c r="Q259" s="339"/>
      <c r="R259" s="340"/>
      <c r="S259" s="341"/>
      <c r="T259" s="338"/>
      <c r="U259" s="338"/>
      <c r="V259" s="338"/>
      <c r="W259" s="338"/>
      <c r="X259" s="338"/>
      <c r="Y259" s="338"/>
      <c r="Z259" s="339"/>
      <c r="AA259" s="339"/>
      <c r="AB259" s="339"/>
      <c r="AC259" s="339"/>
      <c r="AD259" s="339"/>
      <c r="AE259" s="339"/>
      <c r="AF259" s="339"/>
      <c r="AG259" s="339"/>
      <c r="AH259" s="338"/>
    </row>
    <row r="260" spans="3:34" x14ac:dyDescent="0.2">
      <c r="C260" s="338"/>
      <c r="D260" s="338"/>
      <c r="E260" s="338"/>
      <c r="F260" s="338"/>
      <c r="G260" s="338"/>
      <c r="H260" s="338"/>
      <c r="I260" s="338"/>
      <c r="J260" s="338"/>
      <c r="K260" s="338"/>
      <c r="L260" s="338"/>
      <c r="M260" s="339"/>
      <c r="N260" s="339"/>
      <c r="O260" s="339"/>
      <c r="P260" s="339"/>
      <c r="Q260" s="339"/>
      <c r="R260" s="340"/>
      <c r="S260" s="341"/>
      <c r="T260" s="338"/>
      <c r="U260" s="338"/>
      <c r="V260" s="338"/>
      <c r="W260" s="338"/>
      <c r="X260" s="338"/>
      <c r="Y260" s="338"/>
      <c r="Z260" s="339"/>
      <c r="AA260" s="339"/>
      <c r="AB260" s="339"/>
      <c r="AC260" s="339"/>
      <c r="AD260" s="339"/>
      <c r="AE260" s="339"/>
      <c r="AF260" s="339"/>
      <c r="AG260" s="339"/>
      <c r="AH260" s="338"/>
    </row>
    <row r="261" spans="3:34" x14ac:dyDescent="0.2">
      <c r="C261" s="338"/>
      <c r="D261" s="338"/>
      <c r="E261" s="338"/>
      <c r="F261" s="338"/>
      <c r="G261" s="338"/>
      <c r="H261" s="338"/>
      <c r="I261" s="338"/>
      <c r="J261" s="338"/>
      <c r="K261" s="338"/>
      <c r="L261" s="338"/>
      <c r="M261" s="339"/>
      <c r="N261" s="339"/>
      <c r="O261" s="339"/>
      <c r="P261" s="339"/>
      <c r="Q261" s="339"/>
      <c r="R261" s="340"/>
      <c r="S261" s="341"/>
      <c r="T261" s="338"/>
      <c r="U261" s="338"/>
      <c r="V261" s="338"/>
      <c r="W261" s="338"/>
      <c r="X261" s="338"/>
      <c r="Y261" s="338"/>
      <c r="Z261" s="339"/>
      <c r="AA261" s="339"/>
      <c r="AB261" s="339"/>
      <c r="AC261" s="339"/>
      <c r="AD261" s="339"/>
      <c r="AE261" s="339"/>
      <c r="AF261" s="339"/>
      <c r="AG261" s="339"/>
      <c r="AH261" s="338"/>
    </row>
    <row r="262" spans="3:34" x14ac:dyDescent="0.2">
      <c r="C262" s="338"/>
      <c r="D262" s="338"/>
      <c r="E262" s="338"/>
      <c r="F262" s="338"/>
      <c r="G262" s="338"/>
      <c r="H262" s="338"/>
      <c r="I262" s="338"/>
      <c r="J262" s="338"/>
      <c r="K262" s="338"/>
      <c r="L262" s="338"/>
      <c r="M262" s="339"/>
      <c r="N262" s="339"/>
      <c r="O262" s="339"/>
      <c r="P262" s="339"/>
      <c r="Q262" s="339"/>
      <c r="R262" s="340"/>
      <c r="S262" s="341"/>
      <c r="T262" s="338"/>
      <c r="U262" s="338"/>
      <c r="V262" s="338"/>
      <c r="W262" s="338"/>
      <c r="X262" s="338"/>
      <c r="Y262" s="338"/>
      <c r="Z262" s="339"/>
      <c r="AA262" s="339"/>
      <c r="AB262" s="339"/>
      <c r="AC262" s="339"/>
      <c r="AD262" s="339"/>
      <c r="AE262" s="339"/>
      <c r="AF262" s="339"/>
      <c r="AG262" s="339"/>
      <c r="AH262" s="338"/>
    </row>
    <row r="263" spans="3:34" x14ac:dyDescent="0.2">
      <c r="C263" s="338"/>
      <c r="D263" s="338"/>
      <c r="E263" s="338"/>
      <c r="F263" s="338"/>
      <c r="G263" s="338"/>
      <c r="H263" s="338"/>
      <c r="I263" s="338"/>
      <c r="J263" s="338"/>
      <c r="K263" s="338"/>
      <c r="L263" s="338"/>
      <c r="M263" s="339"/>
      <c r="N263" s="339"/>
      <c r="O263" s="339"/>
      <c r="P263" s="339"/>
      <c r="Q263" s="339"/>
      <c r="R263" s="340"/>
      <c r="S263" s="341"/>
      <c r="T263" s="338"/>
      <c r="U263" s="338"/>
      <c r="V263" s="338"/>
      <c r="W263" s="338"/>
      <c r="X263" s="338"/>
      <c r="Y263" s="338"/>
      <c r="Z263" s="339"/>
      <c r="AA263" s="339"/>
      <c r="AB263" s="339"/>
      <c r="AC263" s="339"/>
      <c r="AD263" s="339"/>
      <c r="AE263" s="339"/>
      <c r="AF263" s="339"/>
      <c r="AG263" s="339"/>
      <c r="AH263" s="338"/>
    </row>
    <row r="264" spans="3:34" x14ac:dyDescent="0.2">
      <c r="C264" s="338"/>
      <c r="D264" s="338"/>
      <c r="E264" s="338"/>
      <c r="F264" s="338"/>
      <c r="G264" s="338"/>
      <c r="H264" s="338"/>
      <c r="I264" s="338"/>
      <c r="J264" s="338"/>
      <c r="K264" s="338"/>
      <c r="L264" s="338"/>
      <c r="M264" s="339"/>
      <c r="N264" s="339"/>
      <c r="O264" s="339"/>
      <c r="P264" s="339"/>
      <c r="Q264" s="339"/>
      <c r="R264" s="340"/>
      <c r="S264" s="341"/>
      <c r="T264" s="338"/>
      <c r="U264" s="338"/>
      <c r="V264" s="338"/>
      <c r="W264" s="338"/>
      <c r="X264" s="338"/>
      <c r="Y264" s="338"/>
      <c r="Z264" s="339"/>
      <c r="AA264" s="339"/>
      <c r="AB264" s="339"/>
      <c r="AC264" s="339"/>
      <c r="AD264" s="339"/>
      <c r="AE264" s="339"/>
      <c r="AF264" s="339"/>
      <c r="AG264" s="339"/>
      <c r="AH264" s="338"/>
    </row>
    <row r="265" spans="3:34" x14ac:dyDescent="0.2">
      <c r="C265" s="338"/>
      <c r="D265" s="338"/>
      <c r="E265" s="338"/>
      <c r="F265" s="338"/>
      <c r="G265" s="338"/>
      <c r="H265" s="338"/>
      <c r="I265" s="338"/>
      <c r="J265" s="338"/>
      <c r="K265" s="338"/>
      <c r="L265" s="338"/>
      <c r="M265" s="339"/>
      <c r="N265" s="339"/>
      <c r="O265" s="339"/>
      <c r="P265" s="339"/>
      <c r="Q265" s="339"/>
      <c r="R265" s="340"/>
      <c r="S265" s="341"/>
      <c r="T265" s="338"/>
      <c r="U265" s="338"/>
      <c r="V265" s="338"/>
      <c r="W265" s="338"/>
      <c r="X265" s="338"/>
      <c r="Y265" s="338"/>
      <c r="Z265" s="339"/>
      <c r="AA265" s="339"/>
      <c r="AB265" s="339"/>
      <c r="AC265" s="339"/>
      <c r="AD265" s="339"/>
      <c r="AE265" s="339"/>
      <c r="AF265" s="339"/>
      <c r="AG265" s="339"/>
      <c r="AH265" s="338"/>
    </row>
    <row r="266" spans="3:34" x14ac:dyDescent="0.2">
      <c r="C266" s="338"/>
      <c r="D266" s="338"/>
      <c r="E266" s="338"/>
      <c r="F266" s="338"/>
      <c r="G266" s="338"/>
      <c r="H266" s="338"/>
      <c r="I266" s="338"/>
      <c r="J266" s="338"/>
      <c r="K266" s="338"/>
      <c r="L266" s="338"/>
      <c r="M266" s="339"/>
      <c r="N266" s="339"/>
      <c r="O266" s="339"/>
      <c r="P266" s="339"/>
      <c r="Q266" s="339"/>
      <c r="R266" s="340"/>
      <c r="S266" s="341"/>
      <c r="T266" s="338"/>
      <c r="U266" s="338"/>
      <c r="V266" s="338"/>
      <c r="W266" s="338"/>
      <c r="X266" s="338"/>
      <c r="Y266" s="338"/>
      <c r="Z266" s="339"/>
      <c r="AA266" s="339"/>
      <c r="AB266" s="339"/>
      <c r="AC266" s="339"/>
      <c r="AD266" s="339"/>
      <c r="AE266" s="339"/>
      <c r="AF266" s="339"/>
      <c r="AG266" s="339"/>
      <c r="AH266" s="338"/>
    </row>
    <row r="267" spans="3:34" x14ac:dyDescent="0.2">
      <c r="C267" s="338"/>
      <c r="D267" s="338"/>
      <c r="E267" s="338"/>
      <c r="F267" s="338"/>
      <c r="G267" s="338"/>
      <c r="H267" s="338"/>
      <c r="I267" s="338"/>
      <c r="J267" s="338"/>
      <c r="K267" s="338"/>
      <c r="L267" s="338"/>
      <c r="M267" s="339"/>
      <c r="N267" s="339"/>
      <c r="O267" s="339"/>
      <c r="P267" s="339"/>
      <c r="Q267" s="339"/>
      <c r="R267" s="340"/>
      <c r="S267" s="341"/>
      <c r="T267" s="338"/>
      <c r="U267" s="338"/>
      <c r="V267" s="338"/>
      <c r="W267" s="338"/>
      <c r="X267" s="338"/>
      <c r="Y267" s="338"/>
      <c r="Z267" s="339"/>
      <c r="AA267" s="339"/>
      <c r="AB267" s="339"/>
      <c r="AC267" s="339"/>
      <c r="AD267" s="339"/>
      <c r="AE267" s="339"/>
      <c r="AF267" s="339"/>
      <c r="AG267" s="339"/>
      <c r="AH267" s="338"/>
    </row>
    <row r="268" spans="3:34" x14ac:dyDescent="0.2">
      <c r="C268" s="338"/>
      <c r="D268" s="338"/>
      <c r="E268" s="338"/>
      <c r="F268" s="338"/>
      <c r="G268" s="338"/>
      <c r="H268" s="338"/>
      <c r="I268" s="338"/>
      <c r="J268" s="338"/>
      <c r="K268" s="338"/>
      <c r="L268" s="338"/>
      <c r="M268" s="339"/>
      <c r="N268" s="339"/>
      <c r="O268" s="339"/>
      <c r="P268" s="339"/>
      <c r="Q268" s="339"/>
      <c r="R268" s="340"/>
      <c r="S268" s="341"/>
      <c r="T268" s="338"/>
      <c r="U268" s="338"/>
      <c r="V268" s="338"/>
      <c r="W268" s="338"/>
      <c r="X268" s="338"/>
      <c r="Y268" s="338"/>
      <c r="Z268" s="339"/>
      <c r="AA268" s="339"/>
      <c r="AB268" s="339"/>
      <c r="AC268" s="339"/>
      <c r="AD268" s="339"/>
      <c r="AE268" s="339"/>
      <c r="AF268" s="339"/>
      <c r="AG268" s="339"/>
      <c r="AH268" s="338"/>
    </row>
    <row r="269" spans="3:34" x14ac:dyDescent="0.2">
      <c r="C269" s="338"/>
      <c r="D269" s="338"/>
      <c r="E269" s="338"/>
      <c r="F269" s="338"/>
      <c r="G269" s="338"/>
      <c r="H269" s="338"/>
      <c r="I269" s="338"/>
      <c r="J269" s="338"/>
      <c r="K269" s="338"/>
      <c r="L269" s="338"/>
      <c r="M269" s="339"/>
      <c r="N269" s="339"/>
      <c r="O269" s="339"/>
      <c r="P269" s="339"/>
      <c r="Q269" s="339"/>
      <c r="R269" s="340"/>
      <c r="S269" s="341"/>
      <c r="T269" s="338"/>
      <c r="U269" s="338"/>
      <c r="V269" s="338"/>
      <c r="W269" s="338"/>
      <c r="X269" s="338"/>
      <c r="Y269" s="338"/>
      <c r="Z269" s="339"/>
      <c r="AA269" s="339"/>
      <c r="AB269" s="339"/>
      <c r="AC269" s="339"/>
      <c r="AD269" s="339"/>
      <c r="AE269" s="339"/>
      <c r="AF269" s="339"/>
      <c r="AG269" s="339"/>
      <c r="AH269" s="338"/>
    </row>
    <row r="270" spans="3:34" x14ac:dyDescent="0.2">
      <c r="C270" s="338"/>
      <c r="D270" s="338"/>
      <c r="E270" s="338"/>
      <c r="F270" s="338"/>
      <c r="G270" s="338"/>
      <c r="H270" s="338"/>
      <c r="I270" s="338"/>
      <c r="J270" s="338"/>
      <c r="K270" s="338"/>
      <c r="L270" s="338"/>
      <c r="M270" s="339"/>
      <c r="N270" s="339"/>
      <c r="O270" s="339"/>
      <c r="P270" s="339"/>
      <c r="Q270" s="339"/>
      <c r="R270" s="340"/>
      <c r="S270" s="341"/>
      <c r="T270" s="338"/>
      <c r="U270" s="338"/>
      <c r="V270" s="338"/>
      <c r="W270" s="338"/>
      <c r="X270" s="338"/>
      <c r="Y270" s="338"/>
      <c r="Z270" s="339"/>
      <c r="AA270" s="339"/>
      <c r="AB270" s="339"/>
      <c r="AC270" s="339"/>
      <c r="AD270" s="339"/>
      <c r="AE270" s="339"/>
      <c r="AF270" s="339"/>
      <c r="AG270" s="339"/>
      <c r="AH270" s="338"/>
    </row>
    <row r="271" spans="3:34" x14ac:dyDescent="0.2">
      <c r="C271" s="338"/>
      <c r="D271" s="338"/>
      <c r="E271" s="338"/>
      <c r="F271" s="338"/>
      <c r="G271" s="338"/>
      <c r="H271" s="338"/>
      <c r="I271" s="338"/>
      <c r="J271" s="338"/>
      <c r="K271" s="338"/>
      <c r="L271" s="338"/>
      <c r="M271" s="339"/>
      <c r="N271" s="339"/>
      <c r="O271" s="339"/>
      <c r="P271" s="339"/>
      <c r="Q271" s="339"/>
      <c r="R271" s="340"/>
      <c r="S271" s="341"/>
      <c r="T271" s="338"/>
      <c r="U271" s="338"/>
      <c r="V271" s="338"/>
      <c r="W271" s="338"/>
      <c r="X271" s="338"/>
      <c r="Y271" s="338"/>
      <c r="Z271" s="339"/>
      <c r="AA271" s="339"/>
      <c r="AB271" s="339"/>
      <c r="AC271" s="339"/>
      <c r="AD271" s="339"/>
      <c r="AE271" s="339"/>
      <c r="AF271" s="339"/>
      <c r="AG271" s="339"/>
      <c r="AH271" s="338"/>
    </row>
    <row r="272" spans="3:34" x14ac:dyDescent="0.2">
      <c r="C272" s="338"/>
      <c r="D272" s="338"/>
      <c r="E272" s="338"/>
      <c r="F272" s="338"/>
      <c r="G272" s="338"/>
      <c r="H272" s="338"/>
      <c r="I272" s="338"/>
      <c r="J272" s="338"/>
      <c r="K272" s="338"/>
      <c r="L272" s="338"/>
      <c r="M272" s="339"/>
      <c r="N272" s="339"/>
      <c r="O272" s="339"/>
      <c r="P272" s="339"/>
      <c r="Q272" s="339"/>
      <c r="R272" s="340"/>
      <c r="S272" s="341"/>
      <c r="T272" s="338"/>
      <c r="U272" s="338"/>
      <c r="V272" s="338"/>
      <c r="W272" s="338"/>
      <c r="X272" s="338"/>
      <c r="Y272" s="338"/>
      <c r="Z272" s="339"/>
      <c r="AA272" s="339"/>
      <c r="AB272" s="339"/>
      <c r="AC272" s="339"/>
      <c r="AD272" s="339"/>
      <c r="AE272" s="339"/>
      <c r="AF272" s="339"/>
      <c r="AG272" s="339"/>
      <c r="AH272" s="338"/>
    </row>
    <row r="273" spans="3:34" x14ac:dyDescent="0.2">
      <c r="C273" s="338"/>
      <c r="D273" s="338"/>
      <c r="E273" s="338"/>
      <c r="F273" s="338"/>
      <c r="G273" s="338"/>
      <c r="H273" s="338"/>
      <c r="I273" s="338"/>
      <c r="J273" s="338"/>
      <c r="K273" s="338"/>
      <c r="L273" s="338"/>
      <c r="M273" s="339"/>
      <c r="N273" s="339"/>
      <c r="O273" s="339"/>
      <c r="P273" s="339"/>
      <c r="Q273" s="339"/>
      <c r="R273" s="340"/>
      <c r="S273" s="341"/>
      <c r="T273" s="338"/>
      <c r="U273" s="338"/>
      <c r="V273" s="338"/>
      <c r="W273" s="338"/>
      <c r="X273" s="338"/>
      <c r="Y273" s="338"/>
      <c r="Z273" s="339"/>
      <c r="AA273" s="339"/>
      <c r="AB273" s="339"/>
      <c r="AC273" s="339"/>
      <c r="AD273" s="339"/>
      <c r="AE273" s="339"/>
      <c r="AF273" s="339"/>
      <c r="AG273" s="339"/>
      <c r="AH273" s="338"/>
    </row>
    <row r="274" spans="3:34" x14ac:dyDescent="0.2">
      <c r="C274" s="338"/>
      <c r="D274" s="338"/>
      <c r="E274" s="338"/>
      <c r="F274" s="338"/>
      <c r="G274" s="338"/>
      <c r="H274" s="338"/>
      <c r="I274" s="338"/>
      <c r="J274" s="338"/>
      <c r="K274" s="338"/>
      <c r="L274" s="338"/>
      <c r="M274" s="339"/>
      <c r="N274" s="339"/>
      <c r="O274" s="339"/>
      <c r="P274" s="339"/>
      <c r="Q274" s="339"/>
      <c r="R274" s="340"/>
      <c r="S274" s="341"/>
      <c r="T274" s="338"/>
      <c r="U274" s="338"/>
      <c r="V274" s="338"/>
      <c r="W274" s="338"/>
      <c r="X274" s="338"/>
      <c r="Y274" s="338"/>
      <c r="Z274" s="339"/>
      <c r="AA274" s="339"/>
      <c r="AB274" s="339"/>
      <c r="AC274" s="339"/>
      <c r="AD274" s="339"/>
      <c r="AE274" s="339"/>
      <c r="AF274" s="339"/>
      <c r="AG274" s="339"/>
      <c r="AH274" s="338"/>
    </row>
    <row r="275" spans="3:34" x14ac:dyDescent="0.2">
      <c r="C275" s="338"/>
      <c r="D275" s="338"/>
      <c r="E275" s="338"/>
      <c r="F275" s="338"/>
      <c r="G275" s="338"/>
      <c r="H275" s="338"/>
      <c r="I275" s="338"/>
      <c r="J275" s="338"/>
      <c r="K275" s="338"/>
      <c r="L275" s="338"/>
      <c r="M275" s="339"/>
      <c r="N275" s="339"/>
      <c r="O275" s="339"/>
      <c r="P275" s="339"/>
      <c r="Q275" s="339"/>
      <c r="R275" s="340"/>
      <c r="S275" s="341"/>
      <c r="T275" s="338"/>
      <c r="U275" s="338"/>
      <c r="V275" s="338"/>
      <c r="W275" s="338"/>
      <c r="X275" s="338"/>
      <c r="Y275" s="338"/>
      <c r="Z275" s="339"/>
      <c r="AA275" s="339"/>
      <c r="AB275" s="339"/>
      <c r="AC275" s="339"/>
      <c r="AD275" s="339"/>
      <c r="AE275" s="339"/>
      <c r="AF275" s="339"/>
      <c r="AG275" s="339"/>
      <c r="AH275" s="338"/>
    </row>
    <row r="276" spans="3:34" x14ac:dyDescent="0.2">
      <c r="C276" s="338"/>
      <c r="D276" s="338"/>
      <c r="E276" s="338"/>
      <c r="F276" s="338"/>
      <c r="G276" s="338"/>
      <c r="H276" s="338"/>
      <c r="I276" s="338"/>
      <c r="J276" s="338"/>
      <c r="K276" s="338"/>
      <c r="L276" s="338"/>
      <c r="M276" s="339"/>
      <c r="N276" s="339"/>
      <c r="O276" s="339"/>
      <c r="P276" s="339"/>
      <c r="Q276" s="339"/>
      <c r="R276" s="340"/>
      <c r="S276" s="341"/>
      <c r="T276" s="338"/>
      <c r="U276" s="338"/>
      <c r="V276" s="338"/>
      <c r="W276" s="338"/>
      <c r="X276" s="338"/>
      <c r="Y276" s="338"/>
      <c r="Z276" s="339"/>
      <c r="AA276" s="339"/>
      <c r="AB276" s="339"/>
      <c r="AC276" s="339"/>
      <c r="AD276" s="339"/>
      <c r="AE276" s="339"/>
      <c r="AF276" s="339"/>
      <c r="AG276" s="339"/>
      <c r="AH276" s="338"/>
    </row>
    <row r="277" spans="3:34" x14ac:dyDescent="0.2">
      <c r="C277" s="338"/>
      <c r="D277" s="338"/>
      <c r="E277" s="338"/>
      <c r="F277" s="338"/>
      <c r="G277" s="338"/>
      <c r="H277" s="338"/>
      <c r="I277" s="338"/>
      <c r="J277" s="338"/>
      <c r="K277" s="338"/>
      <c r="L277" s="338"/>
      <c r="M277" s="339"/>
      <c r="N277" s="339"/>
      <c r="O277" s="339"/>
      <c r="P277" s="339"/>
      <c r="Q277" s="339"/>
      <c r="R277" s="340"/>
      <c r="S277" s="341"/>
      <c r="T277" s="338"/>
      <c r="U277" s="338"/>
      <c r="V277" s="338"/>
      <c r="W277" s="338"/>
      <c r="X277" s="338"/>
      <c r="Y277" s="338"/>
      <c r="Z277" s="339"/>
      <c r="AA277" s="339"/>
      <c r="AB277" s="339"/>
      <c r="AC277" s="339"/>
      <c r="AD277" s="339"/>
      <c r="AE277" s="339"/>
      <c r="AF277" s="339"/>
      <c r="AG277" s="339"/>
      <c r="AH277" s="338"/>
    </row>
    <row r="278" spans="3:34" x14ac:dyDescent="0.2">
      <c r="C278" s="338"/>
      <c r="D278" s="338"/>
      <c r="E278" s="338"/>
      <c r="F278" s="338"/>
      <c r="G278" s="338"/>
      <c r="H278" s="338"/>
      <c r="I278" s="338"/>
      <c r="J278" s="338"/>
      <c r="K278" s="338"/>
      <c r="L278" s="338"/>
      <c r="M278" s="339"/>
      <c r="N278" s="339"/>
      <c r="O278" s="339"/>
      <c r="P278" s="339"/>
      <c r="Q278" s="339"/>
      <c r="R278" s="340"/>
      <c r="S278" s="341"/>
      <c r="T278" s="338"/>
      <c r="U278" s="338"/>
      <c r="V278" s="338"/>
      <c r="W278" s="338"/>
      <c r="X278" s="338"/>
      <c r="Y278" s="338"/>
      <c r="Z278" s="339"/>
      <c r="AA278" s="339"/>
      <c r="AB278" s="339"/>
      <c r="AC278" s="339"/>
      <c r="AD278" s="339"/>
      <c r="AE278" s="339"/>
      <c r="AF278" s="339"/>
      <c r="AG278" s="339"/>
      <c r="AH278" s="338"/>
    </row>
    <row r="279" spans="3:34" x14ac:dyDescent="0.2">
      <c r="C279" s="338"/>
      <c r="D279" s="338"/>
      <c r="E279" s="338"/>
      <c r="F279" s="338"/>
      <c r="G279" s="338"/>
      <c r="H279" s="338"/>
      <c r="I279" s="338"/>
      <c r="J279" s="338"/>
      <c r="K279" s="338"/>
      <c r="L279" s="338"/>
      <c r="M279" s="339"/>
      <c r="N279" s="339"/>
      <c r="O279" s="339"/>
      <c r="P279" s="339"/>
      <c r="Q279" s="339"/>
      <c r="R279" s="340"/>
      <c r="S279" s="341"/>
      <c r="T279" s="338"/>
      <c r="U279" s="338"/>
      <c r="V279" s="338"/>
      <c r="W279" s="338"/>
      <c r="X279" s="338"/>
      <c r="Y279" s="338"/>
      <c r="Z279" s="339"/>
      <c r="AA279" s="339"/>
      <c r="AB279" s="339"/>
      <c r="AC279" s="339"/>
      <c r="AD279" s="339"/>
      <c r="AE279" s="339"/>
      <c r="AF279" s="339"/>
      <c r="AG279" s="339"/>
      <c r="AH279" s="338"/>
    </row>
    <row r="280" spans="3:34" x14ac:dyDescent="0.2">
      <c r="C280" s="338"/>
      <c r="D280" s="338"/>
      <c r="E280" s="338"/>
      <c r="F280" s="338"/>
      <c r="G280" s="338"/>
      <c r="H280" s="338"/>
      <c r="I280" s="338"/>
      <c r="J280" s="338"/>
      <c r="K280" s="338"/>
      <c r="L280" s="338"/>
      <c r="M280" s="339"/>
      <c r="N280" s="339"/>
      <c r="O280" s="339"/>
      <c r="P280" s="339"/>
      <c r="Q280" s="339"/>
      <c r="R280" s="340"/>
      <c r="S280" s="341"/>
      <c r="T280" s="338"/>
      <c r="U280" s="338"/>
      <c r="V280" s="338"/>
      <c r="W280" s="338"/>
      <c r="X280" s="338"/>
      <c r="Y280" s="338"/>
      <c r="Z280" s="339"/>
      <c r="AA280" s="339"/>
      <c r="AB280" s="339"/>
      <c r="AC280" s="339"/>
      <c r="AD280" s="339"/>
      <c r="AE280" s="339"/>
      <c r="AF280" s="339"/>
      <c r="AG280" s="339"/>
      <c r="AH280" s="338"/>
    </row>
    <row r="281" spans="3:34" x14ac:dyDescent="0.2">
      <c r="C281" s="338"/>
      <c r="D281" s="338"/>
      <c r="E281" s="338"/>
      <c r="F281" s="338"/>
      <c r="G281" s="338"/>
      <c r="H281" s="338"/>
      <c r="I281" s="338"/>
      <c r="J281" s="338"/>
      <c r="K281" s="338"/>
      <c r="L281" s="338"/>
      <c r="M281" s="339"/>
      <c r="N281" s="339"/>
      <c r="O281" s="339"/>
      <c r="P281" s="339"/>
      <c r="Q281" s="339"/>
      <c r="R281" s="340"/>
      <c r="S281" s="341"/>
      <c r="T281" s="338"/>
      <c r="U281" s="338"/>
      <c r="V281" s="338"/>
      <c r="W281" s="338"/>
      <c r="X281" s="338"/>
      <c r="Y281" s="338"/>
      <c r="Z281" s="339"/>
      <c r="AA281" s="339"/>
      <c r="AB281" s="339"/>
      <c r="AC281" s="339"/>
      <c r="AD281" s="339"/>
      <c r="AE281" s="339"/>
      <c r="AF281" s="339"/>
      <c r="AG281" s="339"/>
      <c r="AH281" s="338"/>
    </row>
    <row r="282" spans="3:34" x14ac:dyDescent="0.2">
      <c r="C282" s="338"/>
      <c r="D282" s="338"/>
      <c r="E282" s="338"/>
      <c r="F282" s="338"/>
      <c r="G282" s="338"/>
      <c r="H282" s="338"/>
      <c r="I282" s="338"/>
      <c r="J282" s="338"/>
      <c r="K282" s="338"/>
      <c r="L282" s="338"/>
      <c r="M282" s="339"/>
      <c r="N282" s="339"/>
      <c r="O282" s="339"/>
      <c r="P282" s="339"/>
      <c r="Q282" s="339"/>
      <c r="R282" s="340"/>
      <c r="S282" s="341"/>
      <c r="T282" s="338"/>
      <c r="U282" s="338"/>
      <c r="V282" s="338"/>
      <c r="W282" s="338"/>
      <c r="X282" s="338"/>
      <c r="Y282" s="338"/>
      <c r="Z282" s="339"/>
      <c r="AA282" s="339"/>
      <c r="AB282" s="339"/>
      <c r="AC282" s="339"/>
      <c r="AD282" s="339"/>
      <c r="AE282" s="339"/>
      <c r="AF282" s="339"/>
      <c r="AG282" s="339"/>
      <c r="AH282" s="338"/>
    </row>
    <row r="283" spans="3:34" x14ac:dyDescent="0.2">
      <c r="C283" s="338"/>
      <c r="D283" s="338"/>
      <c r="E283" s="338"/>
      <c r="F283" s="338"/>
      <c r="G283" s="338"/>
      <c r="H283" s="338"/>
      <c r="I283" s="338"/>
      <c r="J283" s="338"/>
      <c r="K283" s="338"/>
      <c r="L283" s="338"/>
      <c r="M283" s="339"/>
      <c r="N283" s="339"/>
      <c r="O283" s="339"/>
      <c r="P283" s="339"/>
      <c r="Q283" s="339"/>
      <c r="R283" s="340"/>
      <c r="S283" s="341"/>
      <c r="T283" s="338"/>
      <c r="U283" s="338"/>
      <c r="V283" s="338"/>
      <c r="W283" s="338"/>
      <c r="X283" s="338"/>
      <c r="Y283" s="338"/>
      <c r="Z283" s="339"/>
      <c r="AA283" s="339"/>
      <c r="AB283" s="339"/>
      <c r="AC283" s="339"/>
      <c r="AD283" s="339"/>
      <c r="AE283" s="339"/>
      <c r="AF283" s="339"/>
      <c r="AG283" s="339"/>
      <c r="AH283" s="338"/>
    </row>
    <row r="284" spans="3:34" x14ac:dyDescent="0.2">
      <c r="C284" s="338"/>
      <c r="D284" s="338"/>
      <c r="E284" s="338"/>
      <c r="F284" s="338"/>
      <c r="G284" s="338"/>
      <c r="H284" s="338"/>
      <c r="I284" s="338"/>
      <c r="J284" s="338"/>
      <c r="K284" s="338"/>
      <c r="L284" s="338"/>
      <c r="M284" s="339"/>
      <c r="N284" s="339"/>
      <c r="O284" s="339"/>
      <c r="P284" s="339"/>
      <c r="Q284" s="339"/>
      <c r="R284" s="340"/>
      <c r="S284" s="341"/>
      <c r="T284" s="338"/>
      <c r="U284" s="338"/>
      <c r="V284" s="338"/>
      <c r="W284" s="338"/>
      <c r="X284" s="338"/>
      <c r="Y284" s="338"/>
      <c r="Z284" s="339"/>
      <c r="AA284" s="339"/>
      <c r="AB284" s="339"/>
      <c r="AC284" s="339"/>
      <c r="AD284" s="339"/>
      <c r="AE284" s="339"/>
      <c r="AF284" s="339"/>
      <c r="AG284" s="339"/>
      <c r="AH284" s="338"/>
    </row>
    <row r="285" spans="3:34" x14ac:dyDescent="0.2">
      <c r="C285" s="338"/>
      <c r="D285" s="338"/>
      <c r="E285" s="338"/>
      <c r="F285" s="338"/>
      <c r="G285" s="338"/>
      <c r="H285" s="338"/>
      <c r="I285" s="338"/>
      <c r="J285" s="338"/>
      <c r="K285" s="338"/>
      <c r="L285" s="338"/>
      <c r="M285" s="339"/>
      <c r="N285" s="339"/>
      <c r="O285" s="339"/>
      <c r="P285" s="339"/>
      <c r="Q285" s="339"/>
      <c r="R285" s="340"/>
      <c r="S285" s="341"/>
      <c r="T285" s="338"/>
      <c r="U285" s="338"/>
      <c r="V285" s="338"/>
      <c r="W285" s="338"/>
      <c r="X285" s="338"/>
      <c r="Y285" s="338"/>
      <c r="Z285" s="339"/>
      <c r="AA285" s="339"/>
      <c r="AB285" s="339"/>
      <c r="AC285" s="339"/>
      <c r="AD285" s="339"/>
      <c r="AE285" s="339"/>
      <c r="AF285" s="339"/>
      <c r="AG285" s="339"/>
      <c r="AH285" s="338"/>
    </row>
    <row r="286" spans="3:34" x14ac:dyDescent="0.2">
      <c r="C286" s="338"/>
      <c r="D286" s="338"/>
      <c r="E286" s="338"/>
      <c r="F286" s="338"/>
      <c r="G286" s="338"/>
      <c r="H286" s="338"/>
      <c r="I286" s="338"/>
      <c r="J286" s="338"/>
      <c r="K286" s="338"/>
      <c r="L286" s="338"/>
      <c r="M286" s="339"/>
      <c r="N286" s="339"/>
      <c r="O286" s="339"/>
      <c r="P286" s="339"/>
      <c r="Q286" s="339"/>
      <c r="R286" s="340"/>
      <c r="S286" s="341"/>
      <c r="T286" s="338"/>
      <c r="U286" s="338"/>
      <c r="V286" s="338"/>
      <c r="W286" s="338"/>
      <c r="X286" s="338"/>
      <c r="Y286" s="338"/>
      <c r="Z286" s="339"/>
      <c r="AA286" s="339"/>
      <c r="AB286" s="339"/>
      <c r="AC286" s="339"/>
      <c r="AD286" s="339"/>
      <c r="AE286" s="339"/>
      <c r="AF286" s="339"/>
      <c r="AG286" s="339"/>
      <c r="AH286" s="338"/>
    </row>
    <row r="287" spans="3:34" x14ac:dyDescent="0.2">
      <c r="C287" s="338"/>
      <c r="D287" s="338"/>
      <c r="E287" s="338"/>
      <c r="F287" s="338"/>
      <c r="G287" s="338"/>
      <c r="H287" s="338"/>
      <c r="I287" s="338"/>
      <c r="J287" s="338"/>
      <c r="K287" s="338"/>
      <c r="L287" s="338"/>
      <c r="M287" s="339"/>
      <c r="N287" s="339"/>
      <c r="O287" s="339"/>
      <c r="P287" s="339"/>
      <c r="Q287" s="339"/>
      <c r="R287" s="340"/>
      <c r="S287" s="341"/>
      <c r="T287" s="338"/>
      <c r="U287" s="338"/>
      <c r="V287" s="338"/>
      <c r="W287" s="338"/>
      <c r="X287" s="338"/>
      <c r="Y287" s="338"/>
      <c r="Z287" s="339"/>
      <c r="AA287" s="339"/>
      <c r="AB287" s="339"/>
      <c r="AC287" s="339"/>
      <c r="AD287" s="339"/>
      <c r="AE287" s="339"/>
      <c r="AF287" s="339"/>
      <c r="AG287" s="339"/>
      <c r="AH287" s="338"/>
    </row>
    <row r="288" spans="3:34" x14ac:dyDescent="0.2">
      <c r="C288" s="338"/>
      <c r="D288" s="338"/>
      <c r="E288" s="338"/>
      <c r="F288" s="338"/>
      <c r="G288" s="338"/>
      <c r="H288" s="338"/>
      <c r="I288" s="338"/>
      <c r="J288" s="338"/>
      <c r="K288" s="338"/>
      <c r="L288" s="338"/>
      <c r="M288" s="339"/>
      <c r="N288" s="339"/>
      <c r="O288" s="339"/>
      <c r="P288" s="339"/>
      <c r="Q288" s="339"/>
      <c r="R288" s="340"/>
      <c r="S288" s="341"/>
      <c r="T288" s="338"/>
      <c r="U288" s="338"/>
      <c r="V288" s="338"/>
      <c r="W288" s="338"/>
      <c r="X288" s="338"/>
      <c r="Y288" s="338"/>
      <c r="Z288" s="339"/>
      <c r="AA288" s="339"/>
      <c r="AB288" s="339"/>
      <c r="AC288" s="339"/>
      <c r="AD288" s="339"/>
      <c r="AE288" s="339"/>
      <c r="AF288" s="339"/>
      <c r="AG288" s="339"/>
      <c r="AH288" s="338"/>
    </row>
    <row r="289" spans="3:34" x14ac:dyDescent="0.2">
      <c r="C289" s="338"/>
      <c r="D289" s="338"/>
      <c r="E289" s="338"/>
      <c r="F289" s="338"/>
      <c r="G289" s="338"/>
      <c r="H289" s="338"/>
      <c r="I289" s="338"/>
      <c r="J289" s="338"/>
      <c r="K289" s="338"/>
      <c r="L289" s="338"/>
      <c r="M289" s="339"/>
      <c r="N289" s="339"/>
      <c r="O289" s="339"/>
      <c r="P289" s="339"/>
      <c r="Q289" s="339"/>
      <c r="R289" s="340"/>
      <c r="S289" s="341"/>
      <c r="T289" s="338"/>
      <c r="U289" s="338"/>
      <c r="V289" s="338"/>
      <c r="W289" s="338"/>
      <c r="X289" s="338"/>
      <c r="Y289" s="338"/>
      <c r="Z289" s="339"/>
      <c r="AA289" s="339"/>
      <c r="AB289" s="339"/>
      <c r="AC289" s="339"/>
      <c r="AD289" s="339"/>
      <c r="AE289" s="339"/>
      <c r="AF289" s="339"/>
      <c r="AG289" s="339"/>
      <c r="AH289" s="338"/>
    </row>
    <row r="290" spans="3:34" x14ac:dyDescent="0.2">
      <c r="C290" s="338"/>
      <c r="D290" s="338"/>
      <c r="E290" s="338"/>
      <c r="F290" s="338"/>
      <c r="G290" s="338"/>
      <c r="H290" s="338"/>
      <c r="I290" s="338"/>
      <c r="J290" s="338"/>
      <c r="K290" s="338"/>
      <c r="L290" s="338"/>
      <c r="M290" s="339"/>
      <c r="N290" s="339"/>
      <c r="O290" s="339"/>
      <c r="P290" s="339"/>
      <c r="Q290" s="339"/>
      <c r="R290" s="340"/>
      <c r="S290" s="341"/>
      <c r="T290" s="338"/>
      <c r="U290" s="338"/>
      <c r="V290" s="338"/>
      <c r="W290" s="338"/>
      <c r="X290" s="338"/>
      <c r="Y290" s="338"/>
      <c r="Z290" s="339"/>
      <c r="AA290" s="339"/>
      <c r="AB290" s="339"/>
      <c r="AC290" s="339"/>
      <c r="AD290" s="339"/>
      <c r="AE290" s="339"/>
      <c r="AF290" s="339"/>
      <c r="AG290" s="339"/>
      <c r="AH290" s="338"/>
    </row>
    <row r="291" spans="3:34" x14ac:dyDescent="0.2">
      <c r="C291" s="338"/>
      <c r="D291" s="338"/>
      <c r="E291" s="338"/>
      <c r="F291" s="338"/>
      <c r="G291" s="338"/>
      <c r="H291" s="338"/>
      <c r="I291" s="338"/>
      <c r="J291" s="338"/>
      <c r="K291" s="338"/>
      <c r="L291" s="338"/>
      <c r="M291" s="339"/>
      <c r="N291" s="339"/>
      <c r="O291" s="339"/>
      <c r="P291" s="339"/>
      <c r="Q291" s="339"/>
      <c r="R291" s="340"/>
      <c r="S291" s="341"/>
      <c r="T291" s="338"/>
      <c r="U291" s="338"/>
      <c r="V291" s="338"/>
      <c r="W291" s="338"/>
      <c r="X291" s="338"/>
      <c r="Y291" s="338"/>
      <c r="Z291" s="339"/>
      <c r="AA291" s="339"/>
      <c r="AB291" s="339"/>
      <c r="AC291" s="339"/>
      <c r="AD291" s="339"/>
      <c r="AE291" s="339"/>
      <c r="AF291" s="339"/>
      <c r="AG291" s="339"/>
      <c r="AH291" s="338"/>
    </row>
    <row r="292" spans="3:34" x14ac:dyDescent="0.2">
      <c r="C292" s="338"/>
      <c r="D292" s="338"/>
      <c r="E292" s="338"/>
      <c r="F292" s="338"/>
      <c r="G292" s="338"/>
      <c r="H292" s="338"/>
      <c r="I292" s="338"/>
      <c r="J292" s="338"/>
      <c r="K292" s="338"/>
      <c r="L292" s="338"/>
      <c r="M292" s="339"/>
      <c r="N292" s="339"/>
      <c r="O292" s="339"/>
      <c r="P292" s="339"/>
      <c r="Q292" s="339"/>
      <c r="R292" s="340"/>
      <c r="S292" s="341"/>
      <c r="T292" s="338"/>
      <c r="U292" s="338"/>
      <c r="V292" s="338"/>
      <c r="W292" s="338"/>
      <c r="X292" s="338"/>
      <c r="Y292" s="338"/>
      <c r="Z292" s="339"/>
      <c r="AA292" s="339"/>
      <c r="AB292" s="339"/>
      <c r="AC292" s="339"/>
      <c r="AD292" s="339"/>
      <c r="AE292" s="339"/>
      <c r="AF292" s="339"/>
      <c r="AG292" s="339"/>
      <c r="AH292" s="338"/>
    </row>
    <row r="293" spans="3:34" x14ac:dyDescent="0.2">
      <c r="C293" s="338"/>
      <c r="D293" s="338"/>
      <c r="E293" s="338"/>
      <c r="F293" s="338"/>
      <c r="G293" s="338"/>
      <c r="H293" s="338"/>
      <c r="I293" s="338"/>
      <c r="J293" s="338"/>
      <c r="K293" s="338"/>
      <c r="L293" s="338"/>
      <c r="M293" s="339"/>
      <c r="N293" s="339"/>
      <c r="O293" s="339"/>
      <c r="P293" s="339"/>
      <c r="Q293" s="339"/>
      <c r="R293" s="340"/>
      <c r="S293" s="341"/>
      <c r="T293" s="338"/>
      <c r="U293" s="338"/>
      <c r="V293" s="338"/>
      <c r="W293" s="338"/>
      <c r="X293" s="338"/>
      <c r="Y293" s="338"/>
      <c r="Z293" s="339"/>
      <c r="AA293" s="339"/>
      <c r="AB293" s="339"/>
      <c r="AC293" s="339"/>
      <c r="AD293" s="339"/>
      <c r="AE293" s="339"/>
      <c r="AF293" s="339"/>
      <c r="AG293" s="339"/>
      <c r="AH293" s="338"/>
    </row>
    <row r="294" spans="3:34" x14ac:dyDescent="0.2">
      <c r="C294" s="338"/>
      <c r="D294" s="338"/>
      <c r="E294" s="338"/>
      <c r="F294" s="338"/>
      <c r="G294" s="338"/>
      <c r="H294" s="338"/>
      <c r="I294" s="338"/>
      <c r="J294" s="338"/>
      <c r="K294" s="338"/>
      <c r="L294" s="338"/>
      <c r="M294" s="339"/>
      <c r="N294" s="339"/>
      <c r="O294" s="339"/>
      <c r="P294" s="339"/>
      <c r="Q294" s="339"/>
      <c r="R294" s="340"/>
      <c r="S294" s="341"/>
      <c r="T294" s="338"/>
      <c r="U294" s="338"/>
      <c r="V294" s="338"/>
      <c r="W294" s="338"/>
      <c r="X294" s="338"/>
      <c r="Y294" s="338"/>
      <c r="Z294" s="339"/>
      <c r="AA294" s="339"/>
      <c r="AB294" s="339"/>
      <c r="AC294" s="339"/>
      <c r="AD294" s="339"/>
      <c r="AE294" s="339"/>
      <c r="AF294" s="339"/>
      <c r="AG294" s="339"/>
      <c r="AH294" s="338"/>
    </row>
    <row r="295" spans="3:34" x14ac:dyDescent="0.2">
      <c r="C295" s="338"/>
      <c r="D295" s="338"/>
      <c r="E295" s="338"/>
      <c r="F295" s="338"/>
      <c r="G295" s="338"/>
      <c r="H295" s="338"/>
      <c r="I295" s="338"/>
      <c r="J295" s="338"/>
      <c r="K295" s="338"/>
      <c r="L295" s="338"/>
      <c r="M295" s="339"/>
      <c r="N295" s="339"/>
      <c r="O295" s="339"/>
      <c r="P295" s="339"/>
      <c r="Q295" s="339"/>
      <c r="R295" s="340"/>
      <c r="S295" s="341"/>
      <c r="T295" s="338"/>
      <c r="U295" s="338"/>
      <c r="V295" s="338"/>
      <c r="W295" s="338"/>
      <c r="X295" s="338"/>
      <c r="Y295" s="338"/>
      <c r="Z295" s="339"/>
      <c r="AA295" s="339"/>
      <c r="AB295" s="339"/>
      <c r="AC295" s="339"/>
      <c r="AD295" s="339"/>
      <c r="AE295" s="339"/>
      <c r="AF295" s="339"/>
      <c r="AG295" s="339"/>
      <c r="AH295" s="338"/>
    </row>
    <row r="296" spans="3:34" x14ac:dyDescent="0.2">
      <c r="C296" s="338"/>
      <c r="D296" s="338"/>
      <c r="E296" s="338"/>
      <c r="F296" s="338"/>
      <c r="G296" s="338"/>
      <c r="H296" s="338"/>
      <c r="I296" s="338"/>
      <c r="J296" s="338"/>
      <c r="K296" s="338"/>
      <c r="L296" s="338"/>
      <c r="M296" s="339"/>
      <c r="N296" s="339"/>
      <c r="O296" s="339"/>
      <c r="P296" s="339"/>
      <c r="Q296" s="339"/>
      <c r="R296" s="340"/>
      <c r="S296" s="341"/>
      <c r="T296" s="338"/>
      <c r="U296" s="338"/>
      <c r="V296" s="338"/>
      <c r="W296" s="338"/>
      <c r="X296" s="338"/>
      <c r="Y296" s="338"/>
      <c r="Z296" s="339"/>
      <c r="AA296" s="339"/>
      <c r="AB296" s="339"/>
      <c r="AC296" s="339"/>
      <c r="AD296" s="339"/>
      <c r="AE296" s="339"/>
      <c r="AF296" s="339"/>
      <c r="AG296" s="339"/>
      <c r="AH296" s="338"/>
    </row>
    <row r="297" spans="3:34" x14ac:dyDescent="0.2">
      <c r="C297" s="338"/>
      <c r="D297" s="338"/>
      <c r="E297" s="338"/>
      <c r="F297" s="338"/>
      <c r="G297" s="338"/>
      <c r="H297" s="338"/>
      <c r="I297" s="338"/>
      <c r="J297" s="338"/>
      <c r="K297" s="338"/>
      <c r="L297" s="338"/>
      <c r="M297" s="339"/>
      <c r="N297" s="339"/>
      <c r="O297" s="339"/>
      <c r="P297" s="339"/>
      <c r="Q297" s="339"/>
      <c r="R297" s="340"/>
      <c r="S297" s="341"/>
      <c r="T297" s="338"/>
      <c r="U297" s="338"/>
      <c r="V297" s="338"/>
      <c r="W297" s="338"/>
      <c r="X297" s="338"/>
      <c r="Y297" s="338"/>
      <c r="Z297" s="339"/>
      <c r="AA297" s="339"/>
      <c r="AB297" s="339"/>
      <c r="AC297" s="339"/>
      <c r="AD297" s="339"/>
      <c r="AE297" s="339"/>
      <c r="AF297" s="339"/>
      <c r="AG297" s="339"/>
      <c r="AH297" s="338"/>
    </row>
    <row r="298" spans="3:34" x14ac:dyDescent="0.2">
      <c r="C298" s="338"/>
      <c r="D298" s="338"/>
      <c r="E298" s="338"/>
      <c r="F298" s="338"/>
      <c r="G298" s="338"/>
      <c r="H298" s="338"/>
      <c r="I298" s="338"/>
      <c r="J298" s="338"/>
      <c r="K298" s="338"/>
      <c r="L298" s="338"/>
      <c r="M298" s="339"/>
      <c r="N298" s="339"/>
      <c r="O298" s="339"/>
      <c r="P298" s="339"/>
      <c r="Q298" s="339"/>
      <c r="R298" s="340"/>
      <c r="S298" s="341"/>
      <c r="T298" s="338"/>
      <c r="U298" s="338"/>
      <c r="V298" s="338"/>
      <c r="W298" s="338"/>
      <c r="X298" s="338"/>
      <c r="Y298" s="338"/>
      <c r="Z298" s="339"/>
      <c r="AA298" s="339"/>
      <c r="AB298" s="339"/>
      <c r="AC298" s="339"/>
      <c r="AD298" s="339"/>
      <c r="AE298" s="339"/>
      <c r="AF298" s="339"/>
      <c r="AG298" s="339"/>
      <c r="AH298" s="338"/>
    </row>
    <row r="299" spans="3:34" x14ac:dyDescent="0.2">
      <c r="C299" s="338"/>
      <c r="D299" s="338"/>
      <c r="E299" s="338"/>
      <c r="F299" s="338"/>
      <c r="G299" s="338"/>
      <c r="H299" s="338"/>
      <c r="I299" s="338"/>
      <c r="J299" s="338"/>
      <c r="K299" s="338"/>
      <c r="L299" s="338"/>
      <c r="M299" s="339"/>
      <c r="N299" s="339"/>
      <c r="O299" s="339"/>
      <c r="P299" s="339"/>
      <c r="Q299" s="339"/>
      <c r="R299" s="340"/>
      <c r="S299" s="341"/>
      <c r="T299" s="338"/>
      <c r="U299" s="338"/>
      <c r="V299" s="338"/>
      <c r="W299" s="338"/>
      <c r="X299" s="338"/>
      <c r="Y299" s="338"/>
      <c r="Z299" s="339"/>
      <c r="AA299" s="339"/>
      <c r="AB299" s="339"/>
      <c r="AC299" s="339"/>
      <c r="AD299" s="339"/>
      <c r="AE299" s="339"/>
      <c r="AF299" s="339"/>
      <c r="AG299" s="339"/>
      <c r="AH299" s="338"/>
    </row>
    <row r="300" spans="3:34" x14ac:dyDescent="0.2">
      <c r="C300" s="338"/>
      <c r="D300" s="338"/>
      <c r="E300" s="338"/>
      <c r="F300" s="338"/>
      <c r="G300" s="338"/>
      <c r="H300" s="338"/>
      <c r="I300" s="338"/>
      <c r="J300" s="338"/>
      <c r="K300" s="338"/>
      <c r="L300" s="338"/>
      <c r="M300" s="339"/>
      <c r="N300" s="339"/>
      <c r="O300" s="339"/>
      <c r="P300" s="339"/>
      <c r="Q300" s="339"/>
      <c r="R300" s="340"/>
      <c r="S300" s="341"/>
      <c r="T300" s="338"/>
      <c r="U300" s="338"/>
      <c r="V300" s="338"/>
      <c r="W300" s="338"/>
      <c r="X300" s="338"/>
      <c r="Y300" s="338"/>
      <c r="Z300" s="339"/>
      <c r="AA300" s="339"/>
      <c r="AB300" s="339"/>
      <c r="AC300" s="339"/>
      <c r="AD300" s="339"/>
      <c r="AE300" s="339"/>
      <c r="AF300" s="339"/>
      <c r="AG300" s="339"/>
      <c r="AH300" s="338"/>
    </row>
    <row r="301" spans="3:34" x14ac:dyDescent="0.2">
      <c r="C301" s="338"/>
      <c r="D301" s="338"/>
      <c r="E301" s="338"/>
      <c r="F301" s="338"/>
      <c r="G301" s="338"/>
      <c r="H301" s="338"/>
      <c r="I301" s="338"/>
      <c r="J301" s="338"/>
      <c r="K301" s="338"/>
      <c r="L301" s="338"/>
      <c r="M301" s="339"/>
      <c r="N301" s="339"/>
      <c r="O301" s="339"/>
      <c r="P301" s="339"/>
      <c r="Q301" s="339"/>
      <c r="R301" s="340"/>
      <c r="S301" s="341"/>
      <c r="T301" s="338"/>
      <c r="U301" s="338"/>
      <c r="V301" s="338"/>
      <c r="W301" s="338"/>
      <c r="X301" s="338"/>
      <c r="Y301" s="338"/>
      <c r="Z301" s="339"/>
      <c r="AA301" s="339"/>
      <c r="AB301" s="339"/>
      <c r="AC301" s="339"/>
      <c r="AD301" s="339"/>
      <c r="AE301" s="339"/>
      <c r="AF301" s="339"/>
      <c r="AG301" s="339"/>
      <c r="AH301" s="338"/>
    </row>
    <row r="302" spans="3:34" x14ac:dyDescent="0.2">
      <c r="C302" s="338"/>
      <c r="D302" s="338"/>
      <c r="E302" s="338"/>
      <c r="F302" s="338"/>
      <c r="G302" s="338"/>
      <c r="H302" s="338"/>
      <c r="I302" s="338"/>
      <c r="J302" s="338"/>
      <c r="K302" s="338"/>
      <c r="L302" s="338"/>
      <c r="M302" s="339"/>
      <c r="N302" s="339"/>
      <c r="O302" s="339"/>
      <c r="P302" s="339"/>
      <c r="Q302" s="339"/>
      <c r="R302" s="340"/>
      <c r="S302" s="341"/>
      <c r="T302" s="338"/>
      <c r="U302" s="338"/>
      <c r="V302" s="338"/>
      <c r="W302" s="338"/>
      <c r="X302" s="338"/>
      <c r="Y302" s="338"/>
      <c r="Z302" s="339"/>
      <c r="AA302" s="339"/>
      <c r="AB302" s="339"/>
      <c r="AC302" s="339"/>
      <c r="AD302" s="339"/>
      <c r="AE302" s="339"/>
      <c r="AF302" s="339"/>
      <c r="AG302" s="339"/>
      <c r="AH302" s="338"/>
    </row>
    <row r="303" spans="3:34" x14ac:dyDescent="0.2">
      <c r="C303" s="338"/>
      <c r="D303" s="338"/>
      <c r="E303" s="338"/>
      <c r="F303" s="338"/>
      <c r="G303" s="338"/>
      <c r="H303" s="338"/>
      <c r="I303" s="338"/>
      <c r="J303" s="338"/>
      <c r="K303" s="338"/>
      <c r="L303" s="338"/>
      <c r="M303" s="339"/>
      <c r="N303" s="339"/>
      <c r="O303" s="339"/>
      <c r="P303" s="339"/>
      <c r="Q303" s="339"/>
      <c r="R303" s="340"/>
      <c r="S303" s="341"/>
      <c r="T303" s="338"/>
      <c r="U303" s="338"/>
      <c r="V303" s="338"/>
      <c r="W303" s="338"/>
      <c r="X303" s="338"/>
      <c r="Y303" s="338"/>
      <c r="Z303" s="339"/>
      <c r="AA303" s="339"/>
      <c r="AB303" s="339"/>
      <c r="AC303" s="339"/>
      <c r="AD303" s="339"/>
      <c r="AE303" s="339"/>
      <c r="AF303" s="339"/>
      <c r="AG303" s="339"/>
      <c r="AH303" s="338"/>
    </row>
    <row r="304" spans="3:34" x14ac:dyDescent="0.2">
      <c r="C304" s="338"/>
      <c r="D304" s="338"/>
      <c r="E304" s="338"/>
      <c r="F304" s="338"/>
      <c r="G304" s="338"/>
      <c r="H304" s="338"/>
      <c r="I304" s="338"/>
      <c r="J304" s="338"/>
      <c r="K304" s="338"/>
      <c r="L304" s="338"/>
      <c r="M304" s="339"/>
      <c r="N304" s="339"/>
      <c r="O304" s="339"/>
      <c r="P304" s="339"/>
      <c r="Q304" s="339"/>
      <c r="R304" s="340"/>
      <c r="S304" s="341"/>
      <c r="T304" s="338"/>
      <c r="U304" s="338"/>
      <c r="V304" s="338"/>
      <c r="W304" s="338"/>
      <c r="X304" s="338"/>
      <c r="Y304" s="338"/>
      <c r="Z304" s="339"/>
      <c r="AA304" s="339"/>
      <c r="AB304" s="339"/>
      <c r="AC304" s="339"/>
      <c r="AD304" s="339"/>
      <c r="AE304" s="339"/>
      <c r="AF304" s="339"/>
      <c r="AG304" s="339"/>
      <c r="AH304" s="338"/>
    </row>
    <row r="305" spans="3:34" x14ac:dyDescent="0.2">
      <c r="C305" s="338"/>
      <c r="D305" s="338"/>
      <c r="E305" s="338"/>
      <c r="F305" s="338"/>
      <c r="G305" s="338"/>
      <c r="H305" s="338"/>
      <c r="I305" s="338"/>
      <c r="J305" s="338"/>
      <c r="K305" s="338"/>
      <c r="L305" s="338"/>
      <c r="M305" s="339"/>
      <c r="N305" s="339"/>
      <c r="O305" s="339"/>
      <c r="P305" s="339"/>
      <c r="Q305" s="339"/>
      <c r="R305" s="340"/>
      <c r="S305" s="341"/>
      <c r="T305" s="338"/>
      <c r="U305" s="338"/>
      <c r="V305" s="338"/>
      <c r="W305" s="338"/>
      <c r="X305" s="338"/>
      <c r="Y305" s="338"/>
      <c r="Z305" s="339"/>
      <c r="AA305" s="339"/>
      <c r="AB305" s="339"/>
      <c r="AC305" s="339"/>
      <c r="AD305" s="339"/>
      <c r="AE305" s="339"/>
      <c r="AF305" s="339"/>
      <c r="AG305" s="339"/>
      <c r="AH305" s="338"/>
    </row>
    <row r="306" spans="3:34" x14ac:dyDescent="0.2">
      <c r="C306" s="338"/>
      <c r="D306" s="338"/>
      <c r="E306" s="338"/>
      <c r="F306" s="338"/>
      <c r="G306" s="338"/>
      <c r="H306" s="338"/>
      <c r="I306" s="338"/>
      <c r="J306" s="338"/>
      <c r="K306" s="338"/>
      <c r="L306" s="338"/>
      <c r="M306" s="339"/>
      <c r="N306" s="339"/>
      <c r="O306" s="339"/>
      <c r="P306" s="339"/>
      <c r="Q306" s="339"/>
      <c r="R306" s="340"/>
      <c r="S306" s="341"/>
      <c r="T306" s="338"/>
      <c r="U306" s="338"/>
      <c r="V306" s="338"/>
      <c r="W306" s="338"/>
      <c r="X306" s="338"/>
      <c r="Y306" s="338"/>
      <c r="Z306" s="339"/>
      <c r="AA306" s="339"/>
      <c r="AB306" s="339"/>
      <c r="AC306" s="339"/>
      <c r="AD306" s="339"/>
      <c r="AE306" s="339"/>
      <c r="AF306" s="339"/>
      <c r="AG306" s="339"/>
      <c r="AH306" s="338"/>
    </row>
    <row r="307" spans="3:34" x14ac:dyDescent="0.2">
      <c r="C307" s="338"/>
      <c r="D307" s="338"/>
      <c r="E307" s="338"/>
      <c r="F307" s="338"/>
      <c r="G307" s="338"/>
      <c r="H307" s="338"/>
      <c r="I307" s="338"/>
      <c r="J307" s="338"/>
      <c r="K307" s="338"/>
      <c r="L307" s="338"/>
      <c r="M307" s="339"/>
      <c r="N307" s="339"/>
      <c r="O307" s="339"/>
      <c r="P307" s="339"/>
      <c r="Q307" s="339"/>
      <c r="R307" s="340"/>
      <c r="S307" s="341"/>
      <c r="T307" s="338"/>
      <c r="U307" s="338"/>
      <c r="V307" s="338"/>
      <c r="W307" s="338"/>
      <c r="X307" s="338"/>
      <c r="Y307" s="338"/>
      <c r="Z307" s="339"/>
      <c r="AA307" s="339"/>
      <c r="AB307" s="339"/>
      <c r="AC307" s="339"/>
      <c r="AD307" s="339"/>
      <c r="AE307" s="339"/>
      <c r="AF307" s="339"/>
      <c r="AG307" s="339"/>
      <c r="AH307" s="338"/>
    </row>
    <row r="308" spans="3:34" x14ac:dyDescent="0.2">
      <c r="C308" s="338"/>
      <c r="D308" s="338"/>
      <c r="E308" s="338"/>
      <c r="F308" s="338"/>
      <c r="G308" s="338"/>
      <c r="H308" s="338"/>
      <c r="I308" s="338"/>
      <c r="J308" s="338"/>
      <c r="K308" s="338"/>
      <c r="L308" s="338"/>
      <c r="M308" s="339"/>
      <c r="N308" s="339"/>
      <c r="O308" s="339"/>
      <c r="P308" s="339"/>
      <c r="Q308" s="339"/>
      <c r="R308" s="340"/>
      <c r="S308" s="341"/>
      <c r="T308" s="338"/>
      <c r="U308" s="338"/>
      <c r="V308" s="338"/>
      <c r="W308" s="338"/>
      <c r="X308" s="338"/>
      <c r="Y308" s="338"/>
      <c r="Z308" s="339"/>
      <c r="AA308" s="339"/>
      <c r="AB308" s="339"/>
      <c r="AC308" s="339"/>
      <c r="AD308" s="339"/>
      <c r="AE308" s="339"/>
      <c r="AF308" s="339"/>
      <c r="AG308" s="339"/>
      <c r="AH308" s="338"/>
    </row>
    <row r="309" spans="3:34" x14ac:dyDescent="0.2">
      <c r="C309" s="338"/>
      <c r="D309" s="338"/>
      <c r="E309" s="338"/>
      <c r="F309" s="338"/>
      <c r="G309" s="338"/>
      <c r="H309" s="338"/>
      <c r="I309" s="338"/>
      <c r="J309" s="338"/>
      <c r="K309" s="338"/>
      <c r="L309" s="338"/>
      <c r="M309" s="339"/>
      <c r="N309" s="339"/>
      <c r="O309" s="339"/>
      <c r="P309" s="339"/>
      <c r="Q309" s="339"/>
      <c r="R309" s="340"/>
      <c r="S309" s="341"/>
      <c r="T309" s="338"/>
      <c r="U309" s="338"/>
      <c r="V309" s="338"/>
      <c r="W309" s="338"/>
      <c r="X309" s="338"/>
      <c r="Y309" s="338"/>
      <c r="Z309" s="339"/>
      <c r="AA309" s="339"/>
      <c r="AB309" s="339"/>
      <c r="AC309" s="339"/>
      <c r="AD309" s="339"/>
      <c r="AE309" s="339"/>
      <c r="AF309" s="339"/>
      <c r="AG309" s="339"/>
      <c r="AH309" s="338"/>
    </row>
    <row r="310" spans="3:34" x14ac:dyDescent="0.2">
      <c r="C310" s="338"/>
      <c r="D310" s="338"/>
      <c r="E310" s="338"/>
      <c r="F310" s="338"/>
      <c r="G310" s="338"/>
      <c r="H310" s="338"/>
      <c r="I310" s="338"/>
      <c r="J310" s="338"/>
      <c r="K310" s="338"/>
      <c r="L310" s="338"/>
      <c r="M310" s="339"/>
      <c r="N310" s="339"/>
      <c r="O310" s="339"/>
      <c r="P310" s="339"/>
      <c r="Q310" s="339"/>
      <c r="R310" s="340"/>
      <c r="S310" s="341"/>
      <c r="T310" s="338"/>
      <c r="U310" s="338"/>
      <c r="V310" s="338"/>
      <c r="W310" s="338"/>
      <c r="X310" s="338"/>
      <c r="Y310" s="338"/>
      <c r="Z310" s="339"/>
      <c r="AA310" s="339"/>
      <c r="AB310" s="339"/>
      <c r="AC310" s="339"/>
      <c r="AD310" s="339"/>
      <c r="AE310" s="339"/>
      <c r="AF310" s="339"/>
      <c r="AG310" s="339"/>
      <c r="AH310" s="338"/>
    </row>
    <row r="311" spans="3:34" x14ac:dyDescent="0.2">
      <c r="C311" s="338"/>
      <c r="D311" s="338"/>
      <c r="E311" s="338"/>
      <c r="F311" s="338"/>
      <c r="G311" s="338"/>
      <c r="H311" s="338"/>
      <c r="I311" s="338"/>
      <c r="J311" s="338"/>
      <c r="K311" s="338"/>
      <c r="L311" s="338"/>
      <c r="M311" s="339"/>
      <c r="N311" s="339"/>
      <c r="O311" s="339"/>
      <c r="P311" s="339"/>
      <c r="Q311" s="339"/>
      <c r="R311" s="340"/>
      <c r="S311" s="341"/>
      <c r="T311" s="338"/>
      <c r="U311" s="338"/>
      <c r="V311" s="338"/>
      <c r="W311" s="338"/>
      <c r="X311" s="338"/>
      <c r="Y311" s="338"/>
      <c r="Z311" s="339"/>
      <c r="AA311" s="339"/>
      <c r="AB311" s="339"/>
      <c r="AC311" s="339"/>
      <c r="AD311" s="339"/>
      <c r="AE311" s="339"/>
      <c r="AF311" s="339"/>
      <c r="AG311" s="339"/>
      <c r="AH311" s="338"/>
    </row>
    <row r="312" spans="3:34" x14ac:dyDescent="0.2">
      <c r="C312" s="338"/>
      <c r="D312" s="338"/>
      <c r="E312" s="338"/>
      <c r="F312" s="338"/>
      <c r="G312" s="338"/>
      <c r="H312" s="338"/>
      <c r="I312" s="338"/>
      <c r="J312" s="338"/>
      <c r="K312" s="338"/>
      <c r="L312" s="338"/>
      <c r="M312" s="339"/>
      <c r="N312" s="339"/>
      <c r="O312" s="339"/>
      <c r="P312" s="339"/>
      <c r="Q312" s="339"/>
      <c r="R312" s="340"/>
      <c r="S312" s="341"/>
      <c r="T312" s="338"/>
      <c r="U312" s="338"/>
      <c r="V312" s="338"/>
      <c r="W312" s="338"/>
      <c r="X312" s="338"/>
      <c r="Y312" s="338"/>
      <c r="Z312" s="339"/>
      <c r="AA312" s="339"/>
      <c r="AB312" s="339"/>
      <c r="AC312" s="339"/>
      <c r="AD312" s="339"/>
      <c r="AE312" s="339"/>
      <c r="AF312" s="339"/>
      <c r="AG312" s="339"/>
      <c r="AH312" s="338"/>
    </row>
    <row r="313" spans="3:34" x14ac:dyDescent="0.2">
      <c r="C313" s="338"/>
      <c r="D313" s="338"/>
      <c r="E313" s="338"/>
      <c r="F313" s="338"/>
      <c r="G313" s="338"/>
      <c r="H313" s="338"/>
      <c r="I313" s="338"/>
      <c r="J313" s="338"/>
      <c r="K313" s="338"/>
      <c r="L313" s="338"/>
      <c r="M313" s="339"/>
      <c r="N313" s="339"/>
      <c r="O313" s="339"/>
      <c r="P313" s="339"/>
      <c r="Q313" s="339"/>
      <c r="R313" s="340"/>
      <c r="S313" s="341"/>
      <c r="T313" s="338"/>
      <c r="U313" s="338"/>
      <c r="V313" s="338"/>
      <c r="W313" s="338"/>
      <c r="X313" s="338"/>
      <c r="Y313" s="338"/>
      <c r="Z313" s="339"/>
      <c r="AA313" s="339"/>
      <c r="AB313" s="339"/>
      <c r="AC313" s="339"/>
      <c r="AD313" s="339"/>
      <c r="AE313" s="339"/>
      <c r="AF313" s="339"/>
      <c r="AG313" s="339"/>
      <c r="AH313" s="338"/>
    </row>
    <row r="314" spans="3:34" x14ac:dyDescent="0.2">
      <c r="C314" s="338"/>
      <c r="D314" s="338"/>
      <c r="E314" s="338"/>
      <c r="F314" s="338"/>
      <c r="G314" s="338"/>
      <c r="H314" s="338"/>
      <c r="I314" s="338"/>
      <c r="J314" s="338"/>
      <c r="K314" s="338"/>
      <c r="L314" s="338"/>
      <c r="M314" s="339"/>
      <c r="N314" s="339"/>
      <c r="O314" s="339"/>
      <c r="P314" s="339"/>
      <c r="Q314" s="339"/>
      <c r="R314" s="340"/>
      <c r="S314" s="341"/>
      <c r="T314" s="338"/>
      <c r="U314" s="338"/>
      <c r="V314" s="338"/>
      <c r="W314" s="338"/>
      <c r="X314" s="338"/>
      <c r="Y314" s="338"/>
      <c r="Z314" s="339"/>
      <c r="AA314" s="339"/>
      <c r="AB314" s="339"/>
      <c r="AC314" s="339"/>
      <c r="AD314" s="339"/>
      <c r="AE314" s="339"/>
      <c r="AF314" s="339"/>
      <c r="AG314" s="339"/>
      <c r="AH314" s="338"/>
    </row>
    <row r="315" spans="3:34" x14ac:dyDescent="0.2">
      <c r="C315" s="338"/>
      <c r="D315" s="338"/>
      <c r="E315" s="338"/>
      <c r="F315" s="338"/>
      <c r="G315" s="338"/>
      <c r="H315" s="338"/>
      <c r="I315" s="338"/>
      <c r="J315" s="338"/>
      <c r="K315" s="338"/>
      <c r="L315" s="338"/>
      <c r="M315" s="339"/>
      <c r="N315" s="339"/>
      <c r="O315" s="339"/>
      <c r="P315" s="339"/>
      <c r="Q315" s="339"/>
      <c r="R315" s="340"/>
      <c r="S315" s="341"/>
      <c r="T315" s="338"/>
      <c r="U315" s="338"/>
      <c r="V315" s="338"/>
      <c r="W315" s="338"/>
      <c r="X315" s="338"/>
      <c r="Y315" s="338"/>
      <c r="Z315" s="339"/>
      <c r="AA315" s="339"/>
      <c r="AB315" s="339"/>
      <c r="AC315" s="339"/>
      <c r="AD315" s="339"/>
      <c r="AE315" s="339"/>
      <c r="AF315" s="339"/>
      <c r="AG315" s="339"/>
      <c r="AH315" s="338"/>
    </row>
    <row r="316" spans="3:34" x14ac:dyDescent="0.2">
      <c r="C316" s="338"/>
      <c r="D316" s="338"/>
      <c r="E316" s="338"/>
      <c r="F316" s="338"/>
      <c r="G316" s="338"/>
      <c r="H316" s="338"/>
      <c r="I316" s="338"/>
      <c r="J316" s="338"/>
      <c r="K316" s="338"/>
      <c r="L316" s="338"/>
      <c r="M316" s="339"/>
      <c r="N316" s="339"/>
      <c r="O316" s="339"/>
      <c r="P316" s="339"/>
      <c r="Q316" s="339"/>
      <c r="R316" s="340"/>
      <c r="S316" s="341"/>
      <c r="T316" s="338"/>
      <c r="U316" s="338"/>
      <c r="V316" s="338"/>
      <c r="W316" s="338"/>
      <c r="X316" s="338"/>
      <c r="Y316" s="338"/>
      <c r="Z316" s="339"/>
      <c r="AA316" s="339"/>
      <c r="AB316" s="339"/>
      <c r="AC316" s="339"/>
      <c r="AD316" s="339"/>
      <c r="AE316" s="339"/>
      <c r="AF316" s="339"/>
      <c r="AG316" s="339"/>
      <c r="AH316" s="338"/>
    </row>
    <row r="317" spans="3:34" x14ac:dyDescent="0.2">
      <c r="C317" s="338"/>
      <c r="D317" s="338"/>
      <c r="E317" s="338"/>
      <c r="F317" s="338"/>
      <c r="G317" s="338"/>
      <c r="H317" s="338"/>
      <c r="I317" s="338"/>
      <c r="J317" s="338"/>
      <c r="K317" s="338"/>
      <c r="L317" s="338"/>
      <c r="M317" s="339"/>
      <c r="N317" s="339"/>
      <c r="O317" s="339"/>
      <c r="P317" s="339"/>
      <c r="Q317" s="339"/>
      <c r="R317" s="340"/>
      <c r="S317" s="341"/>
      <c r="T317" s="338"/>
      <c r="U317" s="338"/>
      <c r="V317" s="338"/>
      <c r="W317" s="338"/>
      <c r="X317" s="338"/>
      <c r="Y317" s="338"/>
      <c r="Z317" s="339"/>
      <c r="AA317" s="339"/>
      <c r="AB317" s="339"/>
      <c r="AC317" s="339"/>
      <c r="AD317" s="339"/>
      <c r="AE317" s="339"/>
      <c r="AF317" s="339"/>
      <c r="AG317" s="339"/>
      <c r="AH317" s="338"/>
    </row>
    <row r="318" spans="3:34" x14ac:dyDescent="0.2">
      <c r="C318" s="338"/>
      <c r="D318" s="338"/>
      <c r="E318" s="338"/>
      <c r="F318" s="338"/>
      <c r="G318" s="338"/>
      <c r="H318" s="338"/>
      <c r="I318" s="338"/>
      <c r="J318" s="338"/>
      <c r="K318" s="338"/>
      <c r="L318" s="338"/>
      <c r="M318" s="339"/>
      <c r="N318" s="339"/>
      <c r="O318" s="339"/>
      <c r="P318" s="339"/>
      <c r="Q318" s="339"/>
      <c r="R318" s="340"/>
      <c r="S318" s="341"/>
      <c r="T318" s="338"/>
      <c r="U318" s="338"/>
      <c r="V318" s="338"/>
      <c r="W318" s="338"/>
      <c r="X318" s="338"/>
      <c r="Y318" s="338"/>
      <c r="Z318" s="339"/>
      <c r="AA318" s="339"/>
      <c r="AB318" s="339"/>
      <c r="AC318" s="339"/>
      <c r="AD318" s="339"/>
      <c r="AE318" s="339"/>
      <c r="AF318" s="339"/>
      <c r="AG318" s="339"/>
      <c r="AH318" s="338"/>
    </row>
    <row r="319" spans="3:34" x14ac:dyDescent="0.2">
      <c r="C319" s="338"/>
      <c r="D319" s="338"/>
      <c r="E319" s="338"/>
      <c r="F319" s="338"/>
      <c r="G319" s="338"/>
      <c r="H319" s="338"/>
      <c r="I319" s="338"/>
      <c r="J319" s="338"/>
      <c r="K319" s="338"/>
      <c r="L319" s="338"/>
      <c r="M319" s="339"/>
      <c r="N319" s="339"/>
      <c r="O319" s="339"/>
      <c r="P319" s="339"/>
      <c r="Q319" s="339"/>
      <c r="R319" s="340"/>
      <c r="S319" s="341"/>
      <c r="T319" s="338"/>
      <c r="U319" s="338"/>
      <c r="V319" s="338"/>
      <c r="W319" s="338"/>
      <c r="X319" s="338"/>
      <c r="Y319" s="338"/>
      <c r="Z319" s="339"/>
      <c r="AA319" s="339"/>
      <c r="AB319" s="339"/>
      <c r="AC319" s="339"/>
      <c r="AD319" s="339"/>
      <c r="AE319" s="339"/>
      <c r="AF319" s="339"/>
      <c r="AG319" s="339"/>
      <c r="AH319" s="338"/>
    </row>
    <row r="320" spans="3:34" x14ac:dyDescent="0.2">
      <c r="C320" s="338"/>
      <c r="D320" s="338"/>
      <c r="E320" s="338"/>
      <c r="F320" s="338"/>
      <c r="G320" s="338"/>
      <c r="H320" s="338"/>
      <c r="I320" s="338"/>
      <c r="J320" s="338"/>
      <c r="K320" s="338"/>
      <c r="L320" s="338"/>
      <c r="M320" s="339"/>
      <c r="N320" s="339"/>
      <c r="O320" s="339"/>
      <c r="P320" s="339"/>
      <c r="Q320" s="339"/>
      <c r="R320" s="340"/>
      <c r="S320" s="341"/>
      <c r="T320" s="338"/>
      <c r="U320" s="338"/>
      <c r="V320" s="338"/>
      <c r="W320" s="338"/>
      <c r="X320" s="338"/>
      <c r="Y320" s="338"/>
      <c r="Z320" s="339"/>
      <c r="AA320" s="339"/>
      <c r="AB320" s="339"/>
      <c r="AC320" s="339"/>
      <c r="AD320" s="339"/>
      <c r="AE320" s="339"/>
      <c r="AF320" s="339"/>
      <c r="AG320" s="339"/>
      <c r="AH320" s="338"/>
    </row>
    <row r="321" spans="3:34" x14ac:dyDescent="0.2">
      <c r="C321" s="338"/>
      <c r="D321" s="338"/>
      <c r="E321" s="338"/>
      <c r="F321" s="338"/>
      <c r="G321" s="338"/>
      <c r="H321" s="338"/>
      <c r="I321" s="338"/>
      <c r="J321" s="338"/>
      <c r="K321" s="338"/>
      <c r="L321" s="338"/>
      <c r="M321" s="339"/>
      <c r="N321" s="339"/>
      <c r="O321" s="339"/>
      <c r="P321" s="339"/>
      <c r="Q321" s="339"/>
      <c r="R321" s="340"/>
      <c r="S321" s="341"/>
      <c r="T321" s="338"/>
      <c r="U321" s="338"/>
      <c r="V321" s="338"/>
      <c r="W321" s="338"/>
      <c r="X321" s="338"/>
      <c r="Y321" s="338"/>
      <c r="Z321" s="339"/>
      <c r="AA321" s="339"/>
      <c r="AB321" s="339"/>
      <c r="AC321" s="339"/>
      <c r="AD321" s="339"/>
      <c r="AE321" s="339"/>
      <c r="AF321" s="339"/>
      <c r="AG321" s="339"/>
      <c r="AH321" s="338"/>
    </row>
    <row r="322" spans="3:34" x14ac:dyDescent="0.2">
      <c r="C322" s="338"/>
      <c r="D322" s="338"/>
      <c r="E322" s="338"/>
      <c r="F322" s="338"/>
      <c r="G322" s="338"/>
      <c r="H322" s="338"/>
      <c r="I322" s="338"/>
      <c r="J322" s="338"/>
      <c r="K322" s="338"/>
      <c r="L322" s="338"/>
      <c r="M322" s="339"/>
      <c r="N322" s="339"/>
      <c r="O322" s="339"/>
      <c r="P322" s="339"/>
      <c r="Q322" s="339"/>
      <c r="R322" s="340"/>
      <c r="S322" s="341"/>
      <c r="T322" s="338"/>
      <c r="U322" s="338"/>
      <c r="V322" s="338"/>
      <c r="W322" s="338"/>
      <c r="X322" s="338"/>
      <c r="Y322" s="338"/>
      <c r="Z322" s="339"/>
      <c r="AA322" s="339"/>
      <c r="AB322" s="339"/>
      <c r="AC322" s="339"/>
      <c r="AD322" s="339"/>
      <c r="AE322" s="339"/>
      <c r="AF322" s="339"/>
      <c r="AG322" s="339"/>
      <c r="AH322" s="338"/>
    </row>
    <row r="323" spans="3:34" x14ac:dyDescent="0.2">
      <c r="C323" s="338"/>
      <c r="D323" s="338"/>
      <c r="E323" s="338"/>
      <c r="F323" s="338"/>
      <c r="G323" s="338"/>
      <c r="H323" s="338"/>
      <c r="I323" s="338"/>
      <c r="J323" s="338"/>
      <c r="K323" s="338"/>
      <c r="L323" s="338"/>
      <c r="M323" s="339"/>
      <c r="N323" s="339"/>
      <c r="O323" s="339"/>
      <c r="P323" s="339"/>
      <c r="Q323" s="339"/>
      <c r="R323" s="340"/>
      <c r="S323" s="341"/>
      <c r="T323" s="338"/>
      <c r="U323" s="338"/>
      <c r="V323" s="338"/>
      <c r="W323" s="338"/>
      <c r="X323" s="338"/>
      <c r="Y323" s="338"/>
      <c r="Z323" s="339"/>
      <c r="AA323" s="339"/>
      <c r="AB323" s="339"/>
      <c r="AC323" s="339"/>
      <c r="AD323" s="339"/>
      <c r="AE323" s="339"/>
      <c r="AF323" s="339"/>
      <c r="AG323" s="339"/>
      <c r="AH323" s="338"/>
    </row>
    <row r="324" spans="3:34" x14ac:dyDescent="0.2">
      <c r="C324" s="338"/>
      <c r="D324" s="338"/>
      <c r="E324" s="338"/>
      <c r="F324" s="338"/>
      <c r="G324" s="338"/>
      <c r="H324" s="338"/>
      <c r="I324" s="338"/>
      <c r="J324" s="338"/>
      <c r="K324" s="338"/>
      <c r="L324" s="338"/>
      <c r="M324" s="339"/>
      <c r="N324" s="339"/>
      <c r="O324" s="339"/>
      <c r="P324" s="339"/>
      <c r="Q324" s="339"/>
      <c r="R324" s="340"/>
      <c r="S324" s="341"/>
      <c r="T324" s="338"/>
      <c r="U324" s="338"/>
      <c r="V324" s="338"/>
      <c r="W324" s="338"/>
      <c r="X324" s="338"/>
      <c r="Y324" s="338"/>
      <c r="Z324" s="339"/>
      <c r="AA324" s="339"/>
      <c r="AB324" s="339"/>
      <c r="AC324" s="339"/>
      <c r="AD324" s="339"/>
      <c r="AE324" s="339"/>
      <c r="AF324" s="339"/>
      <c r="AG324" s="339"/>
      <c r="AH324" s="338"/>
    </row>
    <row r="325" spans="3:34" x14ac:dyDescent="0.2">
      <c r="C325" s="338"/>
      <c r="D325" s="338"/>
      <c r="E325" s="338"/>
      <c r="F325" s="338"/>
      <c r="G325" s="338"/>
      <c r="H325" s="338"/>
      <c r="I325" s="338"/>
      <c r="J325" s="338"/>
      <c r="K325" s="338"/>
      <c r="L325" s="338"/>
      <c r="M325" s="339"/>
      <c r="N325" s="339"/>
      <c r="O325" s="339"/>
      <c r="P325" s="339"/>
      <c r="Q325" s="339"/>
      <c r="R325" s="340"/>
      <c r="S325" s="341"/>
      <c r="T325" s="338"/>
      <c r="U325" s="338"/>
      <c r="V325" s="338"/>
      <c r="W325" s="338"/>
      <c r="X325" s="338"/>
      <c r="Y325" s="338"/>
      <c r="Z325" s="339"/>
      <c r="AA325" s="339"/>
      <c r="AB325" s="339"/>
      <c r="AC325" s="339"/>
      <c r="AD325" s="339"/>
      <c r="AE325" s="339"/>
      <c r="AF325" s="339"/>
      <c r="AG325" s="339"/>
      <c r="AH325" s="338"/>
    </row>
    <row r="326" spans="3:34" x14ac:dyDescent="0.2">
      <c r="C326" s="338"/>
      <c r="D326" s="338"/>
      <c r="E326" s="338"/>
      <c r="F326" s="338"/>
      <c r="G326" s="338"/>
      <c r="H326" s="338"/>
      <c r="I326" s="338"/>
      <c r="J326" s="338"/>
      <c r="K326" s="338"/>
      <c r="L326" s="338"/>
      <c r="M326" s="339"/>
      <c r="N326" s="339"/>
      <c r="O326" s="339"/>
      <c r="P326" s="339"/>
      <c r="Q326" s="339"/>
      <c r="R326" s="340"/>
      <c r="S326" s="341"/>
      <c r="T326" s="338"/>
      <c r="U326" s="338"/>
      <c r="V326" s="338"/>
      <c r="W326" s="338"/>
      <c r="X326" s="338"/>
      <c r="Y326" s="338"/>
      <c r="Z326" s="339"/>
      <c r="AA326" s="339"/>
      <c r="AB326" s="339"/>
      <c r="AC326" s="339"/>
      <c r="AD326" s="339"/>
      <c r="AE326" s="339"/>
      <c r="AF326" s="339"/>
      <c r="AG326" s="339"/>
      <c r="AH326" s="338"/>
    </row>
    <row r="327" spans="3:34" x14ac:dyDescent="0.2">
      <c r="C327" s="338"/>
      <c r="D327" s="338"/>
      <c r="E327" s="338"/>
      <c r="F327" s="338"/>
      <c r="G327" s="338"/>
      <c r="H327" s="338"/>
      <c r="I327" s="338"/>
      <c r="J327" s="338"/>
      <c r="K327" s="338"/>
      <c r="L327" s="338"/>
      <c r="M327" s="339"/>
      <c r="N327" s="339"/>
      <c r="O327" s="339"/>
      <c r="P327" s="339"/>
      <c r="Q327" s="339"/>
      <c r="R327" s="340"/>
      <c r="S327" s="341"/>
      <c r="T327" s="338"/>
      <c r="U327" s="338"/>
      <c r="V327" s="338"/>
      <c r="W327" s="338"/>
      <c r="X327" s="338"/>
      <c r="Y327" s="338"/>
      <c r="Z327" s="339"/>
      <c r="AA327" s="339"/>
      <c r="AB327" s="339"/>
      <c r="AC327" s="339"/>
      <c r="AD327" s="339"/>
      <c r="AE327" s="339"/>
      <c r="AF327" s="339"/>
      <c r="AG327" s="339"/>
      <c r="AH327" s="338"/>
    </row>
    <row r="328" spans="3:34" x14ac:dyDescent="0.2">
      <c r="C328" s="338"/>
      <c r="D328" s="338"/>
      <c r="E328" s="338"/>
      <c r="F328" s="338"/>
      <c r="G328" s="338"/>
      <c r="H328" s="338"/>
      <c r="I328" s="338"/>
      <c r="J328" s="338"/>
      <c r="K328" s="338"/>
      <c r="L328" s="338"/>
      <c r="M328" s="339"/>
      <c r="N328" s="339"/>
      <c r="O328" s="339"/>
      <c r="P328" s="339"/>
      <c r="Q328" s="339"/>
      <c r="R328" s="340"/>
      <c r="S328" s="341"/>
      <c r="T328" s="338"/>
      <c r="U328" s="338"/>
      <c r="V328" s="338"/>
      <c r="W328" s="338"/>
      <c r="X328" s="338"/>
      <c r="Y328" s="338"/>
      <c r="Z328" s="339"/>
      <c r="AA328" s="339"/>
      <c r="AB328" s="339"/>
      <c r="AC328" s="339"/>
      <c r="AD328" s="339"/>
      <c r="AE328" s="339"/>
      <c r="AF328" s="339"/>
      <c r="AG328" s="339"/>
      <c r="AH328" s="338"/>
    </row>
    <row r="329" spans="3:34" x14ac:dyDescent="0.2">
      <c r="C329" s="338"/>
      <c r="D329" s="338"/>
      <c r="E329" s="338"/>
      <c r="F329" s="338"/>
      <c r="G329" s="338"/>
      <c r="H329" s="338"/>
      <c r="I329" s="338"/>
      <c r="J329" s="338"/>
      <c r="K329" s="338"/>
      <c r="L329" s="338"/>
      <c r="M329" s="339"/>
      <c r="N329" s="339"/>
      <c r="O329" s="339"/>
      <c r="P329" s="339"/>
      <c r="Q329" s="339"/>
      <c r="R329" s="340"/>
      <c r="S329" s="341"/>
      <c r="T329" s="338"/>
      <c r="U329" s="338"/>
      <c r="V329" s="338"/>
      <c r="W329" s="338"/>
      <c r="X329" s="338"/>
      <c r="Y329" s="338"/>
      <c r="Z329" s="339"/>
      <c r="AA329" s="339"/>
      <c r="AB329" s="339"/>
      <c r="AC329" s="339"/>
      <c r="AD329" s="339"/>
      <c r="AE329" s="339"/>
      <c r="AF329" s="339"/>
      <c r="AG329" s="339"/>
      <c r="AH329" s="338"/>
    </row>
    <row r="330" spans="3:34" x14ac:dyDescent="0.2">
      <c r="C330" s="338"/>
      <c r="D330" s="338"/>
      <c r="E330" s="338"/>
      <c r="F330" s="338"/>
      <c r="G330" s="338"/>
      <c r="H330" s="338"/>
      <c r="I330" s="338"/>
      <c r="J330" s="338"/>
      <c r="K330" s="338"/>
      <c r="L330" s="338"/>
      <c r="M330" s="339"/>
      <c r="N330" s="339"/>
      <c r="O330" s="339"/>
      <c r="P330" s="339"/>
      <c r="Q330" s="339"/>
      <c r="R330" s="340"/>
      <c r="S330" s="341"/>
      <c r="T330" s="338"/>
      <c r="U330" s="338"/>
      <c r="V330" s="338"/>
      <c r="W330" s="338"/>
      <c r="X330" s="338"/>
      <c r="Y330" s="338"/>
      <c r="Z330" s="339"/>
      <c r="AA330" s="339"/>
      <c r="AB330" s="339"/>
      <c r="AC330" s="339"/>
      <c r="AD330" s="339"/>
      <c r="AE330" s="339"/>
      <c r="AF330" s="339"/>
      <c r="AG330" s="339"/>
      <c r="AH330" s="338"/>
    </row>
    <row r="331" spans="3:34" x14ac:dyDescent="0.2">
      <c r="C331" s="338"/>
      <c r="D331" s="338"/>
      <c r="E331" s="338"/>
      <c r="F331" s="338"/>
      <c r="G331" s="338"/>
      <c r="H331" s="338"/>
      <c r="I331" s="338"/>
      <c r="J331" s="338"/>
      <c r="K331" s="338"/>
      <c r="L331" s="338"/>
      <c r="M331" s="339"/>
      <c r="N331" s="339"/>
      <c r="O331" s="339"/>
      <c r="P331" s="339"/>
      <c r="Q331" s="339"/>
      <c r="R331" s="340"/>
      <c r="S331" s="341"/>
      <c r="T331" s="338"/>
      <c r="U331" s="338"/>
      <c r="V331" s="338"/>
      <c r="W331" s="338"/>
      <c r="X331" s="338"/>
      <c r="Y331" s="338"/>
      <c r="Z331" s="339"/>
      <c r="AA331" s="339"/>
      <c r="AB331" s="339"/>
      <c r="AC331" s="339"/>
      <c r="AD331" s="339"/>
      <c r="AE331" s="339"/>
      <c r="AF331" s="339"/>
      <c r="AG331" s="339"/>
      <c r="AH331" s="338"/>
    </row>
    <row r="332" spans="3:34" x14ac:dyDescent="0.2">
      <c r="C332" s="338"/>
      <c r="D332" s="338"/>
      <c r="E332" s="338"/>
      <c r="F332" s="338"/>
      <c r="G332" s="338"/>
      <c r="H332" s="338"/>
      <c r="I332" s="338"/>
      <c r="J332" s="338"/>
      <c r="K332" s="338"/>
      <c r="L332" s="338"/>
      <c r="M332" s="339"/>
      <c r="N332" s="339"/>
      <c r="O332" s="339"/>
      <c r="P332" s="339"/>
      <c r="Q332" s="339"/>
      <c r="R332" s="340"/>
      <c r="S332" s="341"/>
      <c r="T332" s="338"/>
      <c r="U332" s="338"/>
      <c r="V332" s="338"/>
      <c r="W332" s="338"/>
      <c r="X332" s="338"/>
      <c r="Y332" s="338"/>
      <c r="Z332" s="339"/>
      <c r="AA332" s="339"/>
      <c r="AB332" s="339"/>
      <c r="AC332" s="339"/>
      <c r="AD332" s="339"/>
      <c r="AE332" s="339"/>
      <c r="AF332" s="339"/>
      <c r="AG332" s="339"/>
      <c r="AH332" s="338"/>
    </row>
    <row r="333" spans="3:34" x14ac:dyDescent="0.2">
      <c r="C333" s="338"/>
      <c r="D333" s="338"/>
      <c r="E333" s="338"/>
      <c r="F333" s="338"/>
      <c r="G333" s="338"/>
      <c r="H333" s="338"/>
      <c r="I333" s="338"/>
      <c r="J333" s="338"/>
      <c r="K333" s="338"/>
      <c r="L333" s="338"/>
      <c r="M333" s="339"/>
      <c r="N333" s="339"/>
      <c r="O333" s="339"/>
      <c r="P333" s="339"/>
      <c r="Q333" s="339"/>
      <c r="R333" s="340"/>
      <c r="S333" s="341"/>
      <c r="T333" s="338"/>
      <c r="U333" s="338"/>
      <c r="V333" s="338"/>
      <c r="W333" s="338"/>
      <c r="X333" s="338"/>
      <c r="Y333" s="338"/>
      <c r="Z333" s="339"/>
      <c r="AA333" s="339"/>
      <c r="AB333" s="339"/>
      <c r="AC333" s="339"/>
      <c r="AD333" s="339"/>
      <c r="AE333" s="339"/>
      <c r="AF333" s="339"/>
      <c r="AG333" s="339"/>
      <c r="AH333" s="338"/>
    </row>
    <row r="334" spans="3:34" x14ac:dyDescent="0.2">
      <c r="C334" s="338"/>
      <c r="D334" s="338"/>
      <c r="E334" s="338"/>
      <c r="F334" s="338"/>
      <c r="G334" s="338"/>
      <c r="H334" s="338"/>
      <c r="I334" s="338"/>
      <c r="J334" s="338"/>
      <c r="K334" s="338"/>
      <c r="L334" s="338"/>
      <c r="M334" s="339"/>
      <c r="N334" s="339"/>
      <c r="O334" s="339"/>
      <c r="P334" s="339"/>
      <c r="Q334" s="339"/>
      <c r="R334" s="340"/>
      <c r="S334" s="341"/>
      <c r="T334" s="338"/>
      <c r="U334" s="338"/>
      <c r="V334" s="338"/>
      <c r="W334" s="338"/>
      <c r="X334" s="338"/>
      <c r="Y334" s="338"/>
      <c r="Z334" s="339"/>
      <c r="AA334" s="339"/>
      <c r="AB334" s="339"/>
      <c r="AC334" s="339"/>
      <c r="AD334" s="339"/>
      <c r="AE334" s="339"/>
      <c r="AF334" s="339"/>
      <c r="AG334" s="339"/>
      <c r="AH334" s="338"/>
    </row>
    <row r="335" spans="3:34" x14ac:dyDescent="0.2">
      <c r="C335" s="338"/>
      <c r="D335" s="338"/>
      <c r="E335" s="338"/>
      <c r="F335" s="338"/>
      <c r="G335" s="338"/>
      <c r="H335" s="338"/>
      <c r="I335" s="338"/>
      <c r="J335" s="338"/>
      <c r="K335" s="338"/>
      <c r="L335" s="338"/>
      <c r="M335" s="339"/>
      <c r="N335" s="339"/>
      <c r="O335" s="339"/>
      <c r="P335" s="339"/>
      <c r="Q335" s="339"/>
      <c r="R335" s="340"/>
      <c r="S335" s="341"/>
      <c r="T335" s="338"/>
      <c r="U335" s="338"/>
      <c r="V335" s="338"/>
      <c r="W335" s="338"/>
      <c r="X335" s="338"/>
      <c r="Y335" s="338"/>
      <c r="Z335" s="339"/>
      <c r="AA335" s="339"/>
      <c r="AB335" s="339"/>
      <c r="AC335" s="339"/>
      <c r="AD335" s="339"/>
      <c r="AE335" s="339"/>
      <c r="AF335" s="339"/>
      <c r="AG335" s="339"/>
      <c r="AH335" s="338"/>
    </row>
    <row r="336" spans="3:34" x14ac:dyDescent="0.2">
      <c r="C336" s="338"/>
      <c r="D336" s="338"/>
      <c r="E336" s="338"/>
      <c r="F336" s="338"/>
      <c r="G336" s="338"/>
      <c r="H336" s="338"/>
      <c r="I336" s="338"/>
      <c r="J336" s="338"/>
      <c r="K336" s="338"/>
      <c r="L336" s="338"/>
      <c r="M336" s="339"/>
      <c r="N336" s="339"/>
      <c r="O336" s="339"/>
      <c r="P336" s="339"/>
      <c r="Q336" s="339"/>
      <c r="R336" s="340"/>
      <c r="S336" s="341"/>
      <c r="T336" s="338"/>
      <c r="U336" s="338"/>
      <c r="V336" s="338"/>
      <c r="W336" s="338"/>
      <c r="X336" s="338"/>
      <c r="Y336" s="338"/>
      <c r="Z336" s="339"/>
      <c r="AA336" s="339"/>
      <c r="AB336" s="339"/>
      <c r="AC336" s="339"/>
      <c r="AD336" s="339"/>
      <c r="AE336" s="339"/>
      <c r="AF336" s="339"/>
      <c r="AG336" s="339"/>
      <c r="AH336" s="338"/>
    </row>
    <row r="337" spans="3:34" x14ac:dyDescent="0.2">
      <c r="C337" s="338"/>
      <c r="D337" s="338"/>
      <c r="E337" s="338"/>
      <c r="F337" s="338"/>
      <c r="G337" s="338"/>
      <c r="H337" s="338"/>
      <c r="I337" s="338"/>
      <c r="J337" s="338"/>
      <c r="K337" s="338"/>
      <c r="L337" s="338"/>
      <c r="M337" s="339"/>
      <c r="N337" s="339"/>
      <c r="O337" s="339"/>
      <c r="P337" s="339"/>
      <c r="Q337" s="339"/>
      <c r="R337" s="340"/>
      <c r="S337" s="341"/>
      <c r="T337" s="338"/>
      <c r="U337" s="338"/>
      <c r="V337" s="338"/>
      <c r="W337" s="338"/>
      <c r="X337" s="338"/>
      <c r="Y337" s="338"/>
      <c r="Z337" s="339"/>
      <c r="AA337" s="339"/>
      <c r="AB337" s="339"/>
      <c r="AC337" s="339"/>
      <c r="AD337" s="339"/>
      <c r="AE337" s="339"/>
      <c r="AF337" s="339"/>
      <c r="AG337" s="339"/>
      <c r="AH337" s="338"/>
    </row>
    <row r="338" spans="3:34" x14ac:dyDescent="0.2">
      <c r="C338" s="338"/>
      <c r="D338" s="338"/>
      <c r="E338" s="338"/>
      <c r="F338" s="338"/>
      <c r="G338" s="338"/>
      <c r="H338" s="338"/>
      <c r="I338" s="338"/>
      <c r="J338" s="338"/>
      <c r="K338" s="338"/>
      <c r="L338" s="338"/>
      <c r="M338" s="339"/>
      <c r="N338" s="339"/>
      <c r="O338" s="339"/>
      <c r="P338" s="339"/>
      <c r="Q338" s="339"/>
      <c r="R338" s="340"/>
      <c r="S338" s="341"/>
      <c r="T338" s="338"/>
      <c r="U338" s="338"/>
      <c r="V338" s="338"/>
      <c r="W338" s="338"/>
      <c r="X338" s="338"/>
      <c r="Y338" s="338"/>
      <c r="Z338" s="339"/>
      <c r="AA338" s="339"/>
      <c r="AB338" s="339"/>
      <c r="AC338" s="339"/>
      <c r="AD338" s="339"/>
      <c r="AE338" s="339"/>
      <c r="AF338" s="339"/>
      <c r="AG338" s="339"/>
      <c r="AH338" s="338"/>
    </row>
    <row r="339" spans="3:34" x14ac:dyDescent="0.2">
      <c r="C339" s="338"/>
      <c r="D339" s="338"/>
      <c r="E339" s="338"/>
      <c r="F339" s="338"/>
      <c r="G339" s="338"/>
      <c r="H339" s="338"/>
      <c r="I339" s="338"/>
      <c r="J339" s="338"/>
      <c r="K339" s="338"/>
      <c r="L339" s="338"/>
      <c r="M339" s="339"/>
      <c r="N339" s="339"/>
      <c r="O339" s="339"/>
      <c r="P339" s="339"/>
      <c r="Q339" s="339"/>
      <c r="R339" s="340"/>
      <c r="S339" s="341"/>
      <c r="T339" s="338"/>
      <c r="U339" s="338"/>
      <c r="V339" s="338"/>
      <c r="W339" s="338"/>
      <c r="X339" s="338"/>
      <c r="Y339" s="338"/>
      <c r="Z339" s="339"/>
      <c r="AA339" s="339"/>
      <c r="AB339" s="339"/>
      <c r="AC339" s="339"/>
      <c r="AD339" s="339"/>
      <c r="AE339" s="339"/>
      <c r="AF339" s="339"/>
      <c r="AG339" s="339"/>
      <c r="AH339" s="338"/>
    </row>
    <row r="340" spans="3:34" x14ac:dyDescent="0.2">
      <c r="C340" s="338"/>
      <c r="D340" s="338"/>
      <c r="E340" s="338"/>
      <c r="F340" s="338"/>
      <c r="G340" s="338"/>
      <c r="H340" s="338"/>
      <c r="I340" s="338"/>
      <c r="J340" s="338"/>
      <c r="K340" s="338"/>
      <c r="L340" s="338"/>
      <c r="M340" s="339"/>
      <c r="N340" s="339"/>
      <c r="O340" s="339"/>
      <c r="P340" s="339"/>
      <c r="Q340" s="339"/>
      <c r="R340" s="340"/>
      <c r="S340" s="341"/>
      <c r="T340" s="338"/>
      <c r="U340" s="338"/>
      <c r="V340" s="338"/>
      <c r="W340" s="338"/>
      <c r="X340" s="338"/>
      <c r="Y340" s="338"/>
      <c r="Z340" s="339"/>
      <c r="AA340" s="339"/>
      <c r="AB340" s="339"/>
      <c r="AC340" s="339"/>
      <c r="AD340" s="339"/>
      <c r="AE340" s="339"/>
      <c r="AF340" s="339"/>
      <c r="AG340" s="339"/>
      <c r="AH340" s="338"/>
    </row>
    <row r="341" spans="3:34" x14ac:dyDescent="0.2">
      <c r="C341" s="338"/>
      <c r="D341" s="338"/>
      <c r="E341" s="338"/>
      <c r="F341" s="338"/>
      <c r="G341" s="338"/>
      <c r="H341" s="338"/>
      <c r="I341" s="338"/>
      <c r="J341" s="338"/>
      <c r="K341" s="338"/>
      <c r="L341" s="338"/>
      <c r="M341" s="339"/>
      <c r="N341" s="339"/>
      <c r="O341" s="339"/>
      <c r="P341" s="339"/>
      <c r="Q341" s="339"/>
      <c r="R341" s="340"/>
      <c r="S341" s="341"/>
      <c r="T341" s="338"/>
      <c r="U341" s="338"/>
      <c r="V341" s="338"/>
      <c r="W341" s="338"/>
      <c r="X341" s="338"/>
      <c r="Y341" s="338"/>
      <c r="Z341" s="339"/>
      <c r="AA341" s="339"/>
      <c r="AB341" s="339"/>
      <c r="AC341" s="339"/>
      <c r="AD341" s="339"/>
      <c r="AE341" s="339"/>
      <c r="AF341" s="339"/>
      <c r="AG341" s="339"/>
      <c r="AH341" s="338"/>
    </row>
    <row r="342" spans="3:34" x14ac:dyDescent="0.2">
      <c r="C342" s="338"/>
      <c r="D342" s="338"/>
      <c r="E342" s="338"/>
      <c r="F342" s="338"/>
      <c r="G342" s="338"/>
      <c r="H342" s="338"/>
      <c r="I342" s="338"/>
      <c r="J342" s="338"/>
      <c r="K342" s="338"/>
      <c r="L342" s="338"/>
      <c r="M342" s="339"/>
      <c r="N342" s="339"/>
      <c r="O342" s="339"/>
      <c r="P342" s="339"/>
      <c r="Q342" s="339"/>
      <c r="R342" s="340"/>
      <c r="S342" s="341"/>
      <c r="T342" s="338"/>
      <c r="U342" s="338"/>
      <c r="V342" s="338"/>
      <c r="W342" s="338"/>
      <c r="X342" s="338"/>
      <c r="Y342" s="338"/>
      <c r="Z342" s="339"/>
      <c r="AA342" s="339"/>
      <c r="AB342" s="339"/>
      <c r="AC342" s="339"/>
      <c r="AD342" s="339"/>
      <c r="AE342" s="339"/>
      <c r="AF342" s="339"/>
      <c r="AG342" s="339"/>
      <c r="AH342" s="338"/>
    </row>
    <row r="343" spans="3:34" x14ac:dyDescent="0.2">
      <c r="C343" s="338"/>
      <c r="D343" s="338"/>
      <c r="E343" s="338"/>
      <c r="F343" s="338"/>
      <c r="G343" s="338"/>
      <c r="H343" s="338"/>
      <c r="I343" s="338"/>
      <c r="J343" s="338"/>
      <c r="K343" s="338"/>
      <c r="L343" s="338"/>
      <c r="M343" s="339"/>
      <c r="N343" s="339"/>
      <c r="O343" s="339"/>
      <c r="P343" s="339"/>
      <c r="Q343" s="339"/>
      <c r="R343" s="340"/>
      <c r="S343" s="341"/>
      <c r="T343" s="338"/>
      <c r="U343" s="338"/>
      <c r="V343" s="338"/>
      <c r="W343" s="338"/>
      <c r="X343" s="338"/>
      <c r="Y343" s="338"/>
      <c r="Z343" s="339"/>
      <c r="AA343" s="339"/>
      <c r="AB343" s="339"/>
      <c r="AC343" s="339"/>
      <c r="AD343" s="339"/>
      <c r="AE343" s="339"/>
      <c r="AF343" s="339"/>
      <c r="AG343" s="339"/>
      <c r="AH343" s="338"/>
    </row>
    <row r="344" spans="3:34" x14ac:dyDescent="0.2">
      <c r="C344" s="338"/>
      <c r="D344" s="338"/>
      <c r="E344" s="338"/>
      <c r="F344" s="338"/>
      <c r="G344" s="338"/>
      <c r="H344" s="338"/>
      <c r="I344" s="338"/>
      <c r="J344" s="338"/>
      <c r="K344" s="338"/>
      <c r="L344" s="338"/>
      <c r="M344" s="339"/>
      <c r="N344" s="339"/>
      <c r="O344" s="339"/>
      <c r="P344" s="339"/>
      <c r="Q344" s="339"/>
      <c r="R344" s="340"/>
      <c r="S344" s="341"/>
      <c r="T344" s="338"/>
      <c r="U344" s="338"/>
      <c r="V344" s="338"/>
      <c r="W344" s="338"/>
      <c r="X344" s="338"/>
      <c r="Y344" s="338"/>
      <c r="Z344" s="339"/>
      <c r="AA344" s="339"/>
      <c r="AB344" s="339"/>
      <c r="AC344" s="339"/>
      <c r="AD344" s="339"/>
      <c r="AE344" s="339"/>
      <c r="AF344" s="339"/>
      <c r="AG344" s="339"/>
      <c r="AH344" s="338"/>
    </row>
    <row r="345" spans="3:34" x14ac:dyDescent="0.2">
      <c r="C345" s="338"/>
      <c r="D345" s="338"/>
      <c r="E345" s="338"/>
      <c r="F345" s="338"/>
      <c r="G345" s="338"/>
      <c r="H345" s="338"/>
      <c r="I345" s="338"/>
      <c r="J345" s="338"/>
      <c r="K345" s="338"/>
      <c r="L345" s="338"/>
      <c r="M345" s="339"/>
      <c r="N345" s="339"/>
      <c r="O345" s="339"/>
      <c r="P345" s="339"/>
      <c r="Q345" s="339"/>
      <c r="R345" s="340"/>
      <c r="S345" s="341"/>
      <c r="T345" s="338"/>
      <c r="U345" s="338"/>
      <c r="V345" s="338"/>
      <c r="W345" s="338"/>
      <c r="X345" s="338"/>
      <c r="Y345" s="338"/>
      <c r="Z345" s="339"/>
      <c r="AA345" s="339"/>
      <c r="AB345" s="339"/>
      <c r="AC345" s="339"/>
      <c r="AD345" s="339"/>
      <c r="AE345" s="339"/>
      <c r="AF345" s="339"/>
      <c r="AG345" s="339"/>
      <c r="AH345" s="338"/>
    </row>
    <row r="346" spans="3:34" x14ac:dyDescent="0.2">
      <c r="C346" s="338"/>
      <c r="D346" s="338"/>
      <c r="E346" s="338"/>
      <c r="F346" s="338"/>
      <c r="G346" s="338"/>
      <c r="H346" s="338"/>
      <c r="I346" s="338"/>
      <c r="J346" s="338"/>
      <c r="K346" s="338"/>
      <c r="L346" s="338"/>
      <c r="M346" s="339"/>
      <c r="N346" s="339"/>
      <c r="O346" s="339"/>
      <c r="P346" s="339"/>
      <c r="Q346" s="339"/>
      <c r="R346" s="340"/>
      <c r="S346" s="341"/>
      <c r="T346" s="338"/>
      <c r="U346" s="338"/>
      <c r="V346" s="338"/>
      <c r="W346" s="338"/>
      <c r="X346" s="338"/>
      <c r="Y346" s="338"/>
      <c r="Z346" s="339"/>
      <c r="AA346" s="339"/>
      <c r="AB346" s="339"/>
      <c r="AC346" s="339"/>
      <c r="AD346" s="339"/>
      <c r="AE346" s="339"/>
      <c r="AF346" s="339"/>
      <c r="AG346" s="339"/>
      <c r="AH346" s="338"/>
    </row>
    <row r="347" spans="3:34" x14ac:dyDescent="0.2">
      <c r="C347" s="338"/>
      <c r="D347" s="338"/>
      <c r="E347" s="338"/>
      <c r="F347" s="338"/>
      <c r="G347" s="338"/>
      <c r="H347" s="338"/>
      <c r="I347" s="338"/>
      <c r="J347" s="338"/>
      <c r="K347" s="338"/>
      <c r="L347" s="338"/>
      <c r="M347" s="339"/>
      <c r="N347" s="339"/>
      <c r="O347" s="339"/>
      <c r="P347" s="339"/>
      <c r="Q347" s="339"/>
      <c r="R347" s="340"/>
      <c r="S347" s="341"/>
      <c r="T347" s="338"/>
      <c r="U347" s="338"/>
      <c r="V347" s="338"/>
      <c r="W347" s="338"/>
      <c r="X347" s="338"/>
      <c r="Y347" s="338"/>
      <c r="Z347" s="339"/>
      <c r="AA347" s="339"/>
      <c r="AB347" s="339"/>
      <c r="AC347" s="339"/>
      <c r="AD347" s="339"/>
      <c r="AE347" s="339"/>
      <c r="AF347" s="339"/>
      <c r="AG347" s="339"/>
      <c r="AH347" s="338"/>
    </row>
    <row r="348" spans="3:34" x14ac:dyDescent="0.2">
      <c r="C348" s="338"/>
      <c r="D348" s="338"/>
      <c r="E348" s="338"/>
      <c r="F348" s="338"/>
      <c r="G348" s="338"/>
      <c r="H348" s="338"/>
      <c r="I348" s="338"/>
      <c r="J348" s="338"/>
      <c r="K348" s="338"/>
      <c r="L348" s="338"/>
      <c r="M348" s="339"/>
      <c r="N348" s="339"/>
      <c r="O348" s="339"/>
      <c r="P348" s="339"/>
      <c r="Q348" s="339"/>
      <c r="R348" s="340"/>
      <c r="S348" s="341"/>
      <c r="T348" s="338"/>
      <c r="U348" s="338"/>
      <c r="V348" s="338"/>
      <c r="W348" s="338"/>
      <c r="X348" s="338"/>
      <c r="Y348" s="338"/>
      <c r="Z348" s="339"/>
      <c r="AA348" s="339"/>
      <c r="AB348" s="339"/>
      <c r="AC348" s="339"/>
      <c r="AD348" s="339"/>
      <c r="AE348" s="339"/>
      <c r="AF348" s="339"/>
      <c r="AG348" s="339"/>
      <c r="AH348" s="338"/>
    </row>
    <row r="349" spans="3:34" x14ac:dyDescent="0.2">
      <c r="C349" s="338"/>
      <c r="D349" s="338"/>
      <c r="E349" s="338"/>
      <c r="F349" s="338"/>
      <c r="G349" s="338"/>
      <c r="H349" s="338"/>
      <c r="I349" s="338"/>
      <c r="J349" s="338"/>
      <c r="K349" s="338"/>
      <c r="L349" s="338"/>
      <c r="M349" s="339"/>
      <c r="N349" s="339"/>
      <c r="O349" s="339"/>
      <c r="P349" s="339"/>
      <c r="Q349" s="339"/>
      <c r="R349" s="340"/>
      <c r="S349" s="341"/>
      <c r="T349" s="338"/>
      <c r="U349" s="338"/>
      <c r="V349" s="338"/>
      <c r="W349" s="338"/>
      <c r="X349" s="338"/>
      <c r="Y349" s="338"/>
      <c r="Z349" s="339"/>
      <c r="AA349" s="339"/>
      <c r="AB349" s="339"/>
      <c r="AC349" s="339"/>
      <c r="AD349" s="339"/>
      <c r="AE349" s="339"/>
      <c r="AF349" s="339"/>
      <c r="AG349" s="339"/>
      <c r="AH349" s="338"/>
    </row>
    <row r="350" spans="3:34" x14ac:dyDescent="0.2">
      <c r="C350" s="338"/>
      <c r="D350" s="338"/>
      <c r="E350" s="338"/>
      <c r="F350" s="338"/>
      <c r="G350" s="338"/>
      <c r="H350" s="338"/>
      <c r="I350" s="338"/>
      <c r="J350" s="338"/>
      <c r="K350" s="338"/>
      <c r="L350" s="338"/>
      <c r="M350" s="339"/>
      <c r="N350" s="339"/>
      <c r="O350" s="339"/>
      <c r="P350" s="339"/>
      <c r="Q350" s="339"/>
      <c r="R350" s="340"/>
      <c r="S350" s="341"/>
      <c r="T350" s="338"/>
      <c r="U350" s="338"/>
      <c r="V350" s="338"/>
      <c r="W350" s="338"/>
      <c r="X350" s="338"/>
      <c r="Y350" s="338"/>
      <c r="Z350" s="339"/>
      <c r="AA350" s="339"/>
      <c r="AB350" s="339"/>
      <c r="AC350" s="339"/>
      <c r="AD350" s="339"/>
      <c r="AE350" s="339"/>
      <c r="AF350" s="339"/>
      <c r="AG350" s="339"/>
      <c r="AH350" s="338"/>
    </row>
    <row r="351" spans="3:34" x14ac:dyDescent="0.2">
      <c r="C351" s="338"/>
      <c r="D351" s="338"/>
      <c r="E351" s="338"/>
      <c r="F351" s="338"/>
      <c r="G351" s="338"/>
      <c r="H351" s="338"/>
      <c r="I351" s="338"/>
      <c r="J351" s="338"/>
      <c r="K351" s="338"/>
      <c r="L351" s="338"/>
      <c r="M351" s="339"/>
      <c r="N351" s="339"/>
      <c r="O351" s="339"/>
      <c r="P351" s="339"/>
      <c r="Q351" s="339"/>
      <c r="R351" s="340"/>
      <c r="S351" s="341"/>
      <c r="T351" s="338"/>
      <c r="U351" s="338"/>
      <c r="V351" s="338"/>
      <c r="W351" s="338"/>
      <c r="X351" s="338"/>
      <c r="Y351" s="338"/>
      <c r="Z351" s="339"/>
      <c r="AA351" s="339"/>
      <c r="AB351" s="339"/>
      <c r="AC351" s="339"/>
      <c r="AD351" s="339"/>
      <c r="AE351" s="339"/>
      <c r="AF351" s="339"/>
      <c r="AG351" s="339"/>
      <c r="AH351" s="338"/>
    </row>
    <row r="352" spans="3:34" x14ac:dyDescent="0.2">
      <c r="C352" s="338"/>
      <c r="D352" s="338"/>
      <c r="E352" s="338"/>
      <c r="F352" s="338"/>
      <c r="G352" s="338"/>
      <c r="H352" s="338"/>
      <c r="I352" s="338"/>
      <c r="J352" s="338"/>
      <c r="K352" s="338"/>
      <c r="L352" s="338"/>
      <c r="M352" s="339"/>
      <c r="N352" s="339"/>
      <c r="O352" s="339"/>
      <c r="P352" s="339"/>
      <c r="Q352" s="339"/>
      <c r="R352" s="340"/>
      <c r="S352" s="341"/>
      <c r="T352" s="338"/>
      <c r="U352" s="338"/>
      <c r="V352" s="338"/>
      <c r="W352" s="338"/>
      <c r="X352" s="338"/>
      <c r="Y352" s="338"/>
      <c r="Z352" s="339"/>
      <c r="AA352" s="339"/>
      <c r="AB352" s="339"/>
      <c r="AC352" s="339"/>
      <c r="AD352" s="339"/>
      <c r="AE352" s="339"/>
      <c r="AF352" s="339"/>
      <c r="AG352" s="339"/>
      <c r="AH352" s="338"/>
    </row>
  </sheetData>
  <sheetProtection formatCells="0" formatColumns="0" formatRows="0" insertColumns="0" insertRows="0" insertHyperlinks="0" deleteColumns="0" deleteRows="0" sort="0" autoFilter="0" pivotTables="0"/>
  <autoFilter ref="C4:AH57"/>
  <mergeCells count="9">
    <mergeCell ref="Z3:AG3"/>
    <mergeCell ref="B51:B57"/>
    <mergeCell ref="G2:K2"/>
    <mergeCell ref="L2:Y2"/>
    <mergeCell ref="C3:G3"/>
    <mergeCell ref="H3:K3"/>
    <mergeCell ref="L3:S3"/>
    <mergeCell ref="T3:V3"/>
    <mergeCell ref="W3:Y3"/>
  </mergeCells>
  <dataValidations count="4">
    <dataValidation type="list" allowBlank="1" showInputMessage="1" showErrorMessage="1" sqref="J49:J57 J27:J47 J14:J24 J5:J12">
      <formula1>$C$66:$C$68</formula1>
    </dataValidation>
    <dataValidation type="list" allowBlank="1" showInputMessage="1" showErrorMessage="1" sqref="J13 J25">
      <formula1>$C$54:$C$56</formula1>
    </dataValidation>
    <dataValidation type="list" allowBlank="1" showInputMessage="1" showErrorMessage="1" sqref="J26">
      <formula1>$C$53:$C$55</formula1>
    </dataValidation>
    <dataValidation type="list" allowBlank="1" showInputMessage="1" showErrorMessage="1" sqref="J48">
      <formula1>$C$52:$C$54</formula1>
    </dataValidation>
  </dataValidations>
  <pageMargins left="0.7" right="0.7" top="0.75" bottom="0.75" header="0.3" footer="0.3"/>
  <pageSetup paperSize="9" scale="20" fitToHeight="0"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4"/>
  <sheetViews>
    <sheetView workbookViewId="0">
      <selection activeCell="E3" sqref="E3"/>
    </sheetView>
  </sheetViews>
  <sheetFormatPr defaultRowHeight="15" x14ac:dyDescent="0.25"/>
  <cols>
    <col min="12" max="12" width="16.28515625" customWidth="1"/>
    <col min="14" max="14" width="17.140625" customWidth="1"/>
  </cols>
  <sheetData>
    <row r="2" spans="2:14" x14ac:dyDescent="0.25">
      <c r="E2" t="s">
        <v>303</v>
      </c>
      <c r="H2" t="s">
        <v>300</v>
      </c>
      <c r="L2" t="s">
        <v>260</v>
      </c>
      <c r="N2" t="s">
        <v>264</v>
      </c>
    </row>
    <row r="3" spans="2:14" x14ac:dyDescent="0.25">
      <c r="B3" t="s">
        <v>18</v>
      </c>
      <c r="E3" t="s">
        <v>66</v>
      </c>
      <c r="H3" t="s">
        <v>301</v>
      </c>
      <c r="L3" t="s">
        <v>261</v>
      </c>
      <c r="N3" t="s">
        <v>265</v>
      </c>
    </row>
    <row r="4" spans="2:14" x14ac:dyDescent="0.25">
      <c r="B4" t="s">
        <v>19</v>
      </c>
      <c r="E4" t="s">
        <v>302</v>
      </c>
      <c r="H4" t="s">
        <v>91</v>
      </c>
      <c r="L4" t="s">
        <v>298</v>
      </c>
      <c r="N4" t="s">
        <v>266</v>
      </c>
    </row>
    <row r="5" spans="2:14" x14ac:dyDescent="0.25">
      <c r="B5" t="s">
        <v>21</v>
      </c>
      <c r="E5" t="s">
        <v>65</v>
      </c>
      <c r="H5" t="s">
        <v>299</v>
      </c>
      <c r="L5" t="s">
        <v>262</v>
      </c>
      <c r="N5" t="s">
        <v>267</v>
      </c>
    </row>
    <row r="6" spans="2:14" x14ac:dyDescent="0.25">
      <c r="B6" t="s">
        <v>20</v>
      </c>
      <c r="N6" t="s">
        <v>268</v>
      </c>
    </row>
    <row r="7" spans="2:14" x14ac:dyDescent="0.25">
      <c r="N7" t="s">
        <v>273</v>
      </c>
    </row>
    <row r="8" spans="2:14" x14ac:dyDescent="0.25">
      <c r="B8" t="s">
        <v>509</v>
      </c>
      <c r="N8" t="s">
        <v>274</v>
      </c>
    </row>
    <row r="9" spans="2:14" x14ac:dyDescent="0.25">
      <c r="B9" t="s">
        <v>530</v>
      </c>
      <c r="N9" t="s">
        <v>275</v>
      </c>
    </row>
    <row r="10" spans="2:14" x14ac:dyDescent="0.25">
      <c r="B10" t="s">
        <v>510</v>
      </c>
      <c r="N10" t="s">
        <v>276</v>
      </c>
    </row>
    <row r="11" spans="2:14" x14ac:dyDescent="0.25">
      <c r="E11" s="10" t="e">
        <f>DATE+DATE(2013,1,1)</f>
        <v>#NAME?</v>
      </c>
      <c r="N11" t="s">
        <v>323</v>
      </c>
    </row>
    <row r="13" spans="2:14" x14ac:dyDescent="0.25">
      <c r="B13" t="s">
        <v>218</v>
      </c>
    </row>
    <row r="14" spans="2:14" x14ac:dyDescent="0.25">
      <c r="B14" t="s">
        <v>226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Guide</vt:lpstr>
      <vt:lpstr>Snapshot</vt:lpstr>
      <vt:lpstr>SituationAnalysis</vt:lpstr>
      <vt:lpstr>Funds analysis</vt:lpstr>
      <vt:lpstr>Cluster indicator</vt:lpstr>
      <vt:lpstr>Database</vt:lpstr>
      <vt:lpstr>Agency funds received</vt:lpstr>
      <vt:lpstr>List</vt:lpstr>
      <vt:lpstr>'Agency funds received'!List</vt:lpstr>
      <vt:lpstr>Database!Print_Area</vt:lpstr>
      <vt:lpstr>Snapshot!Print_Area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MSB</dc:creator>
  <cp:lastModifiedBy>UNHCRuser</cp:lastModifiedBy>
  <cp:lastPrinted>2015-05-15T10:06:08Z</cp:lastPrinted>
  <dcterms:created xsi:type="dcterms:W3CDTF">2012-10-21T05:17:59Z</dcterms:created>
  <dcterms:modified xsi:type="dcterms:W3CDTF">2015-05-15T12:05:37Z</dcterms:modified>
</cp:coreProperties>
</file>