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ml.chartshapes+xml"/>
  <Override PartName="/xl/charts/chart7.xml" ContentType="application/vnd.openxmlformats-officedocument.drawingml.chart+xml"/>
  <Override PartName="/xl/charts/chart8.xml" ContentType="application/vnd.openxmlformats-officedocument.drawingml.chart+xml"/>
  <Override PartName="/xl/charts/style3.xml" ContentType="application/vnd.ms-office.chartstyle+xml"/>
  <Override PartName="/xl/charts/colors3.xml" ContentType="application/vnd.ms-office.chartcolorstyle+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charts/chart12.xml" ContentType="application/vnd.openxmlformats-officedocument.drawingml.chart+xml"/>
  <Override PartName="/xl/charts/style7.xml" ContentType="application/vnd.ms-office.chartstyle+xml"/>
  <Override PartName="/xl/charts/colors7.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pivotTables/pivotTable19.xml" ContentType="application/vnd.openxmlformats-officedocument.spreadsheetml.pivotTable+xml"/>
  <Override PartName="/xl/pivotTables/pivotTable20.xml" ContentType="application/vnd.openxmlformats-officedocument.spreadsheetml.pivotTable+xml"/>
  <Override PartName="/xl/pivotTables/pivotTable21.xml" ContentType="application/vnd.openxmlformats-officedocument.spreadsheetml.pivotTable+xml"/>
  <Override PartName="/xl/pivotTables/pivotTable22.xml" ContentType="application/vnd.openxmlformats-officedocument.spreadsheetml.pivotTable+xml"/>
  <Override PartName="/xl/pivotTables/pivotTable23.xml" ContentType="application/vnd.openxmlformats-officedocument.spreadsheetml.pivotTable+xml"/>
  <Override PartName="/xl/pivotTables/pivotTable24.xml" ContentType="application/vnd.openxmlformats-officedocument.spreadsheetml.pivotTable+xml"/>
  <Override PartName="/xl/pivotTables/pivotTable25.xml" ContentType="application/vnd.openxmlformats-officedocument.spreadsheetml.pivotTable+xml"/>
  <Override PartName="/xl/pivotTables/pivotTable26.xml" ContentType="application/vnd.openxmlformats-officedocument.spreadsheetml.pivotTable+xml"/>
  <Override PartName="/xl/pivotTables/pivotTable27.xml" ContentType="application/vnd.openxmlformats-officedocument.spreadsheetml.pivotTable+xml"/>
  <Override PartName="/xl/pivotTables/pivotTable28.xml" ContentType="application/vnd.openxmlformats-officedocument.spreadsheetml.pivotTable+xml"/>
  <Override PartName="/xl/pivotTables/pivotTable29.xml" ContentType="application/vnd.openxmlformats-officedocument.spreadsheetml.pivotTable+xml"/>
  <Override PartName="/xl/pivotTables/pivotTable30.xml" ContentType="application/vnd.openxmlformats-officedocument.spreadsheetml.pivotTable+xml"/>
  <Override PartName="/xl/drawings/drawing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charts/chart24.xml" ContentType="application/vnd.openxmlformats-officedocument.drawingml.chart+xml"/>
  <Override PartName="/xl/charts/style18.xml" ContentType="application/vnd.ms-office.chartstyle+xml"/>
  <Override PartName="/xl/charts/colors18.xml" ContentType="application/vnd.ms-office.chartcolorstyle+xml"/>
  <Override PartName="/xl/charts/chart25.xml" ContentType="application/vnd.openxmlformats-officedocument.drawingml.chart+xml"/>
  <Override PartName="/xl/charts/style19.xml" ContentType="application/vnd.ms-office.chartstyle+xml"/>
  <Override PartName="/xl/charts/colors19.xml" ContentType="application/vnd.ms-office.chartcolorstyle+xml"/>
  <Override PartName="/xl/charts/chart26.xml" ContentType="application/vnd.openxmlformats-officedocument.drawingml.chart+xml"/>
  <Override PartName="/xl/charts/style20.xml" ContentType="application/vnd.ms-office.chartstyle+xml"/>
  <Override PartName="/xl/charts/colors20.xml" ContentType="application/vnd.ms-office.chartcolorstyle+xml"/>
  <Override PartName="/xl/charts/chart27.xml" ContentType="application/vnd.openxmlformats-officedocument.drawingml.chart+xml"/>
  <Override PartName="/xl/charts/style21.xml" ContentType="application/vnd.ms-office.chartstyle+xml"/>
  <Override PartName="/xl/charts/colors21.xml" ContentType="application/vnd.ms-office.chartcolorstyle+xml"/>
  <Override PartName="/xl/charts/chart28.xml" ContentType="application/vnd.openxmlformats-officedocument.drawingml.chart+xml"/>
  <Override PartName="/xl/charts/style22.xml" ContentType="application/vnd.ms-office.chartstyle+xml"/>
  <Override PartName="/xl/charts/colors22.xml" ContentType="application/vnd.ms-office.chartcolorstyle+xml"/>
  <Override PartName="/xl/charts/chart29.xml" ContentType="application/vnd.openxmlformats-officedocument.drawingml.chart+xml"/>
  <Override PartName="/xl/charts/style23.xml" ContentType="application/vnd.ms-office.chartstyle+xml"/>
  <Override PartName="/xl/charts/colors23.xml" ContentType="application/vnd.ms-office.chartcolorstyle+xml"/>
  <Override PartName="/xl/charts/chart30.xml" ContentType="application/vnd.openxmlformats-officedocument.drawingml.chart+xml"/>
  <Override PartName="/xl/charts/style24.xml" ContentType="application/vnd.ms-office.chartstyle+xml"/>
  <Override PartName="/xl/charts/colors24.xml" ContentType="application/vnd.ms-office.chartcolorstyle+xml"/>
  <Override PartName="/xl/charts/chart31.xml" ContentType="application/vnd.openxmlformats-officedocument.drawingml.chart+xml"/>
  <Override PartName="/xl/charts/style25.xml" ContentType="application/vnd.ms-office.chartstyle+xml"/>
  <Override PartName="/xl/charts/colors25.xml" ContentType="application/vnd.ms-office.chartcolorstyle+xml"/>
  <Override PartName="/xl/charts/chart32.xml" ContentType="application/vnd.openxmlformats-officedocument.drawingml.chart+xml"/>
  <Override PartName="/xl/charts/style26.xml" ContentType="application/vnd.ms-office.chartstyle+xml"/>
  <Override PartName="/xl/charts/colors26.xml" ContentType="application/vnd.ms-office.chartcolorstyle+xml"/>
  <Override PartName="/xl/charts/chart33.xml" ContentType="application/vnd.openxmlformats-officedocument.drawingml.chart+xml"/>
  <Override PartName="/xl/charts/style27.xml" ContentType="application/vnd.ms-office.chartstyle+xml"/>
  <Override PartName="/xl/charts/colors27.xml" ContentType="application/vnd.ms-office.chartcolorstyle+xml"/>
  <Override PartName="/xl/charts/chart34.xml" ContentType="application/vnd.openxmlformats-officedocument.drawingml.chart+xml"/>
  <Override PartName="/xl/charts/style28.xml" ContentType="application/vnd.ms-office.chartstyle+xml"/>
  <Override PartName="/xl/charts/colors28.xml" ContentType="application/vnd.ms-office.chartcolorstyle+xml"/>
  <Override PartName="/xl/charts/chart35.xml" ContentType="application/vnd.openxmlformats-officedocument.drawingml.chart+xml"/>
  <Override PartName="/xl/charts/style29.xml" ContentType="application/vnd.ms-office.chartstyle+xml"/>
  <Override PartName="/xl/charts/colors29.xml" ContentType="application/vnd.ms-office.chartcolorstyle+xml"/>
  <Override PartName="/xl/charts/chart36.xml" ContentType="application/vnd.openxmlformats-officedocument.drawingml.chart+xml"/>
  <Override PartName="/xl/charts/style30.xml" ContentType="application/vnd.ms-office.chartstyle+xml"/>
  <Override PartName="/xl/charts/colors30.xml" ContentType="application/vnd.ms-office.chartcolorstyle+xml"/>
  <Override PartName="/xl/charts/chart37.xml" ContentType="application/vnd.openxmlformats-officedocument.drawingml.chart+xml"/>
  <Override PartName="/xl/charts/style31.xml" ContentType="application/vnd.ms-office.chartstyle+xml"/>
  <Override PartName="/xl/charts/colors31.xml" ContentType="application/vnd.ms-office.chartcolorstyle+xml"/>
  <Override PartName="/xl/charts/chart38.xml" ContentType="application/vnd.openxmlformats-officedocument.drawingml.chart+xml"/>
  <Override PartName="/xl/charts/style32.xml" ContentType="application/vnd.ms-office.chartstyle+xml"/>
  <Override PartName="/xl/charts/colors32.xml" ContentType="application/vnd.ms-office.chartcolorstyle+xml"/>
  <Override PartName="/xl/charts/chart39.xml" ContentType="application/vnd.openxmlformats-officedocument.drawingml.chart+xml"/>
  <Override PartName="/xl/charts/style33.xml" ContentType="application/vnd.ms-office.chartstyle+xml"/>
  <Override PartName="/xl/charts/colors33.xml" ContentType="application/vnd.ms-office.chartcolorstyle+xml"/>
  <Override PartName="/xl/charts/chart40.xml" ContentType="application/vnd.openxmlformats-officedocument.drawingml.chart+xml"/>
  <Override PartName="/xl/charts/style34.xml" ContentType="application/vnd.ms-office.chartstyle+xml"/>
  <Override PartName="/xl/charts/colors34.xml" ContentType="application/vnd.ms-office.chartcolorstyle+xml"/>
  <Override PartName="/xl/charts/chart41.xml" ContentType="application/vnd.openxmlformats-officedocument.drawingml.chart+xml"/>
  <Override PartName="/xl/charts/style35.xml" ContentType="application/vnd.ms-office.chartstyle+xml"/>
  <Override PartName="/xl/charts/colors35.xml" ContentType="application/vnd.ms-office.chartcolorstyle+xml"/>
  <Override PartName="/xl/pivotTables/pivotTable31.xml" ContentType="application/vnd.openxmlformats-officedocument.spreadsheetml.pivotTable+xml"/>
  <Override PartName="/xl/pivotTables/pivotTable32.xml" ContentType="application/vnd.openxmlformats-officedocument.spreadsheetml.pivotTable+xml"/>
  <Override PartName="/xl/pivotTables/pivotTable33.xml" ContentType="application/vnd.openxmlformats-officedocument.spreadsheetml.pivotTable+xml"/>
  <Override PartName="/xl/pivotTables/pivotTable34.xml" ContentType="application/vnd.openxmlformats-officedocument.spreadsheetml.pivotTable+xml"/>
  <Override PartName="/xl/pivotTables/pivotTable35.xml" ContentType="application/vnd.openxmlformats-officedocument.spreadsheetml.pivotTable+xml"/>
  <Override PartName="/xl/pivotTables/pivotTable36.xml" ContentType="application/vnd.openxmlformats-officedocument.spreadsheetml.pivotTable+xml"/>
  <Override PartName="/xl/pivotTables/pivotTable37.xml" ContentType="application/vnd.openxmlformats-officedocument.spreadsheetml.pivotTable+xml"/>
  <Override PartName="/xl/pivotTables/pivotTable38.xml" ContentType="application/vnd.openxmlformats-officedocument.spreadsheetml.pivotTable+xml"/>
  <Override PartName="/xl/pivotTables/pivotTable39.xml" ContentType="application/vnd.openxmlformats-officedocument.spreadsheetml.pivotTable+xml"/>
  <Override PartName="/xl/pivotTables/pivotTable40.xml" ContentType="application/vnd.openxmlformats-officedocument.spreadsheetml.pivotTable+xml"/>
  <Override PartName="/xl/drawings/drawing4.xml" ContentType="application/vnd.openxmlformats-officedocument.drawing+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hidePivotFieldList="1" defaultThemeVersion="124226"/>
  <mc:AlternateContent xmlns:mc="http://schemas.openxmlformats.org/markup-compatibility/2006">
    <mc:Choice Requires="x15">
      <x15ac:absPath xmlns:x15ac="http://schemas.microsoft.com/office/spreadsheetml/2010/11/ac" url="C:\Users\james\Documents\"/>
    </mc:Choice>
  </mc:AlternateContent>
  <bookViews>
    <workbookView xWindow="0" yWindow="0" windowWidth="19200" windowHeight="12165" tabRatio="813"/>
  </bookViews>
  <sheets>
    <sheet name="Guide" sheetId="39" r:id="rId1"/>
    <sheet name="Snapshot" sheetId="64" r:id="rId2"/>
    <sheet name="SituationAnalysis" sheetId="40" r:id="rId3"/>
    <sheet name="Funds analysis" sheetId="55" r:id="rId4"/>
    <sheet name="Cluster indicator" sheetId="57" r:id="rId5"/>
    <sheet name="UNICEF" sheetId="65" state="hidden" r:id="rId6"/>
    <sheet name="Database" sheetId="58" r:id="rId7"/>
    <sheet name="Agency funds received" sheetId="63" r:id="rId8"/>
    <sheet name="List" sheetId="54" state="hidden" r:id="rId9"/>
  </sheets>
  <externalReferences>
    <externalReference r:id="rId10"/>
  </externalReferences>
  <definedNames>
    <definedName name="_xlnm._FilterDatabase" localSheetId="7" hidden="1">'Agency funds received'!$A$4:$AK$4</definedName>
    <definedName name="_xlnm._FilterDatabase" localSheetId="6" hidden="1">Database!$B$4:$CP$4</definedName>
    <definedName name="aa" localSheetId="4">#REF!</definedName>
    <definedName name="aa" localSheetId="5">#REF!</definedName>
    <definedName name="aa">[1]List!$B$3:$B$6</definedName>
    <definedName name="List" localSheetId="7">'Agency funds received'!$C$76:$C$79</definedName>
    <definedName name="List" localSheetId="5">#REF!</definedName>
    <definedName name="List">#REF!</definedName>
    <definedName name="_xlnm.Print_Area" localSheetId="6">Database!$B$4:$CP$4</definedName>
    <definedName name="_xlnm.Print_Area" localSheetId="1">Snapshot!$A$1:$O$39</definedName>
  </definedNames>
  <calcPr calcId="152511"/>
  <pivotCaches>
    <pivotCache cacheId="0" r:id="rId11"/>
    <pivotCache cacheId="1" r:id="rId12"/>
    <pivotCache cacheId="2" r:id="rId13"/>
  </pivotCaches>
</workbook>
</file>

<file path=xl/calcChain.xml><?xml version="1.0" encoding="utf-8"?>
<calcChain xmlns="http://schemas.openxmlformats.org/spreadsheetml/2006/main">
  <c r="T180" i="58" l="1"/>
  <c r="M3" i="58"/>
  <c r="O3" i="58"/>
  <c r="P115" i="58" l="1"/>
  <c r="P142" i="58"/>
  <c r="P143" i="58"/>
  <c r="P144" i="58"/>
  <c r="P145" i="58"/>
  <c r="P146" i="58"/>
  <c r="AH115" i="58"/>
  <c r="AI115" i="58" s="1"/>
  <c r="AJ115" i="58"/>
  <c r="AK115" i="58" s="1"/>
  <c r="AH142" i="58"/>
  <c r="AI142" i="58" s="1"/>
  <c r="AJ142" i="58"/>
  <c r="AK142" i="58" s="1"/>
  <c r="AH143" i="58"/>
  <c r="AI143" i="58" s="1"/>
  <c r="AJ143" i="58"/>
  <c r="AK143" i="58" s="1"/>
  <c r="AH144" i="58"/>
  <c r="AI144" i="58" s="1"/>
  <c r="AJ144" i="58"/>
  <c r="AK144" i="58" s="1"/>
  <c r="AH145" i="58"/>
  <c r="AI145" i="58" s="1"/>
  <c r="AJ145" i="58"/>
  <c r="AK145" i="58" s="1"/>
  <c r="AH146" i="58"/>
  <c r="AI146" i="58" s="1"/>
  <c r="AJ146" i="58"/>
  <c r="AK146" i="58"/>
  <c r="BC114" i="58"/>
  <c r="BD114" i="58" s="1"/>
  <c r="BC115" i="58"/>
  <c r="BD115" i="58" s="1"/>
  <c r="BC142" i="58"/>
  <c r="BD142" i="58"/>
  <c r="BC143" i="58"/>
  <c r="BD143" i="58" s="1"/>
  <c r="BC144" i="58"/>
  <c r="BD144" i="58" s="1"/>
  <c r="BC145" i="58"/>
  <c r="BD145" i="58" s="1"/>
  <c r="BC146" i="58"/>
  <c r="BG114" i="58"/>
  <c r="BG115" i="58"/>
  <c r="BG142" i="58"/>
  <c r="BH142" i="58" s="1"/>
  <c r="BG143" i="58"/>
  <c r="BH143" i="58" s="1"/>
  <c r="BG144" i="58"/>
  <c r="BH144" i="58" s="1"/>
  <c r="BG145" i="58"/>
  <c r="BG146" i="58"/>
  <c r="BL114" i="58"/>
  <c r="BL115" i="58"/>
  <c r="BL142" i="58"/>
  <c r="BL143" i="58"/>
  <c r="BL144" i="58"/>
  <c r="BL145" i="58"/>
  <c r="BL146" i="58"/>
  <c r="BO114" i="58"/>
  <c r="BP114" i="58" s="1"/>
  <c r="BQ114" i="58"/>
  <c r="BO115" i="58"/>
  <c r="BP115" i="58" s="1"/>
  <c r="BQ115" i="58"/>
  <c r="BO142" i="58"/>
  <c r="BP142" i="58" s="1"/>
  <c r="BQ142" i="58"/>
  <c r="BO143" i="58"/>
  <c r="BP143" i="58" s="1"/>
  <c r="BQ143" i="58"/>
  <c r="BO144" i="58"/>
  <c r="BP144" i="58"/>
  <c r="BQ144" i="58"/>
  <c r="BO145" i="58"/>
  <c r="BP145" i="58" s="1"/>
  <c r="BQ145" i="58"/>
  <c r="BO146" i="58"/>
  <c r="BP146" i="58" s="1"/>
  <c r="BQ146" i="58"/>
  <c r="BU115" i="58"/>
  <c r="BU142" i="58"/>
  <c r="BU143" i="58"/>
  <c r="BU144" i="58"/>
  <c r="BU145" i="58"/>
  <c r="BU146" i="58"/>
  <c r="BV115" i="58"/>
  <c r="BV142" i="58"/>
  <c r="BV143" i="58"/>
  <c r="BV144" i="58"/>
  <c r="BV145" i="58"/>
  <c r="BV146" i="58"/>
  <c r="CB113" i="58"/>
  <c r="CB114" i="58"/>
  <c r="CE114" i="58" s="1"/>
  <c r="CF114" i="58" s="1"/>
  <c r="CB115" i="58"/>
  <c r="CE115" i="58" s="1"/>
  <c r="CF115" i="58" s="1"/>
  <c r="CB142" i="58"/>
  <c r="CE142" i="58" s="1"/>
  <c r="CF142" i="58" s="1"/>
  <c r="CG142" i="58" s="1"/>
  <c r="CB143" i="58"/>
  <c r="CE143" i="58" s="1"/>
  <c r="CF143" i="58" s="1"/>
  <c r="CG143" i="58" s="1"/>
  <c r="CB144" i="58"/>
  <c r="CE144" i="58" s="1"/>
  <c r="CF144" i="58" s="1"/>
  <c r="CG144" i="58" s="1"/>
  <c r="CB145" i="58"/>
  <c r="CE145" i="58" s="1"/>
  <c r="CF145" i="58" s="1"/>
  <c r="CB146" i="58"/>
  <c r="CE146" i="58" s="1"/>
  <c r="CF146" i="58" s="1"/>
  <c r="CH69" i="58"/>
  <c r="CH70" i="58"/>
  <c r="CH113" i="58"/>
  <c r="CH114" i="58"/>
  <c r="CH115" i="58"/>
  <c r="CH142" i="58"/>
  <c r="CH143" i="58"/>
  <c r="CH144" i="58"/>
  <c r="CH145" i="58"/>
  <c r="CH146" i="58"/>
  <c r="CM114" i="58"/>
  <c r="CM115" i="58"/>
  <c r="CM142" i="58"/>
  <c r="CM143" i="58"/>
  <c r="CM144" i="58"/>
  <c r="CM145" i="58"/>
  <c r="CM146" i="58"/>
  <c r="CK114" i="58"/>
  <c r="CK115" i="58"/>
  <c r="CK142" i="58"/>
  <c r="CK143" i="58"/>
  <c r="CK144" i="58"/>
  <c r="CK145" i="58"/>
  <c r="CK146" i="58"/>
  <c r="BS142" i="58"/>
  <c r="BS143" i="58"/>
  <c r="BS144" i="58"/>
  <c r="BS145" i="58"/>
  <c r="BS146" i="58"/>
  <c r="BK142" i="58"/>
  <c r="BK143" i="58"/>
  <c r="BK144" i="58"/>
  <c r="BK145" i="58"/>
  <c r="BK146" i="58"/>
  <c r="AU142" i="58"/>
  <c r="AU143" i="58"/>
  <c r="AU144" i="58"/>
  <c r="AU145" i="58"/>
  <c r="AQ142" i="58"/>
  <c r="AR142" i="58"/>
  <c r="AS142" i="58"/>
  <c r="AQ143" i="58"/>
  <c r="AR143" i="58"/>
  <c r="AS143" i="58"/>
  <c r="AQ144" i="58"/>
  <c r="AR144" i="58"/>
  <c r="AS144" i="58"/>
  <c r="AQ145" i="58"/>
  <c r="AR145" i="58"/>
  <c r="AS145" i="58"/>
  <c r="AQ146" i="58"/>
  <c r="AR146" i="58"/>
  <c r="AS146" i="58"/>
  <c r="W142" i="58"/>
  <c r="W143" i="58"/>
  <c r="W144" i="58"/>
  <c r="W145" i="58"/>
  <c r="W146" i="58"/>
  <c r="T142" i="58"/>
  <c r="T143" i="58"/>
  <c r="T144" i="58"/>
  <c r="T145" i="58"/>
  <c r="T146" i="58"/>
  <c r="AN144" i="58" l="1"/>
  <c r="AN146" i="58"/>
  <c r="AN142" i="58"/>
  <c r="AN115" i="58"/>
  <c r="AL146" i="58"/>
  <c r="AM146" i="58" s="1"/>
  <c r="AN145" i="58"/>
  <c r="AL144" i="58"/>
  <c r="AM144" i="58" s="1"/>
  <c r="AN143" i="58"/>
  <c r="AL142" i="58"/>
  <c r="AM142" i="58" s="1"/>
  <c r="AO115" i="58"/>
  <c r="BE114" i="58"/>
  <c r="BE143" i="58"/>
  <c r="BF143" i="58" s="1"/>
  <c r="BE146" i="58"/>
  <c r="BE144" i="58"/>
  <c r="BF144" i="58" s="1"/>
  <c r="AO146" i="58"/>
  <c r="AL145" i="58"/>
  <c r="AM145" i="58" s="1"/>
  <c r="AO144" i="58"/>
  <c r="AP144" i="58" s="1"/>
  <c r="AL143" i="58"/>
  <c r="AM143" i="58" s="1"/>
  <c r="AO142" i="58"/>
  <c r="AP142" i="58" s="1"/>
  <c r="AL115" i="58"/>
  <c r="AM115" i="58" s="1"/>
  <c r="AO145" i="58"/>
  <c r="AO143" i="58"/>
  <c r="AP143" i="58" s="1"/>
  <c r="BE142" i="58"/>
  <c r="BF142" i="58" s="1"/>
  <c r="BD146" i="58"/>
  <c r="BE145" i="58"/>
  <c r="BE115" i="58"/>
  <c r="L3" i="58"/>
  <c r="E3" i="58" l="1"/>
  <c r="P69" i="58" l="1"/>
  <c r="P70" i="58"/>
  <c r="P113" i="58"/>
  <c r="P114" i="58"/>
  <c r="P147" i="58"/>
  <c r="AC34" i="63" l="1"/>
  <c r="AB34" i="63" s="1"/>
  <c r="AA34" i="63" s="1"/>
  <c r="V34" i="63"/>
  <c r="M34" i="63"/>
  <c r="N34" i="63" s="1"/>
  <c r="K34" i="63"/>
  <c r="K36" i="63"/>
  <c r="AC36" i="63" l="1"/>
  <c r="AB36" i="63" s="1"/>
  <c r="AA36" i="63" s="1"/>
  <c r="K7" i="63" l="1"/>
  <c r="K8" i="63"/>
  <c r="AC8" i="63"/>
  <c r="AB8" i="63" s="1"/>
  <c r="AA8" i="63" s="1"/>
  <c r="K30" i="63"/>
  <c r="AC30" i="63"/>
  <c r="AB30" i="63" s="1"/>
  <c r="AA30" i="63" s="1"/>
  <c r="K29" i="63"/>
  <c r="AC29" i="63"/>
  <c r="AB29" i="63" s="1"/>
  <c r="AA29" i="63" s="1"/>
  <c r="K60" i="63"/>
  <c r="AC60" i="63"/>
  <c r="AB60" i="63" s="1"/>
  <c r="AA60" i="63" s="1"/>
  <c r="K37" i="63"/>
  <c r="N37" i="63"/>
  <c r="C36" i="57" l="1"/>
  <c r="C35" i="57"/>
  <c r="C28" i="57"/>
  <c r="C27" i="57"/>
  <c r="C20" i="57"/>
  <c r="C19" i="57"/>
  <c r="D8" i="57"/>
  <c r="D36" i="57" s="1"/>
  <c r="D7" i="57"/>
  <c r="D35" i="57" s="1"/>
  <c r="D9" i="57"/>
  <c r="D37" i="57" s="1"/>
  <c r="C34" i="65"/>
  <c r="D38" i="65"/>
  <c r="C26" i="65"/>
  <c r="C18" i="65"/>
  <c r="D11" i="65"/>
  <c r="F11" i="65" s="1"/>
  <c r="F10" i="65"/>
  <c r="E38" i="57"/>
  <c r="E22" i="57"/>
  <c r="E30" i="57"/>
  <c r="D38" i="57"/>
  <c r="C38" i="57"/>
  <c r="C37" i="57"/>
  <c r="D30" i="57"/>
  <c r="C30" i="57"/>
  <c r="C29" i="57"/>
  <c r="C34" i="57" l="1"/>
  <c r="D34" i="57"/>
  <c r="D68" i="57" s="1"/>
  <c r="C26" i="57"/>
  <c r="E34" i="57" l="1"/>
  <c r="C68" i="57" s="1"/>
  <c r="C21" i="57" l="1"/>
  <c r="D22" i="57"/>
  <c r="C22" i="57"/>
  <c r="C18" i="57" l="1"/>
  <c r="D9" i="65"/>
  <c r="F9" i="65" s="1"/>
  <c r="D37" i="65" s="1"/>
  <c r="D7" i="65"/>
  <c r="F7" i="65" s="1"/>
  <c r="D35" i="65" s="1"/>
  <c r="D8" i="65"/>
  <c r="F8" i="65" s="1"/>
  <c r="D36" i="65" s="1"/>
  <c r="D34" i="65" l="1"/>
  <c r="E34" i="65" s="1"/>
  <c r="D12" i="65"/>
  <c r="E12" i="65"/>
  <c r="E11" i="57"/>
  <c r="E9" i="57"/>
  <c r="E8" i="57"/>
  <c r="E7" i="57"/>
  <c r="F12" i="65" l="1"/>
  <c r="G12" i="65" s="1"/>
  <c r="K65" i="63"/>
  <c r="K43" i="63" l="1"/>
  <c r="AC40" i="63"/>
  <c r="AB40" i="63" s="1"/>
  <c r="AA40" i="63" s="1"/>
  <c r="N40" i="63"/>
  <c r="AC65" i="63"/>
  <c r="AB65" i="63" s="1"/>
  <c r="AA65" i="63" s="1"/>
  <c r="CB147" i="58" l="1"/>
  <c r="AU18" i="58"/>
  <c r="AU19" i="58"/>
  <c r="AU20" i="58"/>
  <c r="AU21" i="58"/>
  <c r="AU22" i="58"/>
  <c r="AU23" i="58"/>
  <c r="AU24" i="58"/>
  <c r="AU25" i="58"/>
  <c r="AU26" i="58"/>
  <c r="AU27" i="58"/>
  <c r="AU28" i="58"/>
  <c r="AU29" i="58"/>
  <c r="AU30" i="58"/>
  <c r="AU31" i="58"/>
  <c r="AU32" i="58"/>
  <c r="AU33" i="58"/>
  <c r="AU34" i="58"/>
  <c r="AU35" i="58"/>
  <c r="AU36" i="58"/>
  <c r="AU37" i="58"/>
  <c r="AU38" i="58"/>
  <c r="AU39" i="58"/>
  <c r="AU40" i="58"/>
  <c r="AU41" i="58"/>
  <c r="AU42" i="58"/>
  <c r="AU43" i="58"/>
  <c r="AU46" i="58"/>
  <c r="AU71" i="58"/>
  <c r="AU72" i="58"/>
  <c r="AU73" i="58"/>
  <c r="AU74" i="58"/>
  <c r="AU75" i="58"/>
  <c r="AU76" i="58"/>
  <c r="AU77" i="58"/>
  <c r="AU78" i="58"/>
  <c r="AU81" i="58"/>
  <c r="AU116" i="58"/>
  <c r="AU117" i="58"/>
  <c r="AU118" i="58"/>
  <c r="AU119" i="58"/>
  <c r="AU120" i="58"/>
  <c r="AU121" i="58"/>
  <c r="AU122" i="58"/>
  <c r="AU123" i="58"/>
  <c r="AU124" i="58"/>
  <c r="AU125" i="58"/>
  <c r="AU126" i="58"/>
  <c r="AU127" i="58"/>
  <c r="AU128" i="58"/>
  <c r="AU129" i="58"/>
  <c r="AU130" i="58"/>
  <c r="AU131" i="58"/>
  <c r="AU132" i="58"/>
  <c r="AU133" i="58"/>
  <c r="AU134" i="58"/>
  <c r="AU135" i="58"/>
  <c r="AU136" i="58"/>
  <c r="AU137" i="58"/>
  <c r="AU138" i="58"/>
  <c r="AU139" i="58"/>
  <c r="AU140" i="58"/>
  <c r="AU141" i="58"/>
  <c r="AU148" i="58"/>
  <c r="AU149" i="58"/>
  <c r="AU150" i="58"/>
  <c r="AU154" i="58"/>
  <c r="AU155" i="58"/>
  <c r="AU156" i="58"/>
  <c r="AU157" i="58"/>
  <c r="AU158" i="58"/>
  <c r="AU159" i="58"/>
  <c r="AU160" i="58"/>
  <c r="AU161" i="58"/>
  <c r="AU162" i="58"/>
  <c r="AU163" i="58"/>
  <c r="AU164" i="58"/>
  <c r="AU165" i="58"/>
  <c r="AU166" i="58"/>
  <c r="AU167" i="58"/>
  <c r="AU168" i="58"/>
  <c r="AU169" i="58"/>
  <c r="AU170" i="58"/>
  <c r="AU171" i="58"/>
  <c r="AU172" i="58"/>
  <c r="AU173" i="58"/>
  <c r="AU174" i="58"/>
  <c r="AU175" i="58"/>
  <c r="AU176" i="58"/>
  <c r="AU177" i="58"/>
  <c r="AU178" i="58"/>
  <c r="AU179" i="58"/>
  <c r="AU7" i="58"/>
  <c r="AU9" i="58"/>
  <c r="AU10" i="58"/>
  <c r="AU11" i="58"/>
  <c r="AU12" i="58"/>
  <c r="AU16" i="58"/>
  <c r="AU65" i="58"/>
  <c r="AU79" i="58"/>
  <c r="AU80" i="58"/>
  <c r="AU83" i="58"/>
  <c r="AU84" i="58"/>
  <c r="AU96" i="58"/>
  <c r="AU99" i="58"/>
  <c r="AU100" i="58"/>
  <c r="AU151" i="58"/>
  <c r="AU152" i="58"/>
  <c r="AU6" i="58"/>
  <c r="AU5" i="58"/>
  <c r="AU13" i="58"/>
  <c r="AU14" i="58"/>
  <c r="AU15" i="58"/>
  <c r="AU82" i="58"/>
  <c r="AU86" i="58"/>
  <c r="AU87" i="58"/>
  <c r="AU88" i="58"/>
  <c r="AU89" i="58"/>
  <c r="AU90" i="58"/>
  <c r="AU91" i="58"/>
  <c r="AU92" i="58"/>
  <c r="AU94" i="58"/>
  <c r="AU97" i="58"/>
  <c r="AU104" i="58"/>
  <c r="AU61" i="58"/>
  <c r="AU62" i="58"/>
  <c r="AU101" i="58"/>
  <c r="AU8" i="58"/>
  <c r="AU56" i="58"/>
  <c r="AU57" i="58"/>
  <c r="AU58" i="58"/>
  <c r="AU60" i="58"/>
  <c r="AU103" i="58"/>
  <c r="AU107" i="58"/>
  <c r="AU106" i="58"/>
  <c r="AU105" i="58"/>
  <c r="AU111" i="58"/>
  <c r="AU109" i="58"/>
  <c r="AU108" i="58"/>
  <c r="AU110" i="58"/>
  <c r="AU66" i="58"/>
  <c r="AU85" i="58"/>
  <c r="AU95" i="58"/>
  <c r="AU98" i="58"/>
  <c r="AU102" i="58"/>
  <c r="AU112" i="58"/>
  <c r="AU153" i="58"/>
  <c r="AU93" i="58"/>
  <c r="AU44" i="58"/>
  <c r="AU45" i="58"/>
  <c r="AU47" i="58"/>
  <c r="AU48" i="58"/>
  <c r="AU49" i="58"/>
  <c r="AU50" i="58"/>
  <c r="AU51" i="58"/>
  <c r="AU52" i="58"/>
  <c r="AU53" i="58"/>
  <c r="AU54" i="58"/>
  <c r="AU55" i="58"/>
  <c r="AU59" i="58"/>
  <c r="AU63" i="58"/>
  <c r="AU64" i="58"/>
  <c r="AU67" i="58"/>
  <c r="AU68" i="58"/>
  <c r="AU69" i="58"/>
  <c r="AU70" i="58"/>
  <c r="AU113" i="58"/>
  <c r="AU114" i="58"/>
  <c r="AU115" i="58"/>
  <c r="AU146" i="58"/>
  <c r="AU147" i="58"/>
  <c r="AC44" i="63" l="1"/>
  <c r="AB44" i="63" s="1"/>
  <c r="AA44" i="63" s="1"/>
  <c r="K44" i="63"/>
  <c r="AC43" i="63"/>
  <c r="AB43" i="63" s="1"/>
  <c r="AA43" i="63" s="1"/>
  <c r="K57" i="63" l="1"/>
  <c r="K58" i="63"/>
  <c r="K59" i="63"/>
  <c r="K45" i="63"/>
  <c r="N58" i="63" l="1"/>
  <c r="AC57" i="63"/>
  <c r="AB57" i="63" s="1"/>
  <c r="AA57" i="63" s="1"/>
  <c r="AC58" i="63"/>
  <c r="AB58" i="63" s="1"/>
  <c r="AA58" i="63" s="1"/>
  <c r="T115" i="58" l="1"/>
  <c r="T114" i="58"/>
  <c r="T113" i="58"/>
  <c r="T147" i="58"/>
  <c r="T70" i="58"/>
  <c r="T69" i="58"/>
  <c r="T68" i="58"/>
  <c r="T67" i="58"/>
  <c r="T64" i="58"/>
  <c r="T63" i="58"/>
  <c r="T59" i="58"/>
  <c r="T55" i="58"/>
  <c r="T54" i="58"/>
  <c r="T53" i="58"/>
  <c r="T52" i="58"/>
  <c r="T51" i="58"/>
  <c r="T50" i="58"/>
  <c r="T49" i="58"/>
  <c r="T48" i="58"/>
  <c r="T47" i="58"/>
  <c r="T45" i="58"/>
  <c r="T44" i="58"/>
  <c r="T93" i="58"/>
  <c r="T153" i="58"/>
  <c r="T112" i="58"/>
  <c r="T102" i="58"/>
  <c r="T98" i="58"/>
  <c r="T95" i="58"/>
  <c r="T85" i="58"/>
  <c r="T66" i="58"/>
  <c r="T110" i="58"/>
  <c r="T108" i="58"/>
  <c r="T109" i="58"/>
  <c r="T111" i="58"/>
  <c r="T105" i="58"/>
  <c r="T106" i="58"/>
  <c r="T107" i="58"/>
  <c r="T103" i="58"/>
  <c r="T60" i="58"/>
  <c r="T58" i="58"/>
  <c r="T57" i="58"/>
  <c r="T56" i="58"/>
  <c r="T8" i="58"/>
  <c r="T101" i="58"/>
  <c r="T62" i="58"/>
  <c r="T61" i="58"/>
  <c r="T104" i="58"/>
  <c r="T97" i="58"/>
  <c r="T94" i="58"/>
  <c r="T92" i="58"/>
  <c r="T91" i="58"/>
  <c r="T90" i="58"/>
  <c r="T89" i="58"/>
  <c r="T88" i="58"/>
  <c r="T87" i="58"/>
  <c r="T86" i="58"/>
  <c r="T82" i="58"/>
  <c r="T15" i="58"/>
  <c r="T14" i="58"/>
  <c r="T13" i="58"/>
  <c r="T5" i="58"/>
  <c r="T6" i="58"/>
  <c r="T152" i="58"/>
  <c r="T151" i="58"/>
  <c r="T100" i="58"/>
  <c r="T99" i="58"/>
  <c r="T96" i="58"/>
  <c r="T84" i="58"/>
  <c r="T83" i="58"/>
  <c r="T80" i="58"/>
  <c r="T79" i="58"/>
  <c r="T65" i="58"/>
  <c r="T16" i="58"/>
  <c r="T12" i="58"/>
  <c r="T11" i="58"/>
  <c r="T10" i="58"/>
  <c r="T9" i="58"/>
  <c r="T7" i="58"/>
  <c r="T179" i="58"/>
  <c r="T178" i="58"/>
  <c r="T177" i="58"/>
  <c r="T176" i="58"/>
  <c r="T175" i="58"/>
  <c r="T174" i="58"/>
  <c r="T173" i="58"/>
  <c r="T172" i="58"/>
  <c r="T171" i="58"/>
  <c r="T170" i="58"/>
  <c r="T169" i="58"/>
  <c r="T168" i="58"/>
  <c r="T167" i="58"/>
  <c r="T166" i="58"/>
  <c r="T165" i="58"/>
  <c r="T164" i="58"/>
  <c r="T163" i="58"/>
  <c r="T162" i="58"/>
  <c r="T161" i="58"/>
  <c r="T160" i="58"/>
  <c r="T159" i="58"/>
  <c r="T158" i="58"/>
  <c r="T157" i="58"/>
  <c r="T156" i="58"/>
  <c r="T155" i="58"/>
  <c r="T154" i="58"/>
  <c r="T150" i="58"/>
  <c r="T149" i="58"/>
  <c r="T148" i="58"/>
  <c r="T141" i="58"/>
  <c r="T140" i="58"/>
  <c r="T139" i="58"/>
  <c r="T138" i="58"/>
  <c r="T137" i="58"/>
  <c r="T136" i="58"/>
  <c r="T135" i="58"/>
  <c r="T134" i="58"/>
  <c r="T133" i="58"/>
  <c r="T132" i="58"/>
  <c r="T131" i="58"/>
  <c r="T130" i="58"/>
  <c r="T129" i="58"/>
  <c r="T128" i="58"/>
  <c r="T127" i="58"/>
  <c r="T126" i="58"/>
  <c r="T125" i="58"/>
  <c r="T124" i="58"/>
  <c r="T123" i="58"/>
  <c r="T122" i="58"/>
  <c r="T121" i="58"/>
  <c r="T120" i="58"/>
  <c r="T119" i="58"/>
  <c r="T118" i="58"/>
  <c r="T117" i="58"/>
  <c r="T116" i="58"/>
  <c r="T81" i="58"/>
  <c r="T78" i="58"/>
  <c r="T77" i="58"/>
  <c r="T76" i="58"/>
  <c r="T75" i="58"/>
  <c r="T74" i="58"/>
  <c r="T73" i="58"/>
  <c r="T72" i="58"/>
  <c r="T71" i="58"/>
  <c r="T46" i="58"/>
  <c r="T43" i="58"/>
  <c r="T42" i="58"/>
  <c r="T41" i="58"/>
  <c r="T40" i="58"/>
  <c r="T39" i="58"/>
  <c r="T38" i="58"/>
  <c r="T37" i="58"/>
  <c r="T36" i="58"/>
  <c r="T35" i="58"/>
  <c r="T34" i="58"/>
  <c r="T33" i="58"/>
  <c r="T32" i="58"/>
  <c r="T31" i="58"/>
  <c r="T30" i="58"/>
  <c r="T29" i="58"/>
  <c r="T28" i="58"/>
  <c r="T27" i="58"/>
  <c r="T26" i="58"/>
  <c r="T25" i="58"/>
  <c r="T24" i="58"/>
  <c r="T23" i="58"/>
  <c r="T22" i="58"/>
  <c r="T21" i="58"/>
  <c r="T20" i="58"/>
  <c r="T19" i="58"/>
  <c r="T18" i="58"/>
  <c r="T17" i="58"/>
  <c r="BH145" i="58"/>
  <c r="CG145" i="58"/>
  <c r="BF145" i="58" l="1"/>
  <c r="AP145" i="58"/>
  <c r="CM113" i="58" l="1"/>
  <c r="CK113" i="58"/>
  <c r="CE113" i="58"/>
  <c r="CF113" i="58" s="1"/>
  <c r="CG113" i="58" s="1"/>
  <c r="CG114" i="58"/>
  <c r="CG115" i="58"/>
  <c r="BU113" i="58"/>
  <c r="BV113" i="58"/>
  <c r="BU114" i="58"/>
  <c r="BV114" i="58"/>
  <c r="BS113" i="58"/>
  <c r="BS114" i="58"/>
  <c r="BS115" i="58"/>
  <c r="BO113" i="58"/>
  <c r="BP113" i="58" s="1"/>
  <c r="BQ113" i="58"/>
  <c r="BK113" i="58"/>
  <c r="BL113" i="58"/>
  <c r="BK114" i="58"/>
  <c r="BK115" i="58"/>
  <c r="BC113" i="58"/>
  <c r="BD113" i="58" s="1"/>
  <c r="BG113" i="58"/>
  <c r="BH113" i="58" s="1"/>
  <c r="BH114" i="58"/>
  <c r="BH115" i="58"/>
  <c r="AH113" i="58"/>
  <c r="AI113" i="58" s="1"/>
  <c r="AJ113" i="58"/>
  <c r="AK113" i="58" s="1"/>
  <c r="AQ113" i="58"/>
  <c r="AR113" i="58"/>
  <c r="AS113" i="58"/>
  <c r="AH114" i="58"/>
  <c r="AI114" i="58" s="1"/>
  <c r="AJ114" i="58"/>
  <c r="AK114" i="58" s="1"/>
  <c r="AQ114" i="58"/>
  <c r="AR114" i="58"/>
  <c r="AS114" i="58"/>
  <c r="AQ115" i="58"/>
  <c r="AR115" i="58"/>
  <c r="AS115" i="58"/>
  <c r="W113" i="58"/>
  <c r="W114" i="58"/>
  <c r="W115" i="58"/>
  <c r="BE113" i="58" l="1"/>
  <c r="BF113" i="58" s="1"/>
  <c r="AL114" i="58"/>
  <c r="AM114" i="58" s="1"/>
  <c r="BF115" i="58"/>
  <c r="AL113" i="58"/>
  <c r="AM113" i="58" s="1"/>
  <c r="BF114" i="58"/>
  <c r="AP115" i="58"/>
  <c r="AO114" i="58"/>
  <c r="AP114" i="58" s="1"/>
  <c r="AO113" i="58"/>
  <c r="AP113" i="58" s="1"/>
  <c r="AN114" i="58"/>
  <c r="AN113" i="58"/>
  <c r="AU17" i="58" l="1"/>
  <c r="AH17" i="58"/>
  <c r="AN17" i="58" s="1"/>
  <c r="AJ17" i="58"/>
  <c r="AK17" i="58" s="1"/>
  <c r="AQ17" i="58"/>
  <c r="AR17" i="58"/>
  <c r="AS17" i="58"/>
  <c r="AH18" i="58"/>
  <c r="AJ18" i="58"/>
  <c r="AK18" i="58" s="1"/>
  <c r="AQ18" i="58"/>
  <c r="AR18" i="58"/>
  <c r="AS18" i="58"/>
  <c r="AH19" i="58"/>
  <c r="AL19" i="58" s="1"/>
  <c r="AM19" i="58" s="1"/>
  <c r="AJ19" i="58"/>
  <c r="AK19" i="58" s="1"/>
  <c r="AQ19" i="58"/>
  <c r="AR19" i="58"/>
  <c r="AS19" i="58"/>
  <c r="AH20" i="58"/>
  <c r="AJ20" i="58"/>
  <c r="AK20" i="58" s="1"/>
  <c r="AQ20" i="58"/>
  <c r="AR20" i="58"/>
  <c r="AS20" i="58"/>
  <c r="AH21" i="58"/>
  <c r="AN21" i="58" s="1"/>
  <c r="AJ21" i="58"/>
  <c r="AK21" i="58" s="1"/>
  <c r="AQ21" i="58"/>
  <c r="AR21" i="58"/>
  <c r="AS21" i="58"/>
  <c r="AH22" i="58"/>
  <c r="AJ22" i="58"/>
  <c r="AK22" i="58" s="1"/>
  <c r="AQ22" i="58"/>
  <c r="AR22" i="58"/>
  <c r="AS22" i="58"/>
  <c r="AH23" i="58"/>
  <c r="AL23" i="58" s="1"/>
  <c r="AM23" i="58" s="1"/>
  <c r="AJ23" i="58"/>
  <c r="AK23" i="58" s="1"/>
  <c r="AQ23" i="58"/>
  <c r="AR23" i="58"/>
  <c r="AS23" i="58"/>
  <c r="AH24" i="58"/>
  <c r="AJ24" i="58"/>
  <c r="AK24" i="58" s="1"/>
  <c r="AQ24" i="58"/>
  <c r="AR24" i="58"/>
  <c r="AS24" i="58"/>
  <c r="AH25" i="58"/>
  <c r="AN25" i="58" s="1"/>
  <c r="AJ25" i="58"/>
  <c r="AK25" i="58" s="1"/>
  <c r="AQ25" i="58"/>
  <c r="AR25" i="58"/>
  <c r="AS25" i="58"/>
  <c r="AH26" i="58"/>
  <c r="AJ26" i="58"/>
  <c r="AK26" i="58" s="1"/>
  <c r="AQ26" i="58"/>
  <c r="AR26" i="58"/>
  <c r="AS26" i="58"/>
  <c r="AH27" i="58"/>
  <c r="AL27" i="58" s="1"/>
  <c r="AM27" i="58" s="1"/>
  <c r="AJ27" i="58"/>
  <c r="AK27" i="58" s="1"/>
  <c r="AQ27" i="58"/>
  <c r="AR27" i="58"/>
  <c r="AS27" i="58"/>
  <c r="AH28" i="58"/>
  <c r="AJ28" i="58"/>
  <c r="AQ28" i="58"/>
  <c r="AR28" i="58"/>
  <c r="AS28" i="58"/>
  <c r="AH29" i="58"/>
  <c r="AN29" i="58" s="1"/>
  <c r="AJ29" i="58"/>
  <c r="AK29" i="58" s="1"/>
  <c r="AQ29" i="58"/>
  <c r="AR29" i="58"/>
  <c r="AS29" i="58"/>
  <c r="AH30" i="58"/>
  <c r="AJ30" i="58"/>
  <c r="AK30" i="58" s="1"/>
  <c r="AQ30" i="58"/>
  <c r="AR30" i="58"/>
  <c r="AS30" i="58"/>
  <c r="AH31" i="58"/>
  <c r="AJ31" i="58"/>
  <c r="AK31" i="58" s="1"/>
  <c r="AQ31" i="58"/>
  <c r="AR31" i="58"/>
  <c r="AS31" i="58"/>
  <c r="AH32" i="58"/>
  <c r="AJ32" i="58"/>
  <c r="AK32" i="58" s="1"/>
  <c r="AQ32" i="58"/>
  <c r="AR32" i="58"/>
  <c r="AS32" i="58"/>
  <c r="AH33" i="58"/>
  <c r="AN33" i="58" s="1"/>
  <c r="AJ33" i="58"/>
  <c r="AK33" i="58" s="1"/>
  <c r="AQ33" i="58"/>
  <c r="AR33" i="58"/>
  <c r="AS33" i="58"/>
  <c r="AH34" i="58"/>
  <c r="AJ34" i="58"/>
  <c r="AK34" i="58" s="1"/>
  <c r="AQ34" i="58"/>
  <c r="AR34" i="58"/>
  <c r="AS34" i="58"/>
  <c r="AH35" i="58"/>
  <c r="AL35" i="58" s="1"/>
  <c r="AM35" i="58" s="1"/>
  <c r="AJ35" i="58"/>
  <c r="AK35" i="58" s="1"/>
  <c r="AQ35" i="58"/>
  <c r="AR35" i="58"/>
  <c r="AS35" i="58"/>
  <c r="AH36" i="58"/>
  <c r="AJ36" i="58"/>
  <c r="AQ36" i="58"/>
  <c r="AR36" i="58"/>
  <c r="AS36" i="58"/>
  <c r="AH37" i="58"/>
  <c r="AN37" i="58" s="1"/>
  <c r="AJ37" i="58"/>
  <c r="AK37" i="58" s="1"/>
  <c r="AQ37" i="58"/>
  <c r="AR37" i="58"/>
  <c r="AS37" i="58"/>
  <c r="AH38" i="58"/>
  <c r="AJ38" i="58"/>
  <c r="AK38" i="58" s="1"/>
  <c r="AQ38" i="58"/>
  <c r="AR38" i="58"/>
  <c r="AS38" i="58"/>
  <c r="AH39" i="58"/>
  <c r="AL39" i="58" s="1"/>
  <c r="AM39" i="58" s="1"/>
  <c r="AJ39" i="58"/>
  <c r="AK39" i="58" s="1"/>
  <c r="AQ39" i="58"/>
  <c r="AR39" i="58"/>
  <c r="AS39" i="58"/>
  <c r="AH40" i="58"/>
  <c r="AJ40" i="58"/>
  <c r="AK40" i="58" s="1"/>
  <c r="AQ40" i="58"/>
  <c r="AR40" i="58"/>
  <c r="AS40" i="58"/>
  <c r="AH41" i="58"/>
  <c r="AN41" i="58" s="1"/>
  <c r="AJ41" i="58"/>
  <c r="AK41" i="58" s="1"/>
  <c r="AQ41" i="58"/>
  <c r="AR41" i="58"/>
  <c r="AS41" i="58"/>
  <c r="AH42" i="58"/>
  <c r="AJ42" i="58"/>
  <c r="AK42" i="58" s="1"/>
  <c r="AQ42" i="58"/>
  <c r="AR42" i="58"/>
  <c r="AS42" i="58"/>
  <c r="AH43" i="58"/>
  <c r="AJ43" i="58"/>
  <c r="AQ43" i="58"/>
  <c r="AR43" i="58"/>
  <c r="AS43" i="58"/>
  <c r="AH46" i="58"/>
  <c r="AN46" i="58" s="1"/>
  <c r="AJ46" i="58"/>
  <c r="AK46" i="58" s="1"/>
  <c r="AQ46" i="58"/>
  <c r="AR46" i="58"/>
  <c r="AS46" i="58"/>
  <c r="AH71" i="58"/>
  <c r="AJ71" i="58"/>
  <c r="AK71" i="58" s="1"/>
  <c r="AQ71" i="58"/>
  <c r="AR71" i="58"/>
  <c r="AS71" i="58"/>
  <c r="AH72" i="58"/>
  <c r="AL72" i="58" s="1"/>
  <c r="AM72" i="58" s="1"/>
  <c r="AJ72" i="58"/>
  <c r="AK72" i="58" s="1"/>
  <c r="AQ72" i="58"/>
  <c r="AR72" i="58"/>
  <c r="AS72" i="58"/>
  <c r="AH73" i="58"/>
  <c r="AJ73" i="58"/>
  <c r="AK73" i="58" s="1"/>
  <c r="AQ73" i="58"/>
  <c r="AR73" i="58"/>
  <c r="AS73" i="58"/>
  <c r="AH74" i="58"/>
  <c r="AN74" i="58" s="1"/>
  <c r="AJ74" i="58"/>
  <c r="AK74" i="58" s="1"/>
  <c r="AQ74" i="58"/>
  <c r="AR74" i="58"/>
  <c r="AS74" i="58"/>
  <c r="AH75" i="58"/>
  <c r="AJ75" i="58"/>
  <c r="AK75" i="58" s="1"/>
  <c r="AQ75" i="58"/>
  <c r="AR75" i="58"/>
  <c r="AS75" i="58"/>
  <c r="AH76" i="58"/>
  <c r="AL76" i="58" s="1"/>
  <c r="AM76" i="58" s="1"/>
  <c r="AJ76" i="58"/>
  <c r="AK76" i="58" s="1"/>
  <c r="AQ76" i="58"/>
  <c r="AR76" i="58"/>
  <c r="AS76" i="58"/>
  <c r="AH77" i="58"/>
  <c r="AJ77" i="58"/>
  <c r="AK77" i="58" s="1"/>
  <c r="AQ77" i="58"/>
  <c r="AR77" i="58"/>
  <c r="AS77" i="58"/>
  <c r="AH78" i="58"/>
  <c r="AN78" i="58" s="1"/>
  <c r="AJ78" i="58"/>
  <c r="AK78" i="58" s="1"/>
  <c r="AQ78" i="58"/>
  <c r="AR78" i="58"/>
  <c r="AS78" i="58"/>
  <c r="AH81" i="58"/>
  <c r="AJ81" i="58"/>
  <c r="AK81" i="58" s="1"/>
  <c r="AQ81" i="58"/>
  <c r="AR81" i="58"/>
  <c r="AS81" i="58"/>
  <c r="AH116" i="58"/>
  <c r="AL116" i="58" s="1"/>
  <c r="AM116" i="58" s="1"/>
  <c r="AJ116" i="58"/>
  <c r="AK116" i="58" s="1"/>
  <c r="AQ116" i="58"/>
  <c r="AR116" i="58"/>
  <c r="AS116" i="58"/>
  <c r="AH117" i="58"/>
  <c r="AJ117" i="58"/>
  <c r="AK117" i="58" s="1"/>
  <c r="AQ117" i="58"/>
  <c r="AR117" i="58"/>
  <c r="AS117" i="58"/>
  <c r="AH118" i="58"/>
  <c r="AN118" i="58" s="1"/>
  <c r="AJ118" i="58"/>
  <c r="AK118" i="58" s="1"/>
  <c r="AQ118" i="58"/>
  <c r="AR118" i="58"/>
  <c r="AS118" i="58"/>
  <c r="AH119" i="58"/>
  <c r="AJ119" i="58"/>
  <c r="AK119" i="58" s="1"/>
  <c r="AQ119" i="58"/>
  <c r="AR119" i="58"/>
  <c r="AS119" i="58"/>
  <c r="AH120" i="58"/>
  <c r="AL120" i="58" s="1"/>
  <c r="AM120" i="58" s="1"/>
  <c r="AJ120" i="58"/>
  <c r="AK120" i="58" s="1"/>
  <c r="AQ120" i="58"/>
  <c r="AR120" i="58"/>
  <c r="AS120" i="58"/>
  <c r="AH121" i="58"/>
  <c r="AN121" i="58" s="1"/>
  <c r="AJ121" i="58"/>
  <c r="AK121" i="58" s="1"/>
  <c r="AQ121" i="58"/>
  <c r="AR121" i="58"/>
  <c r="AS121" i="58"/>
  <c r="AH122" i="58"/>
  <c r="AJ122" i="58"/>
  <c r="AK122" i="58" s="1"/>
  <c r="AQ122" i="58"/>
  <c r="AR122" i="58"/>
  <c r="AS122" i="58"/>
  <c r="AH123" i="58"/>
  <c r="AJ123" i="58"/>
  <c r="AK123" i="58" s="1"/>
  <c r="AQ123" i="58"/>
  <c r="AR123" i="58"/>
  <c r="AS123" i="58"/>
  <c r="AH124" i="58"/>
  <c r="AJ124" i="58"/>
  <c r="AK124" i="58" s="1"/>
  <c r="AQ124" i="58"/>
  <c r="AR124" i="58"/>
  <c r="AS124" i="58"/>
  <c r="AH125" i="58"/>
  <c r="AN125" i="58" s="1"/>
  <c r="AJ125" i="58"/>
  <c r="AK125" i="58" s="1"/>
  <c r="AQ125" i="58"/>
  <c r="AR125" i="58"/>
  <c r="AS125" i="58"/>
  <c r="AH126" i="58"/>
  <c r="AI126" i="58" s="1"/>
  <c r="AJ126" i="58"/>
  <c r="AK126" i="58" s="1"/>
  <c r="AQ126" i="58"/>
  <c r="AR126" i="58"/>
  <c r="AS126" i="58"/>
  <c r="AH127" i="58"/>
  <c r="AJ127" i="58"/>
  <c r="AK127" i="58" s="1"/>
  <c r="AQ127" i="58"/>
  <c r="AR127" i="58"/>
  <c r="AS127" i="58"/>
  <c r="AH128" i="58"/>
  <c r="AN128" i="58" s="1"/>
  <c r="AJ128" i="58"/>
  <c r="AK128" i="58" s="1"/>
  <c r="AQ128" i="58"/>
  <c r="AR128" i="58"/>
  <c r="AS128" i="58"/>
  <c r="AH129" i="58"/>
  <c r="AI129" i="58" s="1"/>
  <c r="AJ129" i="58"/>
  <c r="AK129" i="58" s="1"/>
  <c r="AQ129" i="58"/>
  <c r="AR129" i="58"/>
  <c r="AS129" i="58"/>
  <c r="AH130" i="58"/>
  <c r="AL130" i="58" s="1"/>
  <c r="AM130" i="58" s="1"/>
  <c r="AJ130" i="58"/>
  <c r="AK130" i="58" s="1"/>
  <c r="AQ130" i="58"/>
  <c r="AR130" i="58"/>
  <c r="AS130" i="58"/>
  <c r="AH131" i="58"/>
  <c r="AN131" i="58" s="1"/>
  <c r="AJ131" i="58"/>
  <c r="AK131" i="58" s="1"/>
  <c r="AQ131" i="58"/>
  <c r="AR131" i="58"/>
  <c r="AS131" i="58"/>
  <c r="AH132" i="58"/>
  <c r="AJ132" i="58"/>
  <c r="AK132" i="58" s="1"/>
  <c r="AQ132" i="58"/>
  <c r="AR132" i="58"/>
  <c r="AS132" i="58"/>
  <c r="AH133" i="58"/>
  <c r="AI133" i="58" s="1"/>
  <c r="AJ133" i="58"/>
  <c r="AK133" i="58" s="1"/>
  <c r="AQ133" i="58"/>
  <c r="AR133" i="58"/>
  <c r="AS133" i="58"/>
  <c r="AH134" i="58"/>
  <c r="AN134" i="58" s="1"/>
  <c r="AJ134" i="58"/>
  <c r="AK134" i="58" s="1"/>
  <c r="AQ134" i="58"/>
  <c r="AR134" i="58"/>
  <c r="AS134" i="58"/>
  <c r="AH135" i="58"/>
  <c r="AJ135" i="58"/>
  <c r="AK135" i="58" s="1"/>
  <c r="AQ135" i="58"/>
  <c r="AR135" i="58"/>
  <c r="AS135" i="58"/>
  <c r="AH136" i="58"/>
  <c r="AL136" i="58" s="1"/>
  <c r="AM136" i="58" s="1"/>
  <c r="AJ136" i="58"/>
  <c r="AK136" i="58" s="1"/>
  <c r="AQ136" i="58"/>
  <c r="AR136" i="58"/>
  <c r="AS136" i="58"/>
  <c r="AH137" i="58"/>
  <c r="AJ137" i="58"/>
  <c r="AK137" i="58" s="1"/>
  <c r="AQ137" i="58"/>
  <c r="AR137" i="58"/>
  <c r="AS137" i="58"/>
  <c r="AH138" i="58"/>
  <c r="AI138" i="58" s="1"/>
  <c r="AJ138" i="58"/>
  <c r="AK138" i="58" s="1"/>
  <c r="AQ138" i="58"/>
  <c r="AR138" i="58"/>
  <c r="AS138" i="58"/>
  <c r="AH139" i="58"/>
  <c r="AN139" i="58" s="1"/>
  <c r="AJ139" i="58"/>
  <c r="AK139" i="58" s="1"/>
  <c r="AQ139" i="58"/>
  <c r="AR139" i="58"/>
  <c r="AS139" i="58"/>
  <c r="AH140" i="58"/>
  <c r="AI140" i="58" s="1"/>
  <c r="AJ140" i="58"/>
  <c r="AK140" i="58" s="1"/>
  <c r="AQ140" i="58"/>
  <c r="AR140" i="58"/>
  <c r="AS140" i="58"/>
  <c r="AH141" i="58"/>
  <c r="AJ141" i="58"/>
  <c r="AK141" i="58" s="1"/>
  <c r="AQ141" i="58"/>
  <c r="AR141" i="58"/>
  <c r="AS141" i="58"/>
  <c r="AH148" i="58"/>
  <c r="AN148" i="58" s="1"/>
  <c r="AJ148" i="58"/>
  <c r="AK148" i="58" s="1"/>
  <c r="AQ148" i="58"/>
  <c r="AR148" i="58"/>
  <c r="AS148" i="58"/>
  <c r="AH149" i="58"/>
  <c r="AJ149" i="58"/>
  <c r="AK149" i="58" s="1"/>
  <c r="AQ149" i="58"/>
  <c r="AR149" i="58"/>
  <c r="AS149" i="58"/>
  <c r="AH150" i="58"/>
  <c r="AL150" i="58" s="1"/>
  <c r="AM150" i="58" s="1"/>
  <c r="AJ150" i="58"/>
  <c r="AQ150" i="58"/>
  <c r="AR150" i="58"/>
  <c r="AS150" i="58"/>
  <c r="AH154" i="58"/>
  <c r="AN154" i="58" s="1"/>
  <c r="AJ154" i="58"/>
  <c r="AK154" i="58" s="1"/>
  <c r="AQ154" i="58"/>
  <c r="AR154" i="58"/>
  <c r="AS154" i="58"/>
  <c r="AH155" i="58"/>
  <c r="AJ155" i="58"/>
  <c r="AK155" i="58" s="1"/>
  <c r="AQ155" i="58"/>
  <c r="AR155" i="58"/>
  <c r="AS155" i="58"/>
  <c r="AH156" i="58"/>
  <c r="AJ156" i="58"/>
  <c r="AK156" i="58" s="1"/>
  <c r="AQ156" i="58"/>
  <c r="AR156" i="58"/>
  <c r="AS156" i="58"/>
  <c r="AH157" i="58"/>
  <c r="AN157" i="58" s="1"/>
  <c r="AJ157" i="58"/>
  <c r="AK157" i="58" s="1"/>
  <c r="AQ157" i="58"/>
  <c r="AR157" i="58"/>
  <c r="AS157" i="58"/>
  <c r="AH158" i="58"/>
  <c r="AJ158" i="58"/>
  <c r="AK158" i="58" s="1"/>
  <c r="AQ158" i="58"/>
  <c r="AR158" i="58"/>
  <c r="AS158" i="58"/>
  <c r="AH159" i="58"/>
  <c r="AN159" i="58" s="1"/>
  <c r="AJ159" i="58"/>
  <c r="AK159" i="58" s="1"/>
  <c r="AQ159" i="58"/>
  <c r="AR159" i="58"/>
  <c r="AS159" i="58"/>
  <c r="AH160" i="58"/>
  <c r="AL160" i="58" s="1"/>
  <c r="AM160" i="58" s="1"/>
  <c r="AJ160" i="58"/>
  <c r="AK160" i="58" s="1"/>
  <c r="AQ160" i="58"/>
  <c r="AR160" i="58"/>
  <c r="AS160" i="58"/>
  <c r="AH161" i="58"/>
  <c r="AL161" i="58" s="1"/>
  <c r="AM161" i="58" s="1"/>
  <c r="AJ161" i="58"/>
  <c r="AK161" i="58" s="1"/>
  <c r="AQ161" i="58"/>
  <c r="AR161" i="58"/>
  <c r="AS161" i="58"/>
  <c r="AH162" i="58"/>
  <c r="AN162" i="58" s="1"/>
  <c r="AJ162" i="58"/>
  <c r="AK162" i="58" s="1"/>
  <c r="AQ162" i="58"/>
  <c r="AR162" i="58"/>
  <c r="AS162" i="58"/>
  <c r="AH163" i="58"/>
  <c r="AJ163" i="58"/>
  <c r="AK163" i="58" s="1"/>
  <c r="AQ163" i="58"/>
  <c r="AR163" i="58"/>
  <c r="AS163" i="58"/>
  <c r="AH164" i="58"/>
  <c r="AN164" i="58" s="1"/>
  <c r="AJ164" i="58"/>
  <c r="AK164" i="58" s="1"/>
  <c r="AQ164" i="58"/>
  <c r="AR164" i="58"/>
  <c r="AS164" i="58"/>
  <c r="AH165" i="58"/>
  <c r="AI165" i="58" s="1"/>
  <c r="AJ165" i="58"/>
  <c r="AK165" i="58" s="1"/>
  <c r="AQ165" i="58"/>
  <c r="AR165" i="58"/>
  <c r="AS165" i="58"/>
  <c r="AH166" i="58"/>
  <c r="AJ166" i="58"/>
  <c r="AK166" i="58" s="1"/>
  <c r="AQ166" i="58"/>
  <c r="AR166" i="58"/>
  <c r="AS166" i="58"/>
  <c r="AH167" i="58"/>
  <c r="AN167" i="58" s="1"/>
  <c r="AJ167" i="58"/>
  <c r="AK167" i="58" s="1"/>
  <c r="AQ167" i="58"/>
  <c r="AR167" i="58"/>
  <c r="AS167" i="58"/>
  <c r="AH168" i="58"/>
  <c r="AJ168" i="58"/>
  <c r="AK168" i="58" s="1"/>
  <c r="AQ168" i="58"/>
  <c r="AR168" i="58"/>
  <c r="AS168" i="58"/>
  <c r="AH169" i="58"/>
  <c r="AJ169" i="58"/>
  <c r="AK169" i="58" s="1"/>
  <c r="AQ169" i="58"/>
  <c r="AR169" i="58"/>
  <c r="AS169" i="58"/>
  <c r="AH170" i="58"/>
  <c r="AN170" i="58" s="1"/>
  <c r="AJ170" i="58"/>
  <c r="AK170" i="58" s="1"/>
  <c r="AQ170" i="58"/>
  <c r="AR170" i="58"/>
  <c r="AS170" i="58"/>
  <c r="AH171" i="58"/>
  <c r="AI171" i="58" s="1"/>
  <c r="AJ171" i="58"/>
  <c r="AK171" i="58" s="1"/>
  <c r="AQ171" i="58"/>
  <c r="AR171" i="58"/>
  <c r="AS171" i="58"/>
  <c r="AH172" i="58"/>
  <c r="AI172" i="58" s="1"/>
  <c r="AJ172" i="58"/>
  <c r="AK172" i="58" s="1"/>
  <c r="AQ172" i="58"/>
  <c r="AR172" i="58"/>
  <c r="AS172" i="58"/>
  <c r="AH173" i="58"/>
  <c r="AN173" i="58" s="1"/>
  <c r="AJ173" i="58"/>
  <c r="AK173" i="58" s="1"/>
  <c r="AQ173" i="58"/>
  <c r="AR173" i="58"/>
  <c r="AS173" i="58"/>
  <c r="AH174" i="58"/>
  <c r="AJ174" i="58"/>
  <c r="AK174" i="58" s="1"/>
  <c r="AQ174" i="58"/>
  <c r="AR174" i="58"/>
  <c r="AS174" i="58"/>
  <c r="AH175" i="58"/>
  <c r="AN175" i="58" s="1"/>
  <c r="AJ175" i="58"/>
  <c r="AK175" i="58" s="1"/>
  <c r="AQ175" i="58"/>
  <c r="AR175" i="58"/>
  <c r="AS175" i="58"/>
  <c r="AH176" i="58"/>
  <c r="AJ176" i="58"/>
  <c r="AK176" i="58" s="1"/>
  <c r="AQ176" i="58"/>
  <c r="AR176" i="58"/>
  <c r="AS176" i="58"/>
  <c r="AH177" i="58"/>
  <c r="AJ177" i="58"/>
  <c r="AK177" i="58" s="1"/>
  <c r="AQ177" i="58"/>
  <c r="AR177" i="58"/>
  <c r="AS177" i="58"/>
  <c r="AH178" i="58"/>
  <c r="AN178" i="58" s="1"/>
  <c r="AJ178" i="58"/>
  <c r="AK178" i="58" s="1"/>
  <c r="AQ178" i="58"/>
  <c r="AR178" i="58"/>
  <c r="AS178" i="58"/>
  <c r="AH179" i="58"/>
  <c r="AJ179" i="58"/>
  <c r="AK179" i="58" s="1"/>
  <c r="AQ179" i="58"/>
  <c r="AR179" i="58"/>
  <c r="AS179" i="58"/>
  <c r="AH7" i="58"/>
  <c r="AN7" i="58" s="1"/>
  <c r="AJ7" i="58"/>
  <c r="AK7" i="58" s="1"/>
  <c r="AQ7" i="58"/>
  <c r="AR7" i="58"/>
  <c r="AS7" i="58"/>
  <c r="AH9" i="58"/>
  <c r="AI9" i="58" s="1"/>
  <c r="AJ9" i="58"/>
  <c r="AK9" i="58" s="1"/>
  <c r="AQ9" i="58"/>
  <c r="AR9" i="58"/>
  <c r="AS9" i="58"/>
  <c r="AH10" i="58"/>
  <c r="AJ10" i="58"/>
  <c r="AK10" i="58" s="1"/>
  <c r="AQ10" i="58"/>
  <c r="AR10" i="58"/>
  <c r="AS10" i="58"/>
  <c r="AH11" i="58"/>
  <c r="AN11" i="58" s="1"/>
  <c r="AJ11" i="58"/>
  <c r="AK11" i="58" s="1"/>
  <c r="AQ11" i="58"/>
  <c r="AR11" i="58"/>
  <c r="AS11" i="58"/>
  <c r="AH12" i="58"/>
  <c r="AL12" i="58" s="1"/>
  <c r="AM12" i="58" s="1"/>
  <c r="AJ12" i="58"/>
  <c r="AK12" i="58" s="1"/>
  <c r="AQ12" i="58"/>
  <c r="AR12" i="58"/>
  <c r="AS12" i="58"/>
  <c r="AH16" i="58"/>
  <c r="AL16" i="58" s="1"/>
  <c r="AM16" i="58" s="1"/>
  <c r="AJ16" i="58"/>
  <c r="AK16" i="58" s="1"/>
  <c r="AQ16" i="58"/>
  <c r="AR16" i="58"/>
  <c r="AS16" i="58"/>
  <c r="AH65" i="58"/>
  <c r="AN65" i="58" s="1"/>
  <c r="AJ65" i="58"/>
  <c r="AK65" i="58" s="1"/>
  <c r="AQ65" i="58"/>
  <c r="AR65" i="58"/>
  <c r="AS65" i="58"/>
  <c r="AH79" i="58"/>
  <c r="AL79" i="58" s="1"/>
  <c r="AM79" i="58" s="1"/>
  <c r="AJ79" i="58"/>
  <c r="AK79" i="58" s="1"/>
  <c r="AQ79" i="58"/>
  <c r="AR79" i="58"/>
  <c r="AS79" i="58"/>
  <c r="AH80" i="58"/>
  <c r="AL80" i="58" s="1"/>
  <c r="AM80" i="58" s="1"/>
  <c r="AJ80" i="58"/>
  <c r="AK80" i="58" s="1"/>
  <c r="AQ80" i="58"/>
  <c r="AR80" i="58"/>
  <c r="AS80" i="58"/>
  <c r="AH83" i="58"/>
  <c r="AN83" i="58" s="1"/>
  <c r="AJ83" i="58"/>
  <c r="AK83" i="58" s="1"/>
  <c r="AQ83" i="58"/>
  <c r="AR83" i="58"/>
  <c r="AS83" i="58"/>
  <c r="AH84" i="58"/>
  <c r="AN84" i="58" s="1"/>
  <c r="AJ84" i="58"/>
  <c r="AK84" i="58" s="1"/>
  <c r="AQ84" i="58"/>
  <c r="AR84" i="58"/>
  <c r="AS84" i="58"/>
  <c r="AH96" i="58"/>
  <c r="AJ96" i="58"/>
  <c r="AK96" i="58" s="1"/>
  <c r="AQ96" i="58"/>
  <c r="AR96" i="58"/>
  <c r="AS96" i="58"/>
  <c r="AH99" i="58"/>
  <c r="AJ99" i="58"/>
  <c r="AK99" i="58" s="1"/>
  <c r="AQ99" i="58"/>
  <c r="AR99" i="58"/>
  <c r="AS99" i="58"/>
  <c r="AH100" i="58"/>
  <c r="AN100" i="58" s="1"/>
  <c r="AJ100" i="58"/>
  <c r="AK100" i="58" s="1"/>
  <c r="AQ100" i="58"/>
  <c r="AR100" i="58"/>
  <c r="AS100" i="58"/>
  <c r="AH151" i="58"/>
  <c r="AL151" i="58" s="1"/>
  <c r="AM151" i="58" s="1"/>
  <c r="AJ151" i="58"/>
  <c r="AK151" i="58" s="1"/>
  <c r="AQ151" i="58"/>
  <c r="AR151" i="58"/>
  <c r="AS151" i="58"/>
  <c r="AH152" i="58"/>
  <c r="AL152" i="58" s="1"/>
  <c r="AM152" i="58" s="1"/>
  <c r="AJ152" i="58"/>
  <c r="AK152" i="58" s="1"/>
  <c r="AQ152" i="58"/>
  <c r="AR152" i="58"/>
  <c r="AS152" i="58"/>
  <c r="AH6" i="58"/>
  <c r="AI6" i="58" s="1"/>
  <c r="AJ6" i="58"/>
  <c r="AK6" i="58" s="1"/>
  <c r="AQ6" i="58"/>
  <c r="AR6" i="58"/>
  <c r="AS6" i="58"/>
  <c r="AH5" i="58"/>
  <c r="AN5" i="58" s="1"/>
  <c r="AJ5" i="58"/>
  <c r="AK5" i="58" s="1"/>
  <c r="AQ5" i="58"/>
  <c r="AR5" i="58"/>
  <c r="AS5" i="58"/>
  <c r="AH13" i="58"/>
  <c r="AJ13" i="58"/>
  <c r="AK13" i="58" s="1"/>
  <c r="AQ13" i="58"/>
  <c r="AR13" i="58"/>
  <c r="AS13" i="58"/>
  <c r="AH14" i="58"/>
  <c r="AI14" i="58" s="1"/>
  <c r="AJ14" i="58"/>
  <c r="AK14" i="58" s="1"/>
  <c r="AQ14" i="58"/>
  <c r="AR14" i="58"/>
  <c r="AS14" i="58"/>
  <c r="AH15" i="58"/>
  <c r="AN15" i="58" s="1"/>
  <c r="AJ15" i="58"/>
  <c r="AK15" i="58" s="1"/>
  <c r="AQ15" i="58"/>
  <c r="AR15" i="58"/>
  <c r="AS15" i="58"/>
  <c r="AH82" i="58"/>
  <c r="AN82" i="58" s="1"/>
  <c r="AJ82" i="58"/>
  <c r="AK82" i="58" s="1"/>
  <c r="AQ82" i="58"/>
  <c r="AR82" i="58"/>
  <c r="AS82" i="58"/>
  <c r="AH86" i="58"/>
  <c r="AL86" i="58" s="1"/>
  <c r="AM86" i="58" s="1"/>
  <c r="AJ86" i="58"/>
  <c r="AK86" i="58" s="1"/>
  <c r="AQ86" i="58"/>
  <c r="AR86" i="58"/>
  <c r="AS86" i="58"/>
  <c r="AH87" i="58"/>
  <c r="AJ87" i="58"/>
  <c r="AQ87" i="58"/>
  <c r="AR87" i="58"/>
  <c r="AS87" i="58"/>
  <c r="AH88" i="58"/>
  <c r="AN88" i="58" s="1"/>
  <c r="AJ88" i="58"/>
  <c r="AK88" i="58" s="1"/>
  <c r="AQ88" i="58"/>
  <c r="AR88" i="58"/>
  <c r="AS88" i="58"/>
  <c r="AH89" i="58"/>
  <c r="AN89" i="58" s="1"/>
  <c r="AJ89" i="58"/>
  <c r="AK89" i="58" s="1"/>
  <c r="AQ89" i="58"/>
  <c r="AR89" i="58"/>
  <c r="AS89" i="58"/>
  <c r="AH90" i="58"/>
  <c r="AJ90" i="58"/>
  <c r="AK90" i="58" s="1"/>
  <c r="AQ90" i="58"/>
  <c r="AR90" i="58"/>
  <c r="AS90" i="58"/>
  <c r="AH91" i="58"/>
  <c r="AN91" i="58" s="1"/>
  <c r="AJ91" i="58"/>
  <c r="AK91" i="58" s="1"/>
  <c r="AQ91" i="58"/>
  <c r="AR91" i="58"/>
  <c r="AS91" i="58"/>
  <c r="AH92" i="58"/>
  <c r="AI92" i="58" s="1"/>
  <c r="AJ92" i="58"/>
  <c r="AK92" i="58" s="1"/>
  <c r="AQ92" i="58"/>
  <c r="AR92" i="58"/>
  <c r="AS92" i="58"/>
  <c r="AH94" i="58"/>
  <c r="AJ94" i="58"/>
  <c r="AK94" i="58" s="1"/>
  <c r="AQ94" i="58"/>
  <c r="AR94" i="58"/>
  <c r="AS94" i="58"/>
  <c r="AH97" i="58"/>
  <c r="AJ97" i="58"/>
  <c r="AK97" i="58" s="1"/>
  <c r="AQ97" i="58"/>
  <c r="AR97" i="58"/>
  <c r="AS97" i="58"/>
  <c r="AH104" i="58"/>
  <c r="AN104" i="58" s="1"/>
  <c r="AJ104" i="58"/>
  <c r="AK104" i="58" s="1"/>
  <c r="AQ104" i="58"/>
  <c r="AR104" i="58"/>
  <c r="AS104" i="58"/>
  <c r="AH61" i="58"/>
  <c r="AL61" i="58" s="1"/>
  <c r="AM61" i="58" s="1"/>
  <c r="AJ61" i="58"/>
  <c r="AK61" i="58" s="1"/>
  <c r="AQ61" i="58"/>
  <c r="AR61" i="58"/>
  <c r="AS61" i="58"/>
  <c r="AH62" i="58"/>
  <c r="AN62" i="58" s="1"/>
  <c r="AJ62" i="58"/>
  <c r="AK62" i="58" s="1"/>
  <c r="AQ62" i="58"/>
  <c r="AR62" i="58"/>
  <c r="AS62" i="58"/>
  <c r="AH101" i="58"/>
  <c r="AN101" i="58" s="1"/>
  <c r="AJ101" i="58"/>
  <c r="AK101" i="58" s="1"/>
  <c r="AQ101" i="58"/>
  <c r="AR101" i="58"/>
  <c r="AS101" i="58"/>
  <c r="AH8" i="58"/>
  <c r="AL8" i="58" s="1"/>
  <c r="AM8" i="58" s="1"/>
  <c r="AJ8" i="58"/>
  <c r="AK8" i="58" s="1"/>
  <c r="AQ8" i="58"/>
  <c r="AR8" i="58"/>
  <c r="AS8" i="58"/>
  <c r="AH56" i="58"/>
  <c r="AN56" i="58" s="1"/>
  <c r="AJ56" i="58"/>
  <c r="AK56" i="58" s="1"/>
  <c r="AQ56" i="58"/>
  <c r="AR56" i="58"/>
  <c r="AS56" i="58"/>
  <c r="AH57" i="58"/>
  <c r="AN57" i="58" s="1"/>
  <c r="AJ57" i="58"/>
  <c r="AK57" i="58" s="1"/>
  <c r="AQ57" i="58"/>
  <c r="AR57" i="58"/>
  <c r="AS57" i="58"/>
  <c r="AH58" i="58"/>
  <c r="AL58" i="58" s="1"/>
  <c r="AM58" i="58" s="1"/>
  <c r="AJ58" i="58"/>
  <c r="AK58" i="58" s="1"/>
  <c r="AQ58" i="58"/>
  <c r="AR58" i="58"/>
  <c r="AS58" i="58"/>
  <c r="AH60" i="58"/>
  <c r="AJ60" i="58"/>
  <c r="AK60" i="58" s="1"/>
  <c r="AQ60" i="58"/>
  <c r="AR60" i="58"/>
  <c r="AS60" i="58"/>
  <c r="AH103" i="58"/>
  <c r="AN103" i="58" s="1"/>
  <c r="AJ103" i="58"/>
  <c r="AK103" i="58" s="1"/>
  <c r="AQ103" i="58"/>
  <c r="AR103" i="58"/>
  <c r="AS103" i="58"/>
  <c r="AH107" i="58"/>
  <c r="AN107" i="58" s="1"/>
  <c r="AJ107" i="58"/>
  <c r="AK107" i="58" s="1"/>
  <c r="AQ107" i="58"/>
  <c r="AR107" i="58"/>
  <c r="AS107" i="58"/>
  <c r="AH106" i="58"/>
  <c r="AJ106" i="58"/>
  <c r="AK106" i="58" s="1"/>
  <c r="AQ106" i="58"/>
  <c r="AR106" i="58"/>
  <c r="AS106" i="58"/>
  <c r="AH105" i="58"/>
  <c r="AL105" i="58" s="1"/>
  <c r="AM105" i="58" s="1"/>
  <c r="AJ105" i="58"/>
  <c r="AK105" i="58" s="1"/>
  <c r="AQ105" i="58"/>
  <c r="AR105" i="58"/>
  <c r="AS105" i="58"/>
  <c r="AH111" i="58"/>
  <c r="AN111" i="58" s="1"/>
  <c r="AJ111" i="58"/>
  <c r="AK111" i="58" s="1"/>
  <c r="AQ111" i="58"/>
  <c r="AR111" i="58"/>
  <c r="AS111" i="58"/>
  <c r="AH109" i="58"/>
  <c r="AN109" i="58" s="1"/>
  <c r="AJ109" i="58"/>
  <c r="AK109" i="58" s="1"/>
  <c r="AQ109" i="58"/>
  <c r="AR109" i="58"/>
  <c r="AS109" i="58"/>
  <c r="AH108" i="58"/>
  <c r="AL108" i="58" s="1"/>
  <c r="AM108" i="58" s="1"/>
  <c r="AJ108" i="58"/>
  <c r="AK108" i="58" s="1"/>
  <c r="AQ108" i="58"/>
  <c r="AR108" i="58"/>
  <c r="AS108" i="58"/>
  <c r="AH110" i="58"/>
  <c r="AN110" i="58" s="1"/>
  <c r="AJ110" i="58"/>
  <c r="AK110" i="58" s="1"/>
  <c r="AQ110" i="58"/>
  <c r="AR110" i="58"/>
  <c r="AS110" i="58"/>
  <c r="AH66" i="58"/>
  <c r="AJ66" i="58"/>
  <c r="AK66" i="58" s="1"/>
  <c r="AQ66" i="58"/>
  <c r="AR66" i="58"/>
  <c r="AS66" i="58"/>
  <c r="AH85" i="58"/>
  <c r="AN85" i="58" s="1"/>
  <c r="AJ85" i="58"/>
  <c r="AK85" i="58" s="1"/>
  <c r="AQ85" i="58"/>
  <c r="AR85" i="58"/>
  <c r="AS85" i="58"/>
  <c r="AH95" i="58"/>
  <c r="AJ95" i="58"/>
  <c r="AK95" i="58" s="1"/>
  <c r="AQ95" i="58"/>
  <c r="AR95" i="58"/>
  <c r="AS95" i="58"/>
  <c r="AH98" i="58"/>
  <c r="AN98" i="58" s="1"/>
  <c r="AJ98" i="58"/>
  <c r="AK98" i="58" s="1"/>
  <c r="AQ98" i="58"/>
  <c r="AR98" i="58"/>
  <c r="AS98" i="58"/>
  <c r="AH102" i="58"/>
  <c r="AN102" i="58" s="1"/>
  <c r="AJ102" i="58"/>
  <c r="AK102" i="58" s="1"/>
  <c r="AQ102" i="58"/>
  <c r="AR102" i="58"/>
  <c r="AS102" i="58"/>
  <c r="AH112" i="58"/>
  <c r="AN112" i="58" s="1"/>
  <c r="AJ112" i="58"/>
  <c r="AK112" i="58" s="1"/>
  <c r="AQ112" i="58"/>
  <c r="AR112" i="58"/>
  <c r="AS112" i="58"/>
  <c r="AH153" i="58"/>
  <c r="AJ153" i="58"/>
  <c r="AK153" i="58" s="1"/>
  <c r="AQ153" i="58"/>
  <c r="AR153" i="58"/>
  <c r="AS153" i="58"/>
  <c r="AH93" i="58"/>
  <c r="AN93" i="58" s="1"/>
  <c r="AJ93" i="58"/>
  <c r="AK93" i="58" s="1"/>
  <c r="AQ93" i="58"/>
  <c r="AR93" i="58"/>
  <c r="AS93" i="58"/>
  <c r="AH44" i="58"/>
  <c r="AJ44" i="58"/>
  <c r="AK44" i="58" s="1"/>
  <c r="AQ44" i="58"/>
  <c r="AR44" i="58"/>
  <c r="AS44" i="58"/>
  <c r="AH45" i="58"/>
  <c r="AN45" i="58" s="1"/>
  <c r="AJ45" i="58"/>
  <c r="AK45" i="58" s="1"/>
  <c r="AQ45" i="58"/>
  <c r="AR45" i="58"/>
  <c r="AS45" i="58"/>
  <c r="AH47" i="58"/>
  <c r="AJ47" i="58"/>
  <c r="AK47" i="58" s="1"/>
  <c r="AQ47" i="58"/>
  <c r="AR47" i="58"/>
  <c r="AS47" i="58"/>
  <c r="AH48" i="58"/>
  <c r="AJ48" i="58"/>
  <c r="AK48" i="58" s="1"/>
  <c r="AQ48" i="58"/>
  <c r="AR48" i="58"/>
  <c r="AS48" i="58"/>
  <c r="AH49" i="58"/>
  <c r="AN49" i="58" s="1"/>
  <c r="AJ49" i="58"/>
  <c r="AK49" i="58" s="1"/>
  <c r="AQ49" i="58"/>
  <c r="AR49" i="58"/>
  <c r="AS49" i="58"/>
  <c r="AH50" i="58"/>
  <c r="AN50" i="58" s="1"/>
  <c r="AJ50" i="58"/>
  <c r="AK50" i="58" s="1"/>
  <c r="AQ50" i="58"/>
  <c r="AR50" i="58"/>
  <c r="AS50" i="58"/>
  <c r="AH51" i="58"/>
  <c r="AL51" i="58" s="1"/>
  <c r="AM51" i="58" s="1"/>
  <c r="AJ51" i="58"/>
  <c r="AK51" i="58" s="1"/>
  <c r="AQ51" i="58"/>
  <c r="AR51" i="58"/>
  <c r="AS51" i="58"/>
  <c r="AH52" i="58"/>
  <c r="AN52" i="58" s="1"/>
  <c r="AJ52" i="58"/>
  <c r="AK52" i="58" s="1"/>
  <c r="AQ52" i="58"/>
  <c r="AR52" i="58"/>
  <c r="AS52" i="58"/>
  <c r="AH53" i="58"/>
  <c r="AJ53" i="58"/>
  <c r="AK53" i="58" s="1"/>
  <c r="AQ53" i="58"/>
  <c r="AR53" i="58"/>
  <c r="AS53" i="58"/>
  <c r="AH54" i="58"/>
  <c r="AN54" i="58" s="1"/>
  <c r="AJ54" i="58"/>
  <c r="AK54" i="58" s="1"/>
  <c r="AQ54" i="58"/>
  <c r="AR54" i="58"/>
  <c r="AS54" i="58"/>
  <c r="AH55" i="58"/>
  <c r="AJ55" i="58"/>
  <c r="AK55" i="58" s="1"/>
  <c r="AQ55" i="58"/>
  <c r="AR55" i="58"/>
  <c r="AS55" i="58"/>
  <c r="AH59" i="58"/>
  <c r="AN59" i="58" s="1"/>
  <c r="AJ59" i="58"/>
  <c r="AK59" i="58" s="1"/>
  <c r="AQ59" i="58"/>
  <c r="AR59" i="58"/>
  <c r="AS59" i="58"/>
  <c r="AH63" i="58"/>
  <c r="AN63" i="58" s="1"/>
  <c r="AJ63" i="58"/>
  <c r="AK63" i="58" s="1"/>
  <c r="AQ63" i="58"/>
  <c r="AR63" i="58"/>
  <c r="AS63" i="58"/>
  <c r="AH64" i="58"/>
  <c r="AN64" i="58" s="1"/>
  <c r="AJ64" i="58"/>
  <c r="AK64" i="58" s="1"/>
  <c r="AQ64" i="58"/>
  <c r="AR64" i="58"/>
  <c r="AS64" i="58"/>
  <c r="AH67" i="58"/>
  <c r="AL67" i="58" s="1"/>
  <c r="AM67" i="58" s="1"/>
  <c r="AJ67" i="58"/>
  <c r="AK67" i="58" s="1"/>
  <c r="AQ67" i="58"/>
  <c r="AR67" i="58"/>
  <c r="AS67" i="58"/>
  <c r="AH68" i="58"/>
  <c r="AN68" i="58" s="1"/>
  <c r="AJ68" i="58"/>
  <c r="AK68" i="58" s="1"/>
  <c r="AQ68" i="58"/>
  <c r="AR68" i="58"/>
  <c r="AS68" i="58"/>
  <c r="AI84" i="58" l="1"/>
  <c r="AI98" i="58"/>
  <c r="AL91" i="58"/>
  <c r="AM91" i="58" s="1"/>
  <c r="AL15" i="58"/>
  <c r="AM15" i="58" s="1"/>
  <c r="AL98" i="58"/>
  <c r="AM98" i="58" s="1"/>
  <c r="AL172" i="58"/>
  <c r="AM172" i="58" s="1"/>
  <c r="AL110" i="58"/>
  <c r="AM110" i="58" s="1"/>
  <c r="AL111" i="58"/>
  <c r="AM111" i="58" s="1"/>
  <c r="AI134" i="58"/>
  <c r="AN72" i="58"/>
  <c r="AL92" i="58"/>
  <c r="AM92" i="58" s="1"/>
  <c r="AN19" i="58"/>
  <c r="AI68" i="58"/>
  <c r="AL63" i="58"/>
  <c r="AM63" i="58" s="1"/>
  <c r="AL121" i="58"/>
  <c r="AM121" i="58" s="1"/>
  <c r="AI148" i="58"/>
  <c r="AO36" i="58"/>
  <c r="AP36" i="58" s="1"/>
  <c r="AL102" i="58"/>
  <c r="AM102" i="58" s="1"/>
  <c r="AI93" i="58"/>
  <c r="AI102" i="58"/>
  <c r="AL175" i="58"/>
  <c r="AM175" i="58" s="1"/>
  <c r="AO93" i="58"/>
  <c r="AP93" i="58" s="1"/>
  <c r="AI111" i="58"/>
  <c r="AI7" i="58"/>
  <c r="AL59" i="58"/>
  <c r="AM59" i="58" s="1"/>
  <c r="AL49" i="58"/>
  <c r="AM49" i="58" s="1"/>
  <c r="AL56" i="58"/>
  <c r="AM56" i="58" s="1"/>
  <c r="AO7" i="58"/>
  <c r="AP7" i="58" s="1"/>
  <c r="AO34" i="58"/>
  <c r="AP34" i="58" s="1"/>
  <c r="AL68" i="58"/>
  <c r="AM68" i="58" s="1"/>
  <c r="AL54" i="58"/>
  <c r="AM54" i="58" s="1"/>
  <c r="AL85" i="58"/>
  <c r="AM85" i="58" s="1"/>
  <c r="AL107" i="58"/>
  <c r="AM107" i="58" s="1"/>
  <c r="AL9" i="58"/>
  <c r="AM9" i="58" s="1"/>
  <c r="AL154" i="58"/>
  <c r="AM154" i="58" s="1"/>
  <c r="AL126" i="58"/>
  <c r="AM126" i="58" s="1"/>
  <c r="AO59" i="58"/>
  <c r="AP59" i="58" s="1"/>
  <c r="AI59" i="58"/>
  <c r="AO98" i="58"/>
  <c r="AP98" i="58" s="1"/>
  <c r="AI91" i="58"/>
  <c r="AI88" i="58"/>
  <c r="AL84" i="58"/>
  <c r="AM84" i="58" s="1"/>
  <c r="AL7" i="58"/>
  <c r="AM7" i="58" s="1"/>
  <c r="AI175" i="58"/>
  <c r="AI157" i="58"/>
  <c r="AL148" i="58"/>
  <c r="AM148" i="58" s="1"/>
  <c r="AL139" i="58"/>
  <c r="AM139" i="58" s="1"/>
  <c r="AL134" i="58"/>
  <c r="AM134" i="58" s="1"/>
  <c r="AO122" i="58"/>
  <c r="AP122" i="58" s="1"/>
  <c r="AI121" i="58"/>
  <c r="AO71" i="58"/>
  <c r="AP71" i="58" s="1"/>
  <c r="AO18" i="58"/>
  <c r="AP18" i="58" s="1"/>
  <c r="AO96" i="58"/>
  <c r="AP96" i="58" s="1"/>
  <c r="AO75" i="58"/>
  <c r="AP75" i="58" s="1"/>
  <c r="AO49" i="58"/>
  <c r="AP49" i="58" s="1"/>
  <c r="AL93" i="58"/>
  <c r="AM93" i="58" s="1"/>
  <c r="AO56" i="58"/>
  <c r="AP56" i="58" s="1"/>
  <c r="AL89" i="58"/>
  <c r="AM89" i="58" s="1"/>
  <c r="AL173" i="58"/>
  <c r="AM173" i="58" s="1"/>
  <c r="AO168" i="58"/>
  <c r="AP168" i="58" s="1"/>
  <c r="AL167" i="58"/>
  <c r="AM167" i="58" s="1"/>
  <c r="AO164" i="58"/>
  <c r="AP164" i="58" s="1"/>
  <c r="AL159" i="58"/>
  <c r="AM159" i="58" s="1"/>
  <c r="AO157" i="58"/>
  <c r="AP157" i="58" s="1"/>
  <c r="AL133" i="58"/>
  <c r="AM133" i="58" s="1"/>
  <c r="AL128" i="58"/>
  <c r="AM128" i="58" s="1"/>
  <c r="AN76" i="58"/>
  <c r="AO26" i="58"/>
  <c r="AP26" i="58" s="1"/>
  <c r="AN23" i="58"/>
  <c r="AO68" i="58"/>
  <c r="AP68" i="58" s="1"/>
  <c r="AI63" i="58"/>
  <c r="AL52" i="58"/>
  <c r="AM52" i="58" s="1"/>
  <c r="AI49" i="58"/>
  <c r="AO111" i="58"/>
  <c r="AP111" i="58" s="1"/>
  <c r="AI56" i="58"/>
  <c r="AO91" i="58"/>
  <c r="AP91" i="58" s="1"/>
  <c r="AI15" i="58"/>
  <c r="AL11" i="58"/>
  <c r="AM11" i="58" s="1"/>
  <c r="AL178" i="58"/>
  <c r="AM178" i="58" s="1"/>
  <c r="AL164" i="58"/>
  <c r="AM164" i="58" s="1"/>
  <c r="AL162" i="58"/>
  <c r="AM162" i="58" s="1"/>
  <c r="AO160" i="58"/>
  <c r="AP160" i="58" s="1"/>
  <c r="AL157" i="58"/>
  <c r="AM157" i="58" s="1"/>
  <c r="AL140" i="58"/>
  <c r="AM140" i="58" s="1"/>
  <c r="AL125" i="58"/>
  <c r="AM125" i="58" s="1"/>
  <c r="AO119" i="58"/>
  <c r="AP119" i="58" s="1"/>
  <c r="AN116" i="58"/>
  <c r="AN48" i="58"/>
  <c r="AI48" i="58"/>
  <c r="AN97" i="58"/>
  <c r="AI97" i="58"/>
  <c r="AN13" i="58"/>
  <c r="AI13" i="58"/>
  <c r="AN158" i="58"/>
  <c r="AL158" i="58"/>
  <c r="AM158" i="58" s="1"/>
  <c r="AN124" i="58"/>
  <c r="AL124" i="58"/>
  <c r="AM124" i="58" s="1"/>
  <c r="AL31" i="58"/>
  <c r="AM31" i="58" s="1"/>
  <c r="AN31" i="58"/>
  <c r="AN153" i="58"/>
  <c r="AI153" i="58"/>
  <c r="AN55" i="58"/>
  <c r="AL55" i="58"/>
  <c r="AM55" i="58" s="1"/>
  <c r="AN53" i="58"/>
  <c r="AL53" i="58"/>
  <c r="AM53" i="58" s="1"/>
  <c r="AI53" i="58"/>
  <c r="AO53" i="58"/>
  <c r="AP53" i="58" s="1"/>
  <c r="AN51" i="58"/>
  <c r="AI51" i="58"/>
  <c r="AN44" i="58"/>
  <c r="AL44" i="58"/>
  <c r="AM44" i="58" s="1"/>
  <c r="AL153" i="58"/>
  <c r="AM153" i="58" s="1"/>
  <c r="AN105" i="58"/>
  <c r="AI105" i="58"/>
  <c r="AN86" i="58"/>
  <c r="AI86" i="58"/>
  <c r="AL14" i="58"/>
  <c r="AM14" i="58" s="1"/>
  <c r="AL6" i="58"/>
  <c r="AM6" i="58" s="1"/>
  <c r="AN152" i="58"/>
  <c r="AI152" i="58"/>
  <c r="AO152" i="58"/>
  <c r="AP152" i="58" s="1"/>
  <c r="AO150" i="58"/>
  <c r="AP150" i="58" s="1"/>
  <c r="AK150" i="58"/>
  <c r="AN136" i="58"/>
  <c r="AI136" i="58"/>
  <c r="AO125" i="58"/>
  <c r="AP125" i="58" s="1"/>
  <c r="AN67" i="58"/>
  <c r="AI67" i="58"/>
  <c r="AL48" i="58"/>
  <c r="AM48" i="58" s="1"/>
  <c r="AN47" i="58"/>
  <c r="AI47" i="58"/>
  <c r="AL47" i="58"/>
  <c r="AM47" i="58" s="1"/>
  <c r="AN95" i="58"/>
  <c r="AL95" i="58"/>
  <c r="AM95" i="58" s="1"/>
  <c r="AN66" i="58"/>
  <c r="AL66" i="58"/>
  <c r="AM66" i="58" s="1"/>
  <c r="AI66" i="58"/>
  <c r="AO66" i="58"/>
  <c r="AP66" i="58" s="1"/>
  <c r="AN108" i="58"/>
  <c r="AI108" i="58"/>
  <c r="AO60" i="58"/>
  <c r="AP60" i="58" s="1"/>
  <c r="AN58" i="58"/>
  <c r="AI58" i="58"/>
  <c r="AL97" i="58"/>
  <c r="AM97" i="58" s="1"/>
  <c r="AO87" i="58"/>
  <c r="AP87" i="58" s="1"/>
  <c r="AK87" i="58"/>
  <c r="AO177" i="58"/>
  <c r="AP177" i="58" s="1"/>
  <c r="AO173" i="58"/>
  <c r="AP173" i="58" s="1"/>
  <c r="AL165" i="58"/>
  <c r="AM165" i="58" s="1"/>
  <c r="AO28" i="58"/>
  <c r="AP28" i="58" s="1"/>
  <c r="AK28" i="58"/>
  <c r="AO16" i="58"/>
  <c r="AP16" i="58" s="1"/>
  <c r="AI11" i="58"/>
  <c r="AI177" i="58"/>
  <c r="AI173" i="58"/>
  <c r="AI167" i="58"/>
  <c r="AI164" i="58"/>
  <c r="AI128" i="58"/>
  <c r="AI125" i="58"/>
  <c r="AK36" i="58"/>
  <c r="AL62" i="58"/>
  <c r="AM62" i="58" s="1"/>
  <c r="AO61" i="58"/>
  <c r="AP61" i="58" s="1"/>
  <c r="AO15" i="58"/>
  <c r="AP15" i="58" s="1"/>
  <c r="AL100" i="58"/>
  <c r="AM100" i="58" s="1"/>
  <c r="AO134" i="58"/>
  <c r="AP134" i="58" s="1"/>
  <c r="AL131" i="58"/>
  <c r="AM131" i="58" s="1"/>
  <c r="AO43" i="58"/>
  <c r="AP43" i="58" s="1"/>
  <c r="AN39" i="58"/>
  <c r="AN106" i="58"/>
  <c r="AI106" i="58"/>
  <c r="AN60" i="58"/>
  <c r="AI60" i="58"/>
  <c r="AN8" i="58"/>
  <c r="AO8" i="58"/>
  <c r="AP8" i="58" s="1"/>
  <c r="AN176" i="58"/>
  <c r="AI176" i="58"/>
  <c r="AL176" i="58"/>
  <c r="AM176" i="58" s="1"/>
  <c r="AN169" i="58"/>
  <c r="AI169" i="58"/>
  <c r="AN168" i="58"/>
  <c r="AL168" i="58"/>
  <c r="AM168" i="58" s="1"/>
  <c r="AN155" i="58"/>
  <c r="AI155" i="58"/>
  <c r="AN132" i="58"/>
  <c r="AL132" i="58"/>
  <c r="AM132" i="58" s="1"/>
  <c r="AN127" i="58"/>
  <c r="AL127" i="58"/>
  <c r="AM127" i="58" s="1"/>
  <c r="AL50" i="58"/>
  <c r="AM50" i="58" s="1"/>
  <c r="AL109" i="58"/>
  <c r="AM109" i="58" s="1"/>
  <c r="AL106" i="58"/>
  <c r="AM106" i="58" s="1"/>
  <c r="AL103" i="58"/>
  <c r="AM103" i="58" s="1"/>
  <c r="AL60" i="58"/>
  <c r="AM60" i="58" s="1"/>
  <c r="AL57" i="58"/>
  <c r="AM57" i="58" s="1"/>
  <c r="AL101" i="58"/>
  <c r="AM101" i="58" s="1"/>
  <c r="AL104" i="58"/>
  <c r="AM104" i="58" s="1"/>
  <c r="AN92" i="58"/>
  <c r="AO92" i="58"/>
  <c r="AP92" i="58" s="1"/>
  <c r="AO88" i="58"/>
  <c r="AP88" i="58" s="1"/>
  <c r="AN99" i="58"/>
  <c r="AI99" i="58"/>
  <c r="AO99" i="58"/>
  <c r="AP99" i="58" s="1"/>
  <c r="AN96" i="58"/>
  <c r="AI96" i="58"/>
  <c r="AN177" i="58"/>
  <c r="AL177" i="58"/>
  <c r="AM177" i="58" s="1"/>
  <c r="AO176" i="58"/>
  <c r="AP176" i="58" s="1"/>
  <c r="AO169" i="58"/>
  <c r="AP169" i="58" s="1"/>
  <c r="AN163" i="58"/>
  <c r="AI163" i="58"/>
  <c r="AN156" i="58"/>
  <c r="AO156" i="58"/>
  <c r="AP156" i="58" s="1"/>
  <c r="AI156" i="58"/>
  <c r="AN149" i="58"/>
  <c r="AI149" i="58"/>
  <c r="AO149" i="58"/>
  <c r="AP149" i="58" s="1"/>
  <c r="AN140" i="58"/>
  <c r="AO140" i="58"/>
  <c r="AP140" i="58" s="1"/>
  <c r="AN135" i="58"/>
  <c r="AL135" i="58"/>
  <c r="AM135" i="58" s="1"/>
  <c r="AN133" i="58"/>
  <c r="AO133" i="58"/>
  <c r="AP133" i="58" s="1"/>
  <c r="AN123" i="58"/>
  <c r="AI123" i="58"/>
  <c r="AO123" i="58"/>
  <c r="AP123" i="58" s="1"/>
  <c r="AN122" i="58"/>
  <c r="AI122" i="58"/>
  <c r="AO38" i="58"/>
  <c r="AP38" i="58" s="1"/>
  <c r="AO52" i="58"/>
  <c r="AP52" i="58" s="1"/>
  <c r="AL45" i="58"/>
  <c r="AM45" i="58" s="1"/>
  <c r="AO44" i="58"/>
  <c r="AP44" i="58" s="1"/>
  <c r="AO110" i="58"/>
  <c r="AP110" i="58" s="1"/>
  <c r="AN90" i="58"/>
  <c r="AI90" i="58"/>
  <c r="AN87" i="58"/>
  <c r="AI87" i="58"/>
  <c r="AN14" i="58"/>
  <c r="AO14" i="58"/>
  <c r="AP14" i="58" s="1"/>
  <c r="AL5" i="58"/>
  <c r="AM5" i="58" s="1"/>
  <c r="AL96" i="58"/>
  <c r="AM96" i="58" s="1"/>
  <c r="AL83" i="58"/>
  <c r="AM83" i="58" s="1"/>
  <c r="AN79" i="58"/>
  <c r="AI79" i="58"/>
  <c r="AL65" i="58"/>
  <c r="AM65" i="58" s="1"/>
  <c r="AN171" i="58"/>
  <c r="AL171" i="58"/>
  <c r="AM171" i="58" s="1"/>
  <c r="AL170" i="58"/>
  <c r="AM170" i="58" s="1"/>
  <c r="AL169" i="58"/>
  <c r="AM169" i="58" s="1"/>
  <c r="AN166" i="58"/>
  <c r="AL166" i="58"/>
  <c r="AM166" i="58" s="1"/>
  <c r="AL163" i="58"/>
  <c r="AM163" i="58" s="1"/>
  <c r="AL156" i="58"/>
  <c r="AM156" i="58" s="1"/>
  <c r="AL155" i="58"/>
  <c r="AM155" i="58" s="1"/>
  <c r="AN137" i="58"/>
  <c r="AI137" i="58"/>
  <c r="AL137" i="58"/>
  <c r="AM137" i="58" s="1"/>
  <c r="AN130" i="58"/>
  <c r="AI130" i="58"/>
  <c r="AO129" i="58"/>
  <c r="AP129" i="58" s="1"/>
  <c r="AN129" i="58"/>
  <c r="AL129" i="58"/>
  <c r="AM129" i="58" s="1"/>
  <c r="AL122" i="58"/>
  <c r="AM122" i="58" s="1"/>
  <c r="AN35" i="58"/>
  <c r="AO30" i="58"/>
  <c r="AP30" i="58" s="1"/>
  <c r="AL64" i="58"/>
  <c r="AM64" i="58" s="1"/>
  <c r="AO63" i="58"/>
  <c r="AP63" i="58" s="1"/>
  <c r="AI55" i="58"/>
  <c r="AI52" i="58"/>
  <c r="AO48" i="58"/>
  <c r="AP48" i="58" s="1"/>
  <c r="AI44" i="58"/>
  <c r="AL112" i="58"/>
  <c r="AM112" i="58" s="1"/>
  <c r="AO102" i="58"/>
  <c r="AP102" i="58" s="1"/>
  <c r="AI95" i="58"/>
  <c r="AI110" i="58"/>
  <c r="AO105" i="58"/>
  <c r="AP105" i="58" s="1"/>
  <c r="AO103" i="58"/>
  <c r="AP103" i="58" s="1"/>
  <c r="AI103" i="58"/>
  <c r="AI8" i="58"/>
  <c r="AI101" i="58"/>
  <c r="AN61" i="58"/>
  <c r="AI61" i="58"/>
  <c r="AO104" i="58"/>
  <c r="AP104" i="58" s="1"/>
  <c r="AI104" i="58"/>
  <c r="AN94" i="58"/>
  <c r="AL94" i="58"/>
  <c r="AM94" i="58" s="1"/>
  <c r="AL90" i="58"/>
  <c r="AM90" i="58" s="1"/>
  <c r="AL88" i="58"/>
  <c r="AM88" i="58" s="1"/>
  <c r="AL87" i="58"/>
  <c r="AM87" i="58" s="1"/>
  <c r="AL82" i="58"/>
  <c r="AM82" i="58" s="1"/>
  <c r="AL13" i="58"/>
  <c r="AM13" i="58" s="1"/>
  <c r="AN151" i="58"/>
  <c r="AI151" i="58"/>
  <c r="AL99" i="58"/>
  <c r="AM99" i="58" s="1"/>
  <c r="AN80" i="58"/>
  <c r="AO80" i="58"/>
  <c r="AP80" i="58" s="1"/>
  <c r="AI80" i="58"/>
  <c r="AN12" i="58"/>
  <c r="AI12" i="58"/>
  <c r="AO12" i="58"/>
  <c r="AP12" i="58" s="1"/>
  <c r="AN9" i="58"/>
  <c r="AO9" i="58"/>
  <c r="AP9" i="58" s="1"/>
  <c r="AN179" i="58"/>
  <c r="AI179" i="58"/>
  <c r="AL179" i="58"/>
  <c r="AM179" i="58" s="1"/>
  <c r="AN174" i="58"/>
  <c r="AL174" i="58"/>
  <c r="AM174" i="58" s="1"/>
  <c r="AN172" i="58"/>
  <c r="AO172" i="58"/>
  <c r="AP172" i="58" s="1"/>
  <c r="AI168" i="58"/>
  <c r="AN161" i="58"/>
  <c r="AI161" i="58"/>
  <c r="AO161" i="58"/>
  <c r="AP161" i="58" s="1"/>
  <c r="AN160" i="58"/>
  <c r="AI160" i="58"/>
  <c r="AI159" i="58"/>
  <c r="AL149" i="58"/>
  <c r="AM149" i="58" s="1"/>
  <c r="AO138" i="58"/>
  <c r="AP138" i="58" s="1"/>
  <c r="AN138" i="58"/>
  <c r="AL138" i="58"/>
  <c r="AM138" i="58" s="1"/>
  <c r="AO137" i="58"/>
  <c r="AP137" i="58" s="1"/>
  <c r="AI132" i="58"/>
  <c r="AO130" i="58"/>
  <c r="AP130" i="58" s="1"/>
  <c r="AL123" i="58"/>
  <c r="AM123" i="58" s="1"/>
  <c r="AO120" i="58"/>
  <c r="AP120" i="58" s="1"/>
  <c r="AO81" i="58"/>
  <c r="AP81" i="58" s="1"/>
  <c r="AO77" i="58"/>
  <c r="AP77" i="58" s="1"/>
  <c r="AK43" i="58"/>
  <c r="AO42" i="58"/>
  <c r="AP42" i="58" s="1"/>
  <c r="AN27" i="58"/>
  <c r="AO22" i="58"/>
  <c r="AP22" i="58" s="1"/>
  <c r="AO20" i="58"/>
  <c r="AP20" i="58" s="1"/>
  <c r="AN6" i="58"/>
  <c r="AO6" i="58"/>
  <c r="AP6" i="58" s="1"/>
  <c r="AN16" i="58"/>
  <c r="AI16" i="58"/>
  <c r="AN10" i="58"/>
  <c r="AL10" i="58"/>
  <c r="AM10" i="58" s="1"/>
  <c r="AN165" i="58"/>
  <c r="AO165" i="58"/>
  <c r="AP165" i="58" s="1"/>
  <c r="AN150" i="58"/>
  <c r="AI150" i="58"/>
  <c r="AN141" i="58"/>
  <c r="AL141" i="58"/>
  <c r="AM141" i="58" s="1"/>
  <c r="AN126" i="58"/>
  <c r="AO126" i="58"/>
  <c r="AP126" i="58" s="1"/>
  <c r="AO117" i="58"/>
  <c r="AP117" i="58" s="1"/>
  <c r="AO73" i="58"/>
  <c r="AP73" i="58" s="1"/>
  <c r="AO40" i="58"/>
  <c r="AP40" i="58" s="1"/>
  <c r="AO32" i="58"/>
  <c r="AP32" i="58" s="1"/>
  <c r="AO24" i="58"/>
  <c r="AP24" i="58" s="1"/>
  <c r="AI119" i="58"/>
  <c r="AL119" i="58"/>
  <c r="AM119" i="58" s="1"/>
  <c r="AI81" i="58"/>
  <c r="AL81" i="58"/>
  <c r="AM81" i="58" s="1"/>
  <c r="AI75" i="58"/>
  <c r="AL75" i="58"/>
  <c r="AM75" i="58" s="1"/>
  <c r="AI71" i="58"/>
  <c r="AL71" i="58"/>
  <c r="AM71" i="58" s="1"/>
  <c r="AI42" i="58"/>
  <c r="AL42" i="58"/>
  <c r="AM42" i="58" s="1"/>
  <c r="AI38" i="58"/>
  <c r="AL38" i="58"/>
  <c r="AM38" i="58" s="1"/>
  <c r="AI34" i="58"/>
  <c r="AL34" i="58"/>
  <c r="AM34" i="58" s="1"/>
  <c r="AI30" i="58"/>
  <c r="AL30" i="58"/>
  <c r="AM30" i="58" s="1"/>
  <c r="AI26" i="58"/>
  <c r="AL26" i="58"/>
  <c r="AM26" i="58" s="1"/>
  <c r="AI22" i="58"/>
  <c r="AL22" i="58"/>
  <c r="AM22" i="58" s="1"/>
  <c r="AI18" i="58"/>
  <c r="AL18" i="58"/>
  <c r="AM18" i="58" s="1"/>
  <c r="AI17" i="58"/>
  <c r="AO17" i="58"/>
  <c r="AP17" i="58" s="1"/>
  <c r="AN119" i="58"/>
  <c r="AI118" i="58"/>
  <c r="AO118" i="58"/>
  <c r="AP118" i="58" s="1"/>
  <c r="AN81" i="58"/>
  <c r="AI78" i="58"/>
  <c r="AO78" i="58"/>
  <c r="AP78" i="58" s="1"/>
  <c r="AN75" i="58"/>
  <c r="AI74" i="58"/>
  <c r="AO74" i="58"/>
  <c r="AP74" i="58" s="1"/>
  <c r="AN71" i="58"/>
  <c r="AI46" i="58"/>
  <c r="AO46" i="58"/>
  <c r="AP46" i="58" s="1"/>
  <c r="AN42" i="58"/>
  <c r="AI41" i="58"/>
  <c r="AO41" i="58"/>
  <c r="AP41" i="58" s="1"/>
  <c r="AN38" i="58"/>
  <c r="AI37" i="58"/>
  <c r="AO37" i="58"/>
  <c r="AP37" i="58" s="1"/>
  <c r="AN34" i="58"/>
  <c r="AI33" i="58"/>
  <c r="AO33" i="58"/>
  <c r="AP33" i="58" s="1"/>
  <c r="AN30" i="58"/>
  <c r="AI29" i="58"/>
  <c r="AO29" i="58"/>
  <c r="AP29" i="58" s="1"/>
  <c r="AN26" i="58"/>
  <c r="AI25" i="58"/>
  <c r="AO25" i="58"/>
  <c r="AP25" i="58" s="1"/>
  <c r="AN22" i="58"/>
  <c r="AI21" i="58"/>
  <c r="AO21" i="58"/>
  <c r="AP21" i="58" s="1"/>
  <c r="AN18" i="58"/>
  <c r="AL17" i="58"/>
  <c r="AM17" i="58" s="1"/>
  <c r="AO64" i="58"/>
  <c r="AP64" i="58" s="1"/>
  <c r="AO54" i="58"/>
  <c r="AP54" i="58" s="1"/>
  <c r="AO50" i="58"/>
  <c r="AP50" i="58" s="1"/>
  <c r="AO45" i="58"/>
  <c r="AP45" i="58" s="1"/>
  <c r="AO112" i="58"/>
  <c r="AP112" i="58" s="1"/>
  <c r="AO85" i="58"/>
  <c r="AP85" i="58" s="1"/>
  <c r="AO109" i="58"/>
  <c r="AP109" i="58" s="1"/>
  <c r="AO107" i="58"/>
  <c r="AP107" i="58" s="1"/>
  <c r="AO57" i="58"/>
  <c r="AP57" i="58" s="1"/>
  <c r="AO62" i="58"/>
  <c r="AP62" i="58" s="1"/>
  <c r="AO94" i="58"/>
  <c r="AP94" i="58" s="1"/>
  <c r="AO89" i="58"/>
  <c r="AP89" i="58" s="1"/>
  <c r="AO82" i="58"/>
  <c r="AP82" i="58" s="1"/>
  <c r="AO5" i="58"/>
  <c r="AP5" i="58" s="1"/>
  <c r="AO100" i="58"/>
  <c r="AP100" i="58" s="1"/>
  <c r="AO83" i="58"/>
  <c r="AP83" i="58" s="1"/>
  <c r="AO65" i="58"/>
  <c r="AP65" i="58" s="1"/>
  <c r="AO10" i="58"/>
  <c r="AP10" i="58" s="1"/>
  <c r="AO178" i="58"/>
  <c r="AP178" i="58" s="1"/>
  <c r="AO174" i="58"/>
  <c r="AP174" i="58" s="1"/>
  <c r="AO170" i="58"/>
  <c r="AP170" i="58" s="1"/>
  <c r="AO166" i="58"/>
  <c r="AP166" i="58" s="1"/>
  <c r="AO162" i="58"/>
  <c r="AP162" i="58" s="1"/>
  <c r="AO158" i="58"/>
  <c r="AP158" i="58" s="1"/>
  <c r="AO154" i="58"/>
  <c r="AP154" i="58" s="1"/>
  <c r="AO141" i="58"/>
  <c r="AP141" i="58" s="1"/>
  <c r="AO139" i="58"/>
  <c r="AP139" i="58" s="1"/>
  <c r="AO135" i="58"/>
  <c r="AP135" i="58" s="1"/>
  <c r="AO131" i="58"/>
  <c r="AP131" i="58" s="1"/>
  <c r="AO127" i="58"/>
  <c r="AP127" i="58" s="1"/>
  <c r="AO124" i="58"/>
  <c r="AP124" i="58" s="1"/>
  <c r="AL118" i="58"/>
  <c r="AM118" i="58" s="1"/>
  <c r="AI117" i="58"/>
  <c r="AL117" i="58"/>
  <c r="AM117" i="58" s="1"/>
  <c r="AL78" i="58"/>
  <c r="AM78" i="58" s="1"/>
  <c r="AI77" i="58"/>
  <c r="AL77" i="58"/>
  <c r="AM77" i="58" s="1"/>
  <c r="AL74" i="58"/>
  <c r="AM74" i="58" s="1"/>
  <c r="AI73" i="58"/>
  <c r="AL73" i="58"/>
  <c r="AM73" i="58" s="1"/>
  <c r="AL46" i="58"/>
  <c r="AM46" i="58" s="1"/>
  <c r="AI43" i="58"/>
  <c r="AL43" i="58"/>
  <c r="AM43" i="58" s="1"/>
  <c r="AL41" i="58"/>
  <c r="AM41" i="58" s="1"/>
  <c r="AI40" i="58"/>
  <c r="AL40" i="58"/>
  <c r="AM40" i="58" s="1"/>
  <c r="AL37" i="58"/>
  <c r="AM37" i="58" s="1"/>
  <c r="AI36" i="58"/>
  <c r="AL36" i="58"/>
  <c r="AM36" i="58" s="1"/>
  <c r="AL33" i="58"/>
  <c r="AM33" i="58" s="1"/>
  <c r="AI32" i="58"/>
  <c r="AL32" i="58"/>
  <c r="AM32" i="58" s="1"/>
  <c r="AL29" i="58"/>
  <c r="AM29" i="58" s="1"/>
  <c r="AI28" i="58"/>
  <c r="AL28" i="58"/>
  <c r="AM28" i="58" s="1"/>
  <c r="AL25" i="58"/>
  <c r="AM25" i="58" s="1"/>
  <c r="AI24" i="58"/>
  <c r="AL24" i="58"/>
  <c r="AM24" i="58" s="1"/>
  <c r="AL21" i="58"/>
  <c r="AM21" i="58" s="1"/>
  <c r="AI20" i="58"/>
  <c r="AL20" i="58"/>
  <c r="AM20" i="58" s="1"/>
  <c r="AO67" i="58"/>
  <c r="AP67" i="58" s="1"/>
  <c r="AI64" i="58"/>
  <c r="AO55" i="58"/>
  <c r="AP55" i="58" s="1"/>
  <c r="AI54" i="58"/>
  <c r="AO51" i="58"/>
  <c r="AP51" i="58" s="1"/>
  <c r="AI50" i="58"/>
  <c r="AO47" i="58"/>
  <c r="AP47" i="58" s="1"/>
  <c r="AI45" i="58"/>
  <c r="AO153" i="58"/>
  <c r="AP153" i="58" s="1"/>
  <c r="AI112" i="58"/>
  <c r="AO95" i="58"/>
  <c r="AP95" i="58" s="1"/>
  <c r="AI85" i="58"/>
  <c r="AO108" i="58"/>
  <c r="AP108" i="58" s="1"/>
  <c r="AI109" i="58"/>
  <c r="AO106" i="58"/>
  <c r="AP106" i="58" s="1"/>
  <c r="AI107" i="58"/>
  <c r="AO58" i="58"/>
  <c r="AP58" i="58" s="1"/>
  <c r="AI57" i="58"/>
  <c r="AO101" i="58"/>
  <c r="AP101" i="58" s="1"/>
  <c r="AI62" i="58"/>
  <c r="AO97" i="58"/>
  <c r="AP97" i="58" s="1"/>
  <c r="AI94" i="58"/>
  <c r="AO90" i="58"/>
  <c r="AP90" i="58" s="1"/>
  <c r="AI89" i="58"/>
  <c r="AO86" i="58"/>
  <c r="AP86" i="58" s="1"/>
  <c r="AI82" i="58"/>
  <c r="AO13" i="58"/>
  <c r="AP13" i="58" s="1"/>
  <c r="AI5" i="58"/>
  <c r="AO151" i="58"/>
  <c r="AP151" i="58" s="1"/>
  <c r="AI100" i="58"/>
  <c r="AO84" i="58"/>
  <c r="AP84" i="58" s="1"/>
  <c r="AI83" i="58"/>
  <c r="AO79" i="58"/>
  <c r="AP79" i="58" s="1"/>
  <c r="AI65" i="58"/>
  <c r="AO11" i="58"/>
  <c r="AP11" i="58" s="1"/>
  <c r="AI10" i="58"/>
  <c r="AO179" i="58"/>
  <c r="AP179" i="58" s="1"/>
  <c r="AI178" i="58"/>
  <c r="AO175" i="58"/>
  <c r="AP175" i="58" s="1"/>
  <c r="AI174" i="58"/>
  <c r="AO171" i="58"/>
  <c r="AP171" i="58" s="1"/>
  <c r="AI170" i="58"/>
  <c r="AO167" i="58"/>
  <c r="AP167" i="58" s="1"/>
  <c r="AI166" i="58"/>
  <c r="AO163" i="58"/>
  <c r="AP163" i="58" s="1"/>
  <c r="AI162" i="58"/>
  <c r="AO159" i="58"/>
  <c r="AP159" i="58" s="1"/>
  <c r="AI158" i="58"/>
  <c r="AO155" i="58"/>
  <c r="AP155" i="58" s="1"/>
  <c r="AI154" i="58"/>
  <c r="AO148" i="58"/>
  <c r="AP148" i="58" s="1"/>
  <c r="AI141" i="58"/>
  <c r="AI139" i="58"/>
  <c r="AO136" i="58"/>
  <c r="AP136" i="58" s="1"/>
  <c r="AI135" i="58"/>
  <c r="AO132" i="58"/>
  <c r="AP132" i="58" s="1"/>
  <c r="AI131" i="58"/>
  <c r="AO128" i="58"/>
  <c r="AP128" i="58" s="1"/>
  <c r="AI127" i="58"/>
  <c r="AI124" i="58"/>
  <c r="AO121" i="58"/>
  <c r="AP121" i="58" s="1"/>
  <c r="AI120" i="58"/>
  <c r="AN120" i="58"/>
  <c r="AN117" i="58"/>
  <c r="AI116" i="58"/>
  <c r="AO116" i="58"/>
  <c r="AP116" i="58" s="1"/>
  <c r="AN77" i="58"/>
  <c r="AI76" i="58"/>
  <c r="AO76" i="58"/>
  <c r="AP76" i="58" s="1"/>
  <c r="AN73" i="58"/>
  <c r="AI72" i="58"/>
  <c r="AO72" i="58"/>
  <c r="AP72" i="58" s="1"/>
  <c r="AN43" i="58"/>
  <c r="AN40" i="58"/>
  <c r="AI39" i="58"/>
  <c r="AO39" i="58"/>
  <c r="AP39" i="58" s="1"/>
  <c r="AN36" i="58"/>
  <c r="AI35" i="58"/>
  <c r="AO35" i="58"/>
  <c r="AP35" i="58" s="1"/>
  <c r="AN32" i="58"/>
  <c r="AI31" i="58"/>
  <c r="AO31" i="58"/>
  <c r="AP31" i="58" s="1"/>
  <c r="AN28" i="58"/>
  <c r="AI27" i="58"/>
  <c r="AO27" i="58"/>
  <c r="AP27" i="58" s="1"/>
  <c r="AN24" i="58"/>
  <c r="AI23" i="58"/>
  <c r="AO23" i="58"/>
  <c r="AP23" i="58" s="1"/>
  <c r="AN20" i="58"/>
  <c r="AI19" i="58"/>
  <c r="AO19" i="58"/>
  <c r="AP19" i="58" s="1"/>
  <c r="W85" i="58"/>
  <c r="BC85" i="58"/>
  <c r="BD85" i="58" s="1"/>
  <c r="D20" i="65" l="1"/>
  <c r="D21" i="65"/>
  <c r="D19" i="65"/>
  <c r="D21" i="57"/>
  <c r="E21" i="57" s="1"/>
  <c r="CM68" i="58"/>
  <c r="CK68" i="58"/>
  <c r="CH68" i="58"/>
  <c r="CB68" i="58"/>
  <c r="CE68" i="58" s="1"/>
  <c r="CF68" i="58" s="1"/>
  <c r="CG68" i="58" s="1"/>
  <c r="BV68" i="58"/>
  <c r="BU68" i="58"/>
  <c r="BS68" i="58"/>
  <c r="BQ68" i="58"/>
  <c r="BO68" i="58"/>
  <c r="BP68" i="58" s="1"/>
  <c r="BL68" i="58"/>
  <c r="BK68" i="58"/>
  <c r="BG68" i="58"/>
  <c r="BH68" i="58" s="1"/>
  <c r="BC68" i="58"/>
  <c r="BD68" i="58" s="1"/>
  <c r="W68" i="58"/>
  <c r="P68" i="58"/>
  <c r="CM67" i="58"/>
  <c r="CK67" i="58"/>
  <c r="CH67" i="58"/>
  <c r="CB67" i="58"/>
  <c r="CE67" i="58" s="1"/>
  <c r="CF67" i="58" s="1"/>
  <c r="CG67" i="58" s="1"/>
  <c r="BV67" i="58"/>
  <c r="BU67" i="58"/>
  <c r="BS67" i="58"/>
  <c r="BQ67" i="58"/>
  <c r="BO67" i="58"/>
  <c r="BP67" i="58" s="1"/>
  <c r="BL67" i="58"/>
  <c r="BK67" i="58"/>
  <c r="BG67" i="58"/>
  <c r="BH67" i="58" s="1"/>
  <c r="BC67" i="58"/>
  <c r="W67" i="58"/>
  <c r="P67" i="58"/>
  <c r="D18" i="65" l="1"/>
  <c r="E18" i="65" s="1"/>
  <c r="BE67" i="58"/>
  <c r="BF67" i="58" s="1"/>
  <c r="BD67" i="58"/>
  <c r="BE68" i="58"/>
  <c r="BF68" i="58" s="1"/>
  <c r="AB5" i="63"/>
  <c r="AC7" i="63" l="1"/>
  <c r="AB7" i="63" s="1"/>
  <c r="AA7" i="63" s="1"/>
  <c r="AC53" i="63" l="1"/>
  <c r="AB53" i="63" s="1"/>
  <c r="AA53" i="63" s="1"/>
  <c r="AC51" i="63"/>
  <c r="AB51" i="63" s="1"/>
  <c r="AA51" i="63" s="1"/>
  <c r="F9" i="57" l="1"/>
  <c r="AC68" i="63"/>
  <c r="AB68" i="63" s="1"/>
  <c r="AA68" i="63" s="1"/>
  <c r="AC67" i="63"/>
  <c r="AB67" i="63" s="1"/>
  <c r="AA67" i="63" s="1"/>
  <c r="AC66" i="63"/>
  <c r="AB66" i="63" s="1"/>
  <c r="AA66" i="63" s="1"/>
  <c r="AC64" i="63"/>
  <c r="AB64" i="63" s="1"/>
  <c r="AA64" i="63" s="1"/>
  <c r="AC63" i="63"/>
  <c r="AB63" i="63"/>
  <c r="AC62" i="63"/>
  <c r="AB62" i="63" s="1"/>
  <c r="AA62" i="63" s="1"/>
  <c r="AC61" i="63"/>
  <c r="AB61" i="63"/>
  <c r="AC59" i="63"/>
  <c r="AB59" i="63" s="1"/>
  <c r="AA59" i="63" s="1"/>
  <c r="AC56" i="63"/>
  <c r="AB56" i="63" s="1"/>
  <c r="AA56" i="63" s="1"/>
  <c r="AC55" i="63"/>
  <c r="AB55" i="63" s="1"/>
  <c r="AA55" i="63" s="1"/>
  <c r="AC54" i="63"/>
  <c r="AB54" i="63" s="1"/>
  <c r="AA54" i="63" s="1"/>
  <c r="AC52" i="63"/>
  <c r="AB52" i="63" s="1"/>
  <c r="AA52" i="63" s="1"/>
  <c r="AC50" i="63"/>
  <c r="AB50" i="63"/>
  <c r="AC49" i="63"/>
  <c r="AB49" i="63"/>
  <c r="AC48" i="63"/>
  <c r="AB48" i="63" s="1"/>
  <c r="AA48" i="63" s="1"/>
  <c r="AC47" i="63"/>
  <c r="AB47" i="63"/>
  <c r="AC46" i="63"/>
  <c r="AB46" i="63"/>
  <c r="AC45" i="63"/>
  <c r="AB45" i="63" s="1"/>
  <c r="AA45" i="63" s="1"/>
  <c r="AC42" i="63"/>
  <c r="AB42" i="63" s="1"/>
  <c r="AA42" i="63" s="1"/>
  <c r="AC41" i="63"/>
  <c r="AB41" i="63" s="1"/>
  <c r="AC39" i="63"/>
  <c r="AB39" i="63" s="1"/>
  <c r="AA39" i="63" s="1"/>
  <c r="AC38" i="63"/>
  <c r="AB38" i="63" s="1"/>
  <c r="AA38" i="63" s="1"/>
  <c r="AC37" i="63"/>
  <c r="AB37" i="63" s="1"/>
  <c r="AA37" i="63" s="1"/>
  <c r="AC35" i="63"/>
  <c r="AB35" i="63" s="1"/>
  <c r="AA35" i="63" s="1"/>
  <c r="AC33" i="63"/>
  <c r="AB33" i="63" s="1"/>
  <c r="AA33" i="63" s="1"/>
  <c r="AC32" i="63"/>
  <c r="AB32" i="63" s="1"/>
  <c r="AA32" i="63" s="1"/>
  <c r="AC31" i="63"/>
  <c r="AB31" i="63" s="1"/>
  <c r="AA31" i="63" s="1"/>
  <c r="AC28" i="63"/>
  <c r="AB28" i="63" s="1"/>
  <c r="AA28" i="63" s="1"/>
  <c r="AC27" i="63"/>
  <c r="AB27" i="63" s="1"/>
  <c r="AA27" i="63" s="1"/>
  <c r="AC26" i="63"/>
  <c r="AB26" i="63" s="1"/>
  <c r="AA26" i="63" s="1"/>
  <c r="AC25" i="63"/>
  <c r="AB25" i="63"/>
  <c r="AC24" i="63"/>
  <c r="AB24" i="63"/>
  <c r="AC23" i="63"/>
  <c r="AB23" i="63"/>
  <c r="AC22" i="63"/>
  <c r="AB22" i="63"/>
  <c r="AC21" i="63"/>
  <c r="AB21" i="63"/>
  <c r="AC20" i="63"/>
  <c r="AB20" i="63" s="1"/>
  <c r="AA20" i="63" s="1"/>
  <c r="AC19" i="63"/>
  <c r="AB19" i="63" s="1"/>
  <c r="AA19" i="63" s="1"/>
  <c r="AC18" i="63"/>
  <c r="AB18" i="63"/>
  <c r="AC17" i="63"/>
  <c r="AB17" i="63"/>
  <c r="AC16" i="63"/>
  <c r="AB16" i="63"/>
  <c r="AC15" i="63"/>
  <c r="AB15" i="63"/>
  <c r="AC14" i="63"/>
  <c r="AB14" i="63" s="1"/>
  <c r="AA14" i="63" s="1"/>
  <c r="AC13" i="63"/>
  <c r="AB13" i="63"/>
  <c r="AC12" i="63"/>
  <c r="AB12" i="63"/>
  <c r="AC11" i="63"/>
  <c r="AB11" i="63"/>
  <c r="AC10" i="63"/>
  <c r="AB10" i="63"/>
  <c r="AC9" i="63"/>
  <c r="AB9" i="63"/>
  <c r="AC6" i="63"/>
  <c r="AB6" i="63" s="1"/>
  <c r="AA6" i="63" s="1"/>
  <c r="AC5" i="63"/>
  <c r="AA63" i="63" l="1"/>
  <c r="AA5" i="63"/>
  <c r="AA10" i="63"/>
  <c r="AA50" i="63"/>
  <c r="AA9" i="63"/>
  <c r="AA18" i="63"/>
  <c r="AA46" i="63"/>
  <c r="AA49" i="63"/>
  <c r="AA61" i="63"/>
  <c r="AA41" i="63"/>
  <c r="AA47" i="63"/>
  <c r="CM70" i="58"/>
  <c r="CK70" i="58"/>
  <c r="CB70" i="58"/>
  <c r="CE70" i="58" s="1"/>
  <c r="CF70" i="58" s="1"/>
  <c r="CG70" i="58" s="1"/>
  <c r="BV70" i="58"/>
  <c r="BU70" i="58"/>
  <c r="BS70" i="58"/>
  <c r="BQ70" i="58"/>
  <c r="BO70" i="58"/>
  <c r="BP70" i="58" s="1"/>
  <c r="BL70" i="58"/>
  <c r="BK70" i="58"/>
  <c r="BG70" i="58"/>
  <c r="BH70" i="58" s="1"/>
  <c r="BC70" i="58"/>
  <c r="AS70" i="58"/>
  <c r="AR70" i="58"/>
  <c r="AQ70" i="58"/>
  <c r="AJ70" i="58"/>
  <c r="AK70" i="58" s="1"/>
  <c r="AH70" i="58"/>
  <c r="W70" i="58"/>
  <c r="BE70" i="58" l="1"/>
  <c r="BF70" i="58" s="1"/>
  <c r="BD70" i="58"/>
  <c r="AO70" i="58"/>
  <c r="AP70" i="58" s="1"/>
  <c r="AL70" i="58"/>
  <c r="AM70" i="58" s="1"/>
  <c r="AN70" i="58"/>
  <c r="AI70" i="58"/>
  <c r="N55" i="63"/>
  <c r="K55" i="63"/>
  <c r="F10" i="57" l="1"/>
  <c r="C12" i="57"/>
  <c r="CM69" i="58" l="1"/>
  <c r="CB69" i="58"/>
  <c r="CE69" i="58" s="1"/>
  <c r="CF69" i="58" s="1"/>
  <c r="CG69" i="58" s="1"/>
  <c r="BV147" i="58"/>
  <c r="BU147" i="58"/>
  <c r="BV69" i="58"/>
  <c r="BU69" i="58"/>
  <c r="BV64" i="58"/>
  <c r="BU64" i="58"/>
  <c r="BV63" i="58"/>
  <c r="BU63" i="58"/>
  <c r="BV59" i="58"/>
  <c r="BU59" i="58"/>
  <c r="BV55" i="58"/>
  <c r="BU55" i="58"/>
  <c r="BV54" i="58"/>
  <c r="BU54" i="58"/>
  <c r="BV53" i="58"/>
  <c r="BU53" i="58"/>
  <c r="BV52" i="58"/>
  <c r="BU52" i="58"/>
  <c r="BV51" i="58"/>
  <c r="BU51" i="58"/>
  <c r="BV50" i="58"/>
  <c r="BU50" i="58"/>
  <c r="BV49" i="58"/>
  <c r="BU49" i="58"/>
  <c r="BV48" i="58"/>
  <c r="BU48" i="58"/>
  <c r="BV47" i="58"/>
  <c r="BU47" i="58"/>
  <c r="BS147" i="58"/>
  <c r="BS69" i="58"/>
  <c r="BS64" i="58"/>
  <c r="BS63" i="58"/>
  <c r="BS59" i="58"/>
  <c r="BS55" i="58"/>
  <c r="BS54" i="58"/>
  <c r="BS53" i="58"/>
  <c r="BS52" i="58"/>
  <c r="BS51" i="58"/>
  <c r="BS50" i="58"/>
  <c r="BS49" i="58"/>
  <c r="BS48" i="58"/>
  <c r="BS47" i="58"/>
  <c r="BS45" i="58"/>
  <c r="BQ147" i="58"/>
  <c r="BO147" i="58"/>
  <c r="BP147" i="58" s="1"/>
  <c r="BQ69" i="58"/>
  <c r="BO69" i="58"/>
  <c r="BP69" i="58" s="1"/>
  <c r="BQ64" i="58"/>
  <c r="BO64" i="58"/>
  <c r="BP64" i="58" s="1"/>
  <c r="BQ63" i="58"/>
  <c r="BO63" i="58"/>
  <c r="BP63" i="58" s="1"/>
  <c r="BQ59" i="58"/>
  <c r="BO59" i="58"/>
  <c r="BP59" i="58" s="1"/>
  <c r="BQ55" i="58"/>
  <c r="BO55" i="58"/>
  <c r="BP55" i="58" s="1"/>
  <c r="BQ54" i="58"/>
  <c r="BO54" i="58"/>
  <c r="BP54" i="58" s="1"/>
  <c r="BQ53" i="58"/>
  <c r="BO53" i="58"/>
  <c r="BP53" i="58" s="1"/>
  <c r="BQ52" i="58"/>
  <c r="BO52" i="58"/>
  <c r="BP52" i="58" s="1"/>
  <c r="BQ51" i="58"/>
  <c r="BO51" i="58"/>
  <c r="BP51" i="58" s="1"/>
  <c r="BQ50" i="58"/>
  <c r="BO50" i="58"/>
  <c r="BP50" i="58" s="1"/>
  <c r="BQ49" i="58"/>
  <c r="BO49" i="58"/>
  <c r="BP49" i="58" s="1"/>
  <c r="BQ48" i="58"/>
  <c r="BO48" i="58"/>
  <c r="BP48" i="58" s="1"/>
  <c r="BQ47" i="58"/>
  <c r="BO47" i="58"/>
  <c r="BP47" i="58" s="1"/>
  <c r="BG147" i="58"/>
  <c r="BH147" i="58" s="1"/>
  <c r="BC147" i="58"/>
  <c r="BD147" i="58" s="1"/>
  <c r="BH146" i="58"/>
  <c r="BG69" i="58"/>
  <c r="BH69" i="58" s="1"/>
  <c r="BC69" i="58"/>
  <c r="BD69" i="58" s="1"/>
  <c r="BG64" i="58"/>
  <c r="BH64" i="58" s="1"/>
  <c r="BC64" i="58"/>
  <c r="BD64" i="58" s="1"/>
  <c r="BG63" i="58"/>
  <c r="BH63" i="58" s="1"/>
  <c r="BC63" i="58"/>
  <c r="BD63" i="58" s="1"/>
  <c r="BG59" i="58"/>
  <c r="BH59" i="58" s="1"/>
  <c r="BC59" i="58"/>
  <c r="BD59" i="58" s="1"/>
  <c r="BG55" i="58"/>
  <c r="BH55" i="58" s="1"/>
  <c r="BC55" i="58"/>
  <c r="BD55" i="58" s="1"/>
  <c r="BG54" i="58"/>
  <c r="BH54" i="58" s="1"/>
  <c r="BC54" i="58"/>
  <c r="BD54" i="58" s="1"/>
  <c r="BG53" i="58"/>
  <c r="BH53" i="58" s="1"/>
  <c r="BC53" i="58"/>
  <c r="BD53" i="58" s="1"/>
  <c r="BG52" i="58"/>
  <c r="BH52" i="58" s="1"/>
  <c r="BC52" i="58"/>
  <c r="BD52" i="58" s="1"/>
  <c r="BG51" i="58"/>
  <c r="BH51" i="58" s="1"/>
  <c r="BC51" i="58"/>
  <c r="BD51" i="58" s="1"/>
  <c r="BG50" i="58"/>
  <c r="BH50" i="58" s="1"/>
  <c r="BC50" i="58"/>
  <c r="BD50" i="58" s="1"/>
  <c r="BG49" i="58"/>
  <c r="BH49" i="58" s="1"/>
  <c r="BC49" i="58"/>
  <c r="BD49" i="58" s="1"/>
  <c r="BG48" i="58"/>
  <c r="BH48" i="58" s="1"/>
  <c r="BC48" i="58"/>
  <c r="BD48" i="58" s="1"/>
  <c r="BG47" i="58"/>
  <c r="BH47" i="58" s="1"/>
  <c r="BC47" i="58"/>
  <c r="BD47" i="58" s="1"/>
  <c r="BC45" i="58"/>
  <c r="BQ45" i="58"/>
  <c r="BQ44" i="58"/>
  <c r="BQ93" i="58"/>
  <c r="BQ153" i="58"/>
  <c r="BQ112" i="58"/>
  <c r="BQ102" i="58"/>
  <c r="BQ98" i="58"/>
  <c r="BQ95" i="58"/>
  <c r="BQ85" i="58"/>
  <c r="BQ66" i="58"/>
  <c r="BQ110" i="58"/>
  <c r="BQ108" i="58"/>
  <c r="BQ109" i="58"/>
  <c r="BQ111" i="58"/>
  <c r="BQ105" i="58"/>
  <c r="BQ106" i="58"/>
  <c r="BQ107" i="58"/>
  <c r="BQ103" i="58"/>
  <c r="BQ60" i="58"/>
  <c r="BQ58" i="58"/>
  <c r="BQ57" i="58"/>
  <c r="BQ56" i="58"/>
  <c r="BQ8" i="58"/>
  <c r="BQ101" i="58"/>
  <c r="BQ62" i="58"/>
  <c r="BQ61" i="58"/>
  <c r="BQ104" i="58"/>
  <c r="BQ97" i="58"/>
  <c r="BQ94" i="58"/>
  <c r="BQ92" i="58"/>
  <c r="BQ91" i="58"/>
  <c r="BQ90" i="58"/>
  <c r="BQ89" i="58"/>
  <c r="BQ88" i="58"/>
  <c r="BQ87" i="58"/>
  <c r="BQ86" i="58"/>
  <c r="BQ82" i="58"/>
  <c r="BQ15" i="58"/>
  <c r="BQ14" i="58"/>
  <c r="BQ13" i="58"/>
  <c r="BQ5" i="58"/>
  <c r="BQ6" i="58"/>
  <c r="BQ152" i="58"/>
  <c r="BQ151" i="58"/>
  <c r="BQ100" i="58"/>
  <c r="BQ99" i="58"/>
  <c r="BQ96" i="58"/>
  <c r="BQ84" i="58"/>
  <c r="BQ83" i="58"/>
  <c r="BQ80" i="58"/>
  <c r="BQ79" i="58"/>
  <c r="BQ65" i="58"/>
  <c r="BQ16" i="58"/>
  <c r="BQ12" i="58"/>
  <c r="BQ11" i="58"/>
  <c r="BQ10" i="58"/>
  <c r="BQ9" i="58"/>
  <c r="BQ7" i="58"/>
  <c r="BQ179" i="58"/>
  <c r="BQ178" i="58"/>
  <c r="BQ177" i="58"/>
  <c r="BQ176" i="58"/>
  <c r="BQ175" i="58"/>
  <c r="BQ174" i="58"/>
  <c r="BQ173" i="58"/>
  <c r="BQ172" i="58"/>
  <c r="BQ171" i="58"/>
  <c r="BQ170" i="58"/>
  <c r="BQ169" i="58"/>
  <c r="BQ168" i="58"/>
  <c r="BQ167" i="58"/>
  <c r="BQ166" i="58"/>
  <c r="BQ165" i="58"/>
  <c r="BQ164" i="58"/>
  <c r="BQ163" i="58"/>
  <c r="BQ162" i="58"/>
  <c r="BQ161" i="58"/>
  <c r="BQ160" i="58"/>
  <c r="BQ159" i="58"/>
  <c r="BQ158" i="58"/>
  <c r="BQ157" i="58"/>
  <c r="BQ156" i="58"/>
  <c r="BQ155" i="58"/>
  <c r="BQ154" i="58"/>
  <c r="BQ150" i="58"/>
  <c r="BQ149" i="58"/>
  <c r="BQ148" i="58"/>
  <c r="BQ141" i="58"/>
  <c r="BQ140" i="58"/>
  <c r="BQ139" i="58"/>
  <c r="BQ138" i="58"/>
  <c r="BQ137" i="58"/>
  <c r="BQ136" i="58"/>
  <c r="BQ135" i="58"/>
  <c r="BQ134" i="58"/>
  <c r="BQ133" i="58"/>
  <c r="BQ132" i="58"/>
  <c r="BQ131" i="58"/>
  <c r="BQ130" i="58"/>
  <c r="BQ129" i="58"/>
  <c r="BQ128" i="58"/>
  <c r="BQ127" i="58"/>
  <c r="BQ126" i="58"/>
  <c r="BQ125" i="58"/>
  <c r="BQ124" i="58"/>
  <c r="BQ123" i="58"/>
  <c r="BQ122" i="58"/>
  <c r="BQ121" i="58"/>
  <c r="BQ120" i="58"/>
  <c r="BQ119" i="58"/>
  <c r="BQ118" i="58"/>
  <c r="BQ117" i="58"/>
  <c r="BQ116" i="58"/>
  <c r="BQ81" i="58"/>
  <c r="BQ78" i="58"/>
  <c r="BQ77" i="58"/>
  <c r="BQ76" i="58"/>
  <c r="BQ75" i="58"/>
  <c r="BQ74" i="58"/>
  <c r="BQ73" i="58"/>
  <c r="BQ72" i="58"/>
  <c r="BQ71" i="58"/>
  <c r="BQ46" i="58"/>
  <c r="BQ43" i="58"/>
  <c r="BQ42" i="58"/>
  <c r="BQ41" i="58"/>
  <c r="BQ40" i="58"/>
  <c r="BQ39" i="58"/>
  <c r="BQ38" i="58"/>
  <c r="BQ37" i="58"/>
  <c r="BQ36" i="58"/>
  <c r="BQ35" i="58"/>
  <c r="BQ34" i="58"/>
  <c r="BQ33" i="58"/>
  <c r="BQ32" i="58"/>
  <c r="BQ31" i="58"/>
  <c r="BQ30" i="58"/>
  <c r="BQ29" i="58"/>
  <c r="BQ28" i="58"/>
  <c r="BQ27" i="58"/>
  <c r="BQ26" i="58"/>
  <c r="BQ25" i="58"/>
  <c r="BQ24" i="58"/>
  <c r="BQ23" i="58"/>
  <c r="BQ22" i="58"/>
  <c r="BQ21" i="58"/>
  <c r="BQ20" i="58"/>
  <c r="BQ19" i="58"/>
  <c r="BQ18" i="58"/>
  <c r="BQ17" i="58"/>
  <c r="AS69" i="58"/>
  <c r="AR69" i="58"/>
  <c r="AQ69" i="58"/>
  <c r="AJ69" i="58"/>
  <c r="AK69" i="58" s="1"/>
  <c r="AH69" i="58"/>
  <c r="W69" i="58"/>
  <c r="W17" i="58"/>
  <c r="W18" i="58"/>
  <c r="W19" i="58"/>
  <c r="W20" i="58"/>
  <c r="W21" i="58"/>
  <c r="W22" i="58"/>
  <c r="W23" i="58"/>
  <c r="W24" i="58"/>
  <c r="W25" i="58"/>
  <c r="W26" i="58"/>
  <c r="W27" i="58"/>
  <c r="W28" i="58"/>
  <c r="W29" i="58"/>
  <c r="W30" i="58"/>
  <c r="W31" i="58"/>
  <c r="W32" i="58"/>
  <c r="W33" i="58"/>
  <c r="W34" i="58"/>
  <c r="W35" i="58"/>
  <c r="W36" i="58"/>
  <c r="W37" i="58"/>
  <c r="W38" i="58"/>
  <c r="W39" i="58"/>
  <c r="W40" i="58"/>
  <c r="W41" i="58"/>
  <c r="W42" i="58"/>
  <c r="W43" i="58"/>
  <c r="W46" i="58"/>
  <c r="W71" i="58"/>
  <c r="W72" i="58"/>
  <c r="W73" i="58"/>
  <c r="W74" i="58"/>
  <c r="W75" i="58"/>
  <c r="W76" i="58"/>
  <c r="W77" i="58"/>
  <c r="W78" i="58"/>
  <c r="W81" i="58"/>
  <c r="W116" i="58"/>
  <c r="W117" i="58"/>
  <c r="W118" i="58"/>
  <c r="W119" i="58"/>
  <c r="W120" i="58"/>
  <c r="W121" i="58"/>
  <c r="W122" i="58"/>
  <c r="W123" i="58"/>
  <c r="W124" i="58"/>
  <c r="W125" i="58"/>
  <c r="W126" i="58"/>
  <c r="W127" i="58"/>
  <c r="W128" i="58"/>
  <c r="W129" i="58"/>
  <c r="W130" i="58"/>
  <c r="W131" i="58"/>
  <c r="W132" i="58"/>
  <c r="W133" i="58"/>
  <c r="W134" i="58"/>
  <c r="W135" i="58"/>
  <c r="W136" i="58"/>
  <c r="W137" i="58"/>
  <c r="W138" i="58"/>
  <c r="W139" i="58"/>
  <c r="W140" i="58"/>
  <c r="W141" i="58"/>
  <c r="W148" i="58"/>
  <c r="W149" i="58"/>
  <c r="W150" i="58"/>
  <c r="W154" i="58"/>
  <c r="W155" i="58"/>
  <c r="W156" i="58"/>
  <c r="W157" i="58"/>
  <c r="W158" i="58"/>
  <c r="W159" i="58"/>
  <c r="W160" i="58"/>
  <c r="W161" i="58"/>
  <c r="W162" i="58"/>
  <c r="W163" i="58"/>
  <c r="W164" i="58"/>
  <c r="W165" i="58"/>
  <c r="W166" i="58"/>
  <c r="W167" i="58"/>
  <c r="W168" i="58"/>
  <c r="W169" i="58"/>
  <c r="W170" i="58"/>
  <c r="W171" i="58"/>
  <c r="W172" i="58"/>
  <c r="W173" i="58"/>
  <c r="W174" i="58"/>
  <c r="W175" i="58"/>
  <c r="W176" i="58"/>
  <c r="W177" i="58"/>
  <c r="W178" i="58"/>
  <c r="W179" i="58"/>
  <c r="W7" i="58"/>
  <c r="W9" i="58"/>
  <c r="W10" i="58"/>
  <c r="W11" i="58"/>
  <c r="W12" i="58"/>
  <c r="W16" i="58"/>
  <c r="W65" i="58"/>
  <c r="W79" i="58"/>
  <c r="W80" i="58"/>
  <c r="W83" i="58"/>
  <c r="W84" i="58"/>
  <c r="W96" i="58"/>
  <c r="W99" i="58"/>
  <c r="W100" i="58"/>
  <c r="W151" i="58"/>
  <c r="W152" i="58"/>
  <c r="W6" i="58"/>
  <c r="W5" i="58"/>
  <c r="W13" i="58"/>
  <c r="W14" i="58"/>
  <c r="W15" i="58"/>
  <c r="W82" i="58"/>
  <c r="W86" i="58"/>
  <c r="W87" i="58"/>
  <c r="W88" i="58"/>
  <c r="W89" i="58"/>
  <c r="W90" i="58"/>
  <c r="W91" i="58"/>
  <c r="W92" i="58"/>
  <c r="W94" i="58"/>
  <c r="W97" i="58"/>
  <c r="W104" i="58"/>
  <c r="W61" i="58"/>
  <c r="W62" i="58"/>
  <c r="W101" i="58"/>
  <c r="W8" i="58"/>
  <c r="W56" i="58"/>
  <c r="W57" i="58"/>
  <c r="W58" i="58"/>
  <c r="W60" i="58"/>
  <c r="W103" i="58"/>
  <c r="W107" i="58"/>
  <c r="W106" i="58"/>
  <c r="W105" i="58"/>
  <c r="W111" i="58"/>
  <c r="W109" i="58"/>
  <c r="W108" i="58"/>
  <c r="W110" i="58"/>
  <c r="W66" i="58"/>
  <c r="W95" i="58"/>
  <c r="W98" i="58"/>
  <c r="W102" i="58"/>
  <c r="W112" i="58"/>
  <c r="W153" i="58"/>
  <c r="W93" i="58"/>
  <c r="W44" i="58"/>
  <c r="W45" i="58"/>
  <c r="W47" i="58"/>
  <c r="W48" i="58"/>
  <c r="W49" i="58"/>
  <c r="W50" i="58"/>
  <c r="W51" i="58"/>
  <c r="W52" i="58"/>
  <c r="W53" i="58"/>
  <c r="W54" i="58"/>
  <c r="W55" i="58"/>
  <c r="W59" i="58"/>
  <c r="W63" i="58"/>
  <c r="W64" i="58"/>
  <c r="W147" i="58"/>
  <c r="BC17" i="58"/>
  <c r="BD17" i="58" s="1"/>
  <c r="BG17" i="58"/>
  <c r="BK17" i="58"/>
  <c r="BL17" i="58"/>
  <c r="BO17" i="58"/>
  <c r="BP17" i="58" s="1"/>
  <c r="BS17" i="58"/>
  <c r="BU17" i="58"/>
  <c r="BV17" i="58"/>
  <c r="CB17" i="58"/>
  <c r="CE17" i="58" s="1"/>
  <c r="CF17" i="58" s="1"/>
  <c r="CG17" i="58" s="1"/>
  <c r="CH17" i="58"/>
  <c r="CK17" i="58"/>
  <c r="CM17" i="58"/>
  <c r="BC18" i="58"/>
  <c r="BD18" i="58" s="1"/>
  <c r="BG18" i="58"/>
  <c r="BK18" i="58"/>
  <c r="BL18" i="58"/>
  <c r="BO18" i="58"/>
  <c r="BP18" i="58" s="1"/>
  <c r="BS18" i="58"/>
  <c r="BU18" i="58"/>
  <c r="BV18" i="58"/>
  <c r="CB18" i="58"/>
  <c r="CE18" i="58" s="1"/>
  <c r="CF18" i="58" s="1"/>
  <c r="CG18" i="58" s="1"/>
  <c r="CH18" i="58"/>
  <c r="CK18" i="58"/>
  <c r="CM18" i="58"/>
  <c r="P17" i="58"/>
  <c r="P18" i="58"/>
  <c r="P19" i="58"/>
  <c r="P20" i="58"/>
  <c r="P21" i="58"/>
  <c r="P22" i="58"/>
  <c r="P23" i="58"/>
  <c r="P24" i="58"/>
  <c r="P25" i="58"/>
  <c r="P26" i="58"/>
  <c r="P27" i="58"/>
  <c r="P28" i="58"/>
  <c r="P29" i="58"/>
  <c r="P30" i="58"/>
  <c r="P31" i="58"/>
  <c r="P32" i="58"/>
  <c r="P33" i="58"/>
  <c r="P34" i="58"/>
  <c r="P35" i="58"/>
  <c r="P36" i="58"/>
  <c r="P37" i="58"/>
  <c r="P38" i="58"/>
  <c r="P39" i="58"/>
  <c r="P40" i="58"/>
  <c r="P41" i="58"/>
  <c r="P42" i="58"/>
  <c r="P43" i="58"/>
  <c r="P46" i="58"/>
  <c r="P71" i="58"/>
  <c r="P72" i="58"/>
  <c r="P73" i="58"/>
  <c r="P74" i="58"/>
  <c r="P75" i="58"/>
  <c r="P76" i="58"/>
  <c r="P77" i="58"/>
  <c r="P78" i="58"/>
  <c r="P81" i="58"/>
  <c r="P116" i="58"/>
  <c r="P117" i="58"/>
  <c r="P118" i="58"/>
  <c r="P119" i="58"/>
  <c r="P120" i="58"/>
  <c r="P121" i="58"/>
  <c r="P122" i="58"/>
  <c r="P123" i="58"/>
  <c r="P124" i="58"/>
  <c r="P125" i="58"/>
  <c r="P126" i="58"/>
  <c r="P127" i="58"/>
  <c r="P128" i="58"/>
  <c r="P129" i="58"/>
  <c r="P130" i="58"/>
  <c r="P131" i="58"/>
  <c r="P132" i="58"/>
  <c r="P133" i="58"/>
  <c r="P134" i="58"/>
  <c r="P135" i="58"/>
  <c r="P136" i="58"/>
  <c r="P137" i="58"/>
  <c r="P138" i="58"/>
  <c r="P139" i="58"/>
  <c r="P140" i="58"/>
  <c r="P141" i="58"/>
  <c r="P148" i="58"/>
  <c r="P149" i="58"/>
  <c r="P150" i="58"/>
  <c r="P154" i="58"/>
  <c r="P155" i="58"/>
  <c r="P156" i="58"/>
  <c r="P157" i="58"/>
  <c r="P158" i="58"/>
  <c r="P159" i="58"/>
  <c r="P160" i="58"/>
  <c r="P161" i="58"/>
  <c r="P162" i="58"/>
  <c r="P163" i="58"/>
  <c r="P164" i="58"/>
  <c r="P165" i="58"/>
  <c r="P166" i="58"/>
  <c r="P167" i="58"/>
  <c r="P168" i="58"/>
  <c r="P169" i="58"/>
  <c r="P170" i="58"/>
  <c r="P171" i="58"/>
  <c r="P172" i="58"/>
  <c r="P173" i="58"/>
  <c r="P174" i="58"/>
  <c r="P175" i="58"/>
  <c r="P176" i="58"/>
  <c r="P177" i="58"/>
  <c r="P178" i="58"/>
  <c r="P179" i="58"/>
  <c r="P7" i="58"/>
  <c r="P9" i="58"/>
  <c r="P10" i="58"/>
  <c r="P11" i="58"/>
  <c r="P12" i="58"/>
  <c r="P16" i="58"/>
  <c r="P65" i="58"/>
  <c r="P79" i="58"/>
  <c r="P80" i="58"/>
  <c r="P83" i="58"/>
  <c r="P84" i="58"/>
  <c r="P96" i="58"/>
  <c r="P99" i="58"/>
  <c r="P100" i="58"/>
  <c r="P151" i="58"/>
  <c r="P152" i="58"/>
  <c r="P6" i="58"/>
  <c r="P5" i="58"/>
  <c r="P13" i="58"/>
  <c r="P14" i="58"/>
  <c r="P15" i="58"/>
  <c r="P82" i="58"/>
  <c r="P86" i="58"/>
  <c r="P87" i="58"/>
  <c r="P88" i="58"/>
  <c r="P89" i="58"/>
  <c r="P90" i="58"/>
  <c r="P91" i="58"/>
  <c r="P92" i="58"/>
  <c r="P94" i="58"/>
  <c r="P97" i="58"/>
  <c r="P104" i="58"/>
  <c r="P61" i="58"/>
  <c r="P62" i="58"/>
  <c r="P101" i="58"/>
  <c r="P8" i="58"/>
  <c r="P56" i="58"/>
  <c r="P57" i="58"/>
  <c r="P58" i="58"/>
  <c r="P60" i="58"/>
  <c r="P103" i="58"/>
  <c r="P107" i="58"/>
  <c r="P106" i="58"/>
  <c r="P105" i="58"/>
  <c r="P111" i="58"/>
  <c r="P109" i="58"/>
  <c r="P108" i="58"/>
  <c r="P110" i="58"/>
  <c r="P66" i="58"/>
  <c r="P85" i="58"/>
  <c r="P95" i="58"/>
  <c r="P98" i="58"/>
  <c r="P102" i="58"/>
  <c r="P112" i="58"/>
  <c r="P153" i="58"/>
  <c r="P93" i="58"/>
  <c r="P44" i="58"/>
  <c r="P45" i="58"/>
  <c r="P47" i="58"/>
  <c r="P48" i="58"/>
  <c r="P49" i="58"/>
  <c r="P50" i="58"/>
  <c r="P51" i="58"/>
  <c r="P52" i="58"/>
  <c r="P53" i="58"/>
  <c r="P54" i="58"/>
  <c r="P55" i="58"/>
  <c r="P59" i="58"/>
  <c r="P63" i="58"/>
  <c r="P64" i="58"/>
  <c r="BE18" i="58" l="1"/>
  <c r="BF18" i="58" s="1"/>
  <c r="BE17" i="58"/>
  <c r="BF17" i="58" s="1"/>
  <c r="AO69" i="58"/>
  <c r="AP69" i="58" s="1"/>
  <c r="BH18" i="58"/>
  <c r="BH17" i="58"/>
  <c r="BE47" i="58"/>
  <c r="BF47" i="58" s="1"/>
  <c r="BE48" i="58"/>
  <c r="BF48" i="58" s="1"/>
  <c r="BE49" i="58"/>
  <c r="BF49" i="58" s="1"/>
  <c r="BE50" i="58"/>
  <c r="BF50" i="58" s="1"/>
  <c r="BE51" i="58"/>
  <c r="BF51" i="58" s="1"/>
  <c r="BE52" i="58"/>
  <c r="BF52" i="58" s="1"/>
  <c r="BE53" i="58"/>
  <c r="BF53" i="58" s="1"/>
  <c r="BE54" i="58"/>
  <c r="BF54" i="58" s="1"/>
  <c r="BE55" i="58"/>
  <c r="BF55" i="58" s="1"/>
  <c r="BE59" i="58"/>
  <c r="BF59" i="58" s="1"/>
  <c r="BE63" i="58"/>
  <c r="BF63" i="58" s="1"/>
  <c r="BE64" i="58"/>
  <c r="BF64" i="58" s="1"/>
  <c r="BE69" i="58"/>
  <c r="BF69" i="58" s="1"/>
  <c r="BF146" i="58"/>
  <c r="BE147" i="58"/>
  <c r="BF147" i="58" s="1"/>
  <c r="AL69" i="58"/>
  <c r="AM69" i="58" s="1"/>
  <c r="AN69" i="58"/>
  <c r="AI69" i="58"/>
  <c r="CH147" i="58"/>
  <c r="CH64" i="58"/>
  <c r="CH63" i="58"/>
  <c r="CH59" i="58"/>
  <c r="CH55" i="58"/>
  <c r="CH54" i="58"/>
  <c r="CH53" i="58"/>
  <c r="CH52" i="58"/>
  <c r="CH51" i="58"/>
  <c r="CH50" i="58"/>
  <c r="CH49" i="58"/>
  <c r="CH48" i="58"/>
  <c r="CH47" i="58"/>
  <c r="CH45" i="58"/>
  <c r="CH44" i="58"/>
  <c r="CH93" i="58"/>
  <c r="CH153" i="58"/>
  <c r="CH112" i="58"/>
  <c r="CH102" i="58"/>
  <c r="CH98" i="58"/>
  <c r="CH95" i="58"/>
  <c r="CH85" i="58"/>
  <c r="CH66" i="58"/>
  <c r="CH110" i="58"/>
  <c r="CH108" i="58"/>
  <c r="CH109" i="58"/>
  <c r="CH111" i="58"/>
  <c r="CH105" i="58"/>
  <c r="CH106" i="58"/>
  <c r="CH107" i="58"/>
  <c r="CH103" i="58"/>
  <c r="CH60" i="58"/>
  <c r="CH58" i="58"/>
  <c r="CH57" i="58"/>
  <c r="CH56" i="58"/>
  <c r="CH8" i="58"/>
  <c r="CH101" i="58"/>
  <c r="CH62" i="58"/>
  <c r="CH61" i="58"/>
  <c r="CH104" i="58"/>
  <c r="CH97" i="58"/>
  <c r="CH94" i="58"/>
  <c r="CH92" i="58"/>
  <c r="CH91" i="58"/>
  <c r="CH90" i="58"/>
  <c r="CH89" i="58"/>
  <c r="CH88" i="58"/>
  <c r="CH87" i="58"/>
  <c r="CH86" i="58"/>
  <c r="CH82" i="58"/>
  <c r="CH15" i="58"/>
  <c r="CH14" i="58"/>
  <c r="CH13" i="58"/>
  <c r="CH5" i="58"/>
  <c r="CH6" i="58"/>
  <c r="CH152" i="58"/>
  <c r="CH151" i="58"/>
  <c r="CH100" i="58"/>
  <c r="CH99" i="58"/>
  <c r="CH96" i="58"/>
  <c r="CH84" i="58"/>
  <c r="CH83" i="58"/>
  <c r="CH80" i="58"/>
  <c r="CH79" i="58"/>
  <c r="CH65" i="58"/>
  <c r="CH16" i="58"/>
  <c r="CH12" i="58"/>
  <c r="CH11" i="58"/>
  <c r="CH10" i="58"/>
  <c r="CH9" i="58"/>
  <c r="CH7" i="58"/>
  <c r="CH179" i="58"/>
  <c r="CH178" i="58"/>
  <c r="CH177" i="58"/>
  <c r="CH176" i="58"/>
  <c r="CH175" i="58"/>
  <c r="CH174" i="58"/>
  <c r="CH173" i="58"/>
  <c r="CH172" i="58"/>
  <c r="CH171" i="58"/>
  <c r="CH170" i="58"/>
  <c r="CH168" i="58"/>
  <c r="CH167" i="58"/>
  <c r="CH166" i="58"/>
  <c r="CH165" i="58"/>
  <c r="CH164" i="58"/>
  <c r="CH163" i="58"/>
  <c r="CH162" i="58"/>
  <c r="CH161" i="58"/>
  <c r="CH160" i="58"/>
  <c r="CH159" i="58"/>
  <c r="CH158" i="58"/>
  <c r="CH157" i="58"/>
  <c r="CH156" i="58"/>
  <c r="CH155" i="58"/>
  <c r="CH154" i="58"/>
  <c r="CH150" i="58"/>
  <c r="CH149" i="58"/>
  <c r="CH148" i="58"/>
  <c r="CH141" i="58"/>
  <c r="CH140" i="58"/>
  <c r="CH139" i="58"/>
  <c r="CH138" i="58"/>
  <c r="CH137" i="58"/>
  <c r="CH136" i="58"/>
  <c r="CH135" i="58"/>
  <c r="CH134" i="58"/>
  <c r="CH133" i="58"/>
  <c r="CH132" i="58"/>
  <c r="CH131" i="58"/>
  <c r="CH130" i="58"/>
  <c r="CH129" i="58"/>
  <c r="CH128" i="58"/>
  <c r="CH127" i="58"/>
  <c r="CH126" i="58"/>
  <c r="CH125" i="58"/>
  <c r="CH124" i="58"/>
  <c r="CH123" i="58"/>
  <c r="CH122" i="58"/>
  <c r="CH121" i="58"/>
  <c r="CH120" i="58"/>
  <c r="CH119" i="58"/>
  <c r="CH118" i="58"/>
  <c r="CH117" i="58"/>
  <c r="CH116" i="58"/>
  <c r="CH81" i="58"/>
  <c r="CH78" i="58"/>
  <c r="CH77" i="58"/>
  <c r="CH76" i="58"/>
  <c r="CH75" i="58"/>
  <c r="CH74" i="58"/>
  <c r="CH73" i="58"/>
  <c r="CH72" i="58"/>
  <c r="CH71" i="58"/>
  <c r="CH46" i="58"/>
  <c r="CH43" i="58"/>
  <c r="CH42" i="58"/>
  <c r="CH41" i="58"/>
  <c r="CH40" i="58"/>
  <c r="CH39" i="58"/>
  <c r="CH38" i="58"/>
  <c r="CH37" i="58"/>
  <c r="CH36" i="58"/>
  <c r="CH35" i="58"/>
  <c r="CH34" i="58"/>
  <c r="CH33" i="58"/>
  <c r="CH32" i="58"/>
  <c r="CH31" i="58"/>
  <c r="CH30" i="58"/>
  <c r="CH29" i="58"/>
  <c r="CH28" i="58"/>
  <c r="CH27" i="58"/>
  <c r="CH26" i="58"/>
  <c r="CH25" i="58"/>
  <c r="CH24" i="58"/>
  <c r="CH23" i="58"/>
  <c r="CH22" i="58"/>
  <c r="CH21" i="58"/>
  <c r="CH20" i="58"/>
  <c r="CH19" i="58"/>
  <c r="CH169" i="58"/>
  <c r="CE147" i="58"/>
  <c r="CF147" i="58" s="1"/>
  <c r="CG147" i="58" s="1"/>
  <c r="CG146" i="58"/>
  <c r="CB64" i="58"/>
  <c r="CE64" i="58" s="1"/>
  <c r="CF64" i="58" s="1"/>
  <c r="CG64" i="58" s="1"/>
  <c r="CB63" i="58"/>
  <c r="CE63" i="58" s="1"/>
  <c r="CF63" i="58" s="1"/>
  <c r="CG63" i="58" s="1"/>
  <c r="CB59" i="58"/>
  <c r="CE59" i="58" s="1"/>
  <c r="CF59" i="58" s="1"/>
  <c r="CG59" i="58" s="1"/>
  <c r="CB55" i="58"/>
  <c r="CE55" i="58" s="1"/>
  <c r="CF55" i="58" s="1"/>
  <c r="CG55" i="58" s="1"/>
  <c r="CB54" i="58"/>
  <c r="CE54" i="58" s="1"/>
  <c r="CF54" i="58" s="1"/>
  <c r="CG54" i="58" s="1"/>
  <c r="CB53" i="58"/>
  <c r="CE53" i="58" s="1"/>
  <c r="CF53" i="58" s="1"/>
  <c r="CG53" i="58" s="1"/>
  <c r="CB52" i="58"/>
  <c r="CE52" i="58" s="1"/>
  <c r="CF52" i="58" s="1"/>
  <c r="CG52" i="58" s="1"/>
  <c r="CB51" i="58"/>
  <c r="CE51" i="58" s="1"/>
  <c r="CF51" i="58" s="1"/>
  <c r="CG51" i="58" s="1"/>
  <c r="CB50" i="58"/>
  <c r="CE50" i="58" s="1"/>
  <c r="CF50" i="58" s="1"/>
  <c r="CG50" i="58" s="1"/>
  <c r="CB49" i="58"/>
  <c r="CE49" i="58" s="1"/>
  <c r="CF49" i="58" s="1"/>
  <c r="CG49" i="58" s="1"/>
  <c r="CB48" i="58"/>
  <c r="CE48" i="58" s="1"/>
  <c r="CB47" i="58"/>
  <c r="CE47" i="58" s="1"/>
  <c r="CB45" i="58"/>
  <c r="CE45" i="58" s="1"/>
  <c r="CB44" i="58"/>
  <c r="CE44" i="58" s="1"/>
  <c r="CB93" i="58"/>
  <c r="CE93" i="58" s="1"/>
  <c r="CB153" i="58"/>
  <c r="CE153" i="58" s="1"/>
  <c r="CB112" i="58"/>
  <c r="CE112" i="58" s="1"/>
  <c r="CB102" i="58"/>
  <c r="CE102" i="58" s="1"/>
  <c r="CB98" i="58"/>
  <c r="CE98" i="58" s="1"/>
  <c r="CB95" i="58"/>
  <c r="CE95" i="58" s="1"/>
  <c r="CB85" i="58"/>
  <c r="CE85" i="58" s="1"/>
  <c r="CB66" i="58"/>
  <c r="CE66" i="58" s="1"/>
  <c r="CB110" i="58"/>
  <c r="CE110" i="58" s="1"/>
  <c r="CB108" i="58"/>
  <c r="CE108" i="58" s="1"/>
  <c r="CB109" i="58"/>
  <c r="CE109" i="58" s="1"/>
  <c r="CB111" i="58"/>
  <c r="CE111" i="58" s="1"/>
  <c r="CB105" i="58"/>
  <c r="CE105" i="58" s="1"/>
  <c r="CB106" i="58"/>
  <c r="CE106" i="58" s="1"/>
  <c r="CB107" i="58"/>
  <c r="CE107" i="58" s="1"/>
  <c r="CB103" i="58"/>
  <c r="CE103" i="58" s="1"/>
  <c r="CB60" i="58"/>
  <c r="CE60" i="58" s="1"/>
  <c r="CB58" i="58"/>
  <c r="CE58" i="58" s="1"/>
  <c r="CB57" i="58"/>
  <c r="CE57" i="58" s="1"/>
  <c r="CB56" i="58"/>
  <c r="CE56" i="58" s="1"/>
  <c r="CB8" i="58"/>
  <c r="CE8" i="58" s="1"/>
  <c r="CB101" i="58"/>
  <c r="CE101" i="58" s="1"/>
  <c r="CB62" i="58"/>
  <c r="CE62" i="58" s="1"/>
  <c r="CB61" i="58"/>
  <c r="CE61" i="58" s="1"/>
  <c r="CB104" i="58"/>
  <c r="CE104" i="58" s="1"/>
  <c r="CB97" i="58"/>
  <c r="CE97" i="58" s="1"/>
  <c r="CB94" i="58"/>
  <c r="CE94" i="58" s="1"/>
  <c r="CB92" i="58"/>
  <c r="CE92" i="58" s="1"/>
  <c r="CB91" i="58"/>
  <c r="CE91" i="58" s="1"/>
  <c r="CB90" i="58"/>
  <c r="CE90" i="58" s="1"/>
  <c r="CB89" i="58"/>
  <c r="CE89" i="58" s="1"/>
  <c r="CB88" i="58"/>
  <c r="CE88" i="58" s="1"/>
  <c r="CB87" i="58"/>
  <c r="CE87" i="58" s="1"/>
  <c r="CB86" i="58"/>
  <c r="CE86" i="58" s="1"/>
  <c r="CB82" i="58"/>
  <c r="CE82" i="58" s="1"/>
  <c r="CB15" i="58"/>
  <c r="CE15" i="58" s="1"/>
  <c r="CB14" i="58"/>
  <c r="CE14" i="58" s="1"/>
  <c r="CB13" i="58"/>
  <c r="CE13" i="58" s="1"/>
  <c r="CB5" i="58"/>
  <c r="CE5" i="58" s="1"/>
  <c r="CB6" i="58"/>
  <c r="CE6" i="58" s="1"/>
  <c r="CB152" i="58"/>
  <c r="CE152" i="58" s="1"/>
  <c r="CB151" i="58"/>
  <c r="CE151" i="58" s="1"/>
  <c r="CB100" i="58"/>
  <c r="CE100" i="58" s="1"/>
  <c r="CB99" i="58"/>
  <c r="CE99" i="58" s="1"/>
  <c r="CB96" i="58"/>
  <c r="CE96" i="58" s="1"/>
  <c r="CB84" i="58"/>
  <c r="CE84" i="58" s="1"/>
  <c r="CB83" i="58"/>
  <c r="CE83" i="58" s="1"/>
  <c r="CB80" i="58"/>
  <c r="CE80" i="58" s="1"/>
  <c r="CB79" i="58"/>
  <c r="CE79" i="58" s="1"/>
  <c r="CB65" i="58"/>
  <c r="CE65" i="58" s="1"/>
  <c r="CB16" i="58"/>
  <c r="CE16" i="58" s="1"/>
  <c r="CB12" i="58"/>
  <c r="CE12" i="58" s="1"/>
  <c r="CB11" i="58"/>
  <c r="CE11" i="58" s="1"/>
  <c r="CB10" i="58"/>
  <c r="CE10" i="58" s="1"/>
  <c r="CB9" i="58"/>
  <c r="CE9" i="58" s="1"/>
  <c r="CB7" i="58"/>
  <c r="CE7" i="58" s="1"/>
  <c r="CB179" i="58"/>
  <c r="CE179" i="58" s="1"/>
  <c r="CB178" i="58"/>
  <c r="CE178" i="58" s="1"/>
  <c r="CB177" i="58"/>
  <c r="CE177" i="58" s="1"/>
  <c r="CB176" i="58"/>
  <c r="CE176" i="58" s="1"/>
  <c r="CB175" i="58"/>
  <c r="CE175" i="58" s="1"/>
  <c r="CB174" i="58"/>
  <c r="CE174" i="58" s="1"/>
  <c r="CB173" i="58"/>
  <c r="CE173" i="58" s="1"/>
  <c r="CB172" i="58"/>
  <c r="CE172" i="58" s="1"/>
  <c r="CB171" i="58"/>
  <c r="CE171" i="58" s="1"/>
  <c r="CB170" i="58"/>
  <c r="CE170" i="58" s="1"/>
  <c r="CB168" i="58"/>
  <c r="CE168" i="58" s="1"/>
  <c r="CB167" i="58"/>
  <c r="CE167" i="58" s="1"/>
  <c r="CB166" i="58"/>
  <c r="CE166" i="58" s="1"/>
  <c r="CB165" i="58"/>
  <c r="CE165" i="58" s="1"/>
  <c r="CB164" i="58"/>
  <c r="CE164" i="58" s="1"/>
  <c r="CB163" i="58"/>
  <c r="CE163" i="58" s="1"/>
  <c r="CB162" i="58"/>
  <c r="CE162" i="58" s="1"/>
  <c r="CB161" i="58"/>
  <c r="CE161" i="58" s="1"/>
  <c r="CB160" i="58"/>
  <c r="CE160" i="58" s="1"/>
  <c r="CB159" i="58"/>
  <c r="CE159" i="58" s="1"/>
  <c r="CB158" i="58"/>
  <c r="CE158" i="58" s="1"/>
  <c r="CB157" i="58"/>
  <c r="CE157" i="58" s="1"/>
  <c r="CB156" i="58"/>
  <c r="CE156" i="58" s="1"/>
  <c r="CB155" i="58"/>
  <c r="CE155" i="58" s="1"/>
  <c r="CB154" i="58"/>
  <c r="CE154" i="58" s="1"/>
  <c r="CB150" i="58"/>
  <c r="CE150" i="58" s="1"/>
  <c r="CB149" i="58"/>
  <c r="CE149" i="58" s="1"/>
  <c r="CB148" i="58"/>
  <c r="CE148" i="58" s="1"/>
  <c r="CB141" i="58"/>
  <c r="CE141" i="58" s="1"/>
  <c r="CB140" i="58"/>
  <c r="CE140" i="58" s="1"/>
  <c r="CB139" i="58"/>
  <c r="CE139" i="58" s="1"/>
  <c r="CB138" i="58"/>
  <c r="CE138" i="58" s="1"/>
  <c r="CB137" i="58"/>
  <c r="CE137" i="58" s="1"/>
  <c r="CB136" i="58"/>
  <c r="CE136" i="58" s="1"/>
  <c r="CB135" i="58"/>
  <c r="CE135" i="58" s="1"/>
  <c r="CB134" i="58"/>
  <c r="CE134" i="58" s="1"/>
  <c r="CB133" i="58"/>
  <c r="CE133" i="58" s="1"/>
  <c r="CB132" i="58"/>
  <c r="CE132" i="58" s="1"/>
  <c r="CB131" i="58"/>
  <c r="CE131" i="58" s="1"/>
  <c r="CB130" i="58"/>
  <c r="CE130" i="58" s="1"/>
  <c r="CB129" i="58"/>
  <c r="CE129" i="58" s="1"/>
  <c r="CB128" i="58"/>
  <c r="CE128" i="58" s="1"/>
  <c r="CB127" i="58"/>
  <c r="CE127" i="58" s="1"/>
  <c r="CB126" i="58"/>
  <c r="CE126" i="58" s="1"/>
  <c r="CB125" i="58"/>
  <c r="CE125" i="58" s="1"/>
  <c r="CB124" i="58"/>
  <c r="CE124" i="58" s="1"/>
  <c r="CB123" i="58"/>
  <c r="CE123" i="58" s="1"/>
  <c r="CB122" i="58"/>
  <c r="CE122" i="58" s="1"/>
  <c r="CB121" i="58"/>
  <c r="CE121" i="58" s="1"/>
  <c r="CB120" i="58"/>
  <c r="CE120" i="58" s="1"/>
  <c r="CB119" i="58"/>
  <c r="CE119" i="58" s="1"/>
  <c r="CB118" i="58"/>
  <c r="CE118" i="58" s="1"/>
  <c r="CB117" i="58"/>
  <c r="CE117" i="58" s="1"/>
  <c r="CB116" i="58"/>
  <c r="CE116" i="58" s="1"/>
  <c r="CB81" i="58"/>
  <c r="CE81" i="58" s="1"/>
  <c r="CB78" i="58"/>
  <c r="CE78" i="58" s="1"/>
  <c r="CB77" i="58"/>
  <c r="CE77" i="58" s="1"/>
  <c r="CB76" i="58"/>
  <c r="CE76" i="58" s="1"/>
  <c r="CB75" i="58"/>
  <c r="CE75" i="58" s="1"/>
  <c r="CB74" i="58"/>
  <c r="CE74" i="58" s="1"/>
  <c r="CB73" i="58"/>
  <c r="CE73" i="58" s="1"/>
  <c r="CB72" i="58"/>
  <c r="CE72" i="58" s="1"/>
  <c r="CB71" i="58"/>
  <c r="CE71" i="58" s="1"/>
  <c r="CB46" i="58"/>
  <c r="CE46" i="58" s="1"/>
  <c r="CB43" i="58"/>
  <c r="CE43" i="58" s="1"/>
  <c r="CB42" i="58"/>
  <c r="CE42" i="58" s="1"/>
  <c r="CB41" i="58"/>
  <c r="CE41" i="58" s="1"/>
  <c r="CB40" i="58"/>
  <c r="CE40" i="58" s="1"/>
  <c r="CB39" i="58"/>
  <c r="CE39" i="58" s="1"/>
  <c r="CB38" i="58"/>
  <c r="CE38" i="58" s="1"/>
  <c r="CB37" i="58"/>
  <c r="CE37" i="58" s="1"/>
  <c r="CB36" i="58"/>
  <c r="CE36" i="58" s="1"/>
  <c r="CB35" i="58"/>
  <c r="CE35" i="58" s="1"/>
  <c r="CB34" i="58"/>
  <c r="CE34" i="58" s="1"/>
  <c r="CB33" i="58"/>
  <c r="CE33" i="58" s="1"/>
  <c r="CB32" i="58"/>
  <c r="CE32" i="58" s="1"/>
  <c r="CB31" i="58"/>
  <c r="CE31" i="58" s="1"/>
  <c r="CB30" i="58"/>
  <c r="CE30" i="58" s="1"/>
  <c r="CB29" i="58"/>
  <c r="CE29" i="58" s="1"/>
  <c r="CB28" i="58"/>
  <c r="CE28" i="58" s="1"/>
  <c r="CB27" i="58"/>
  <c r="CE27" i="58" s="1"/>
  <c r="CB26" i="58"/>
  <c r="CE26" i="58" s="1"/>
  <c r="CB25" i="58"/>
  <c r="CE25" i="58" s="1"/>
  <c r="CB24" i="58"/>
  <c r="CE24" i="58" s="1"/>
  <c r="CB23" i="58"/>
  <c r="CE23" i="58" s="1"/>
  <c r="CB22" i="58"/>
  <c r="CE22" i="58" s="1"/>
  <c r="CB21" i="58"/>
  <c r="CE21" i="58" s="1"/>
  <c r="CB20" i="58"/>
  <c r="CE20" i="58" s="1"/>
  <c r="CB19" i="58"/>
  <c r="CE19" i="58" s="1"/>
  <c r="CB169" i="58"/>
  <c r="CE169" i="58" s="1"/>
  <c r="BO45" i="58"/>
  <c r="BO44" i="58"/>
  <c r="BO93" i="58"/>
  <c r="BO153" i="58"/>
  <c r="BO112" i="58"/>
  <c r="BO102" i="58"/>
  <c r="BO98" i="58"/>
  <c r="BO95" i="58"/>
  <c r="BO85" i="58"/>
  <c r="BO66" i="58"/>
  <c r="BO110" i="58"/>
  <c r="BO108" i="58"/>
  <c r="BO109" i="58"/>
  <c r="BO111" i="58"/>
  <c r="BO105" i="58"/>
  <c r="BO106" i="58"/>
  <c r="BO107" i="58"/>
  <c r="BO103" i="58"/>
  <c r="BO60" i="58"/>
  <c r="BO58" i="58"/>
  <c r="BO57" i="58"/>
  <c r="BO56" i="58"/>
  <c r="BO8" i="58"/>
  <c r="BO101" i="58"/>
  <c r="BO62" i="58"/>
  <c r="BO61" i="58"/>
  <c r="BO104" i="58"/>
  <c r="BO97" i="58"/>
  <c r="BO94" i="58"/>
  <c r="BO92" i="58"/>
  <c r="BO91" i="58"/>
  <c r="BO90" i="58"/>
  <c r="BO89" i="58"/>
  <c r="BO88" i="58"/>
  <c r="BO87" i="58"/>
  <c r="BO86" i="58"/>
  <c r="BO82" i="58"/>
  <c r="BO15" i="58"/>
  <c r="BO14" i="58"/>
  <c r="BO13" i="58"/>
  <c r="BO5" i="58"/>
  <c r="BO6" i="58"/>
  <c r="BO152" i="58"/>
  <c r="BO151" i="58"/>
  <c r="BO100" i="58"/>
  <c r="BO99" i="58"/>
  <c r="BO96" i="58"/>
  <c r="BO84" i="58"/>
  <c r="BO83" i="58"/>
  <c r="BO80" i="58"/>
  <c r="BO79" i="58"/>
  <c r="BO65" i="58"/>
  <c r="BO16" i="58"/>
  <c r="BO12" i="58"/>
  <c r="BO11" i="58"/>
  <c r="BO10" i="58"/>
  <c r="BO9" i="58"/>
  <c r="BO7" i="58"/>
  <c r="BO179" i="58"/>
  <c r="BO178" i="58"/>
  <c r="BO177" i="58"/>
  <c r="BO176" i="58"/>
  <c r="BO175" i="58"/>
  <c r="BO174" i="58"/>
  <c r="BO173" i="58"/>
  <c r="BO172" i="58"/>
  <c r="BO171" i="58"/>
  <c r="BO170" i="58"/>
  <c r="BO169" i="58"/>
  <c r="BO168" i="58"/>
  <c r="BO167" i="58"/>
  <c r="BO166" i="58"/>
  <c r="BO165" i="58"/>
  <c r="BO164" i="58"/>
  <c r="BO163" i="58"/>
  <c r="BO162" i="58"/>
  <c r="BO161" i="58"/>
  <c r="BO160" i="58"/>
  <c r="BO159" i="58"/>
  <c r="BO158" i="58"/>
  <c r="BO157" i="58"/>
  <c r="BO156" i="58"/>
  <c r="BO155" i="58"/>
  <c r="BO154" i="58"/>
  <c r="BO150" i="58"/>
  <c r="BO149" i="58"/>
  <c r="BO148" i="58"/>
  <c r="BO141" i="58"/>
  <c r="BO140" i="58"/>
  <c r="BO139" i="58"/>
  <c r="BO138" i="58"/>
  <c r="BO137" i="58"/>
  <c r="BO136" i="58"/>
  <c r="BO135" i="58"/>
  <c r="BO134" i="58"/>
  <c r="BO133" i="58"/>
  <c r="BO132" i="58"/>
  <c r="BO131" i="58"/>
  <c r="BO130" i="58"/>
  <c r="BO129" i="58"/>
  <c r="BO128" i="58"/>
  <c r="BO127" i="58"/>
  <c r="BO126" i="58"/>
  <c r="BO125" i="58"/>
  <c r="BO124" i="58"/>
  <c r="BO123" i="58"/>
  <c r="BO122" i="58"/>
  <c r="BO121" i="58"/>
  <c r="BO120" i="58"/>
  <c r="BO119" i="58"/>
  <c r="BO118" i="58"/>
  <c r="BO117" i="58"/>
  <c r="BO116" i="58"/>
  <c r="BO81" i="58"/>
  <c r="BO78" i="58"/>
  <c r="BO77" i="58"/>
  <c r="BO76" i="58"/>
  <c r="BO75" i="58"/>
  <c r="BO74" i="58"/>
  <c r="BO73" i="58"/>
  <c r="BO72" i="58"/>
  <c r="BO71" i="58"/>
  <c r="BO46" i="58"/>
  <c r="BO43" i="58"/>
  <c r="BO42" i="58"/>
  <c r="BO41" i="58"/>
  <c r="BO40" i="58"/>
  <c r="BO39" i="58"/>
  <c r="BO38" i="58"/>
  <c r="BO37" i="58"/>
  <c r="BO36" i="58"/>
  <c r="BO35" i="58"/>
  <c r="BO34" i="58"/>
  <c r="BO33" i="58"/>
  <c r="BO32" i="58"/>
  <c r="BO31" i="58"/>
  <c r="BO30" i="58"/>
  <c r="BO29" i="58"/>
  <c r="BO28" i="58"/>
  <c r="BO27" i="58"/>
  <c r="BO26" i="58"/>
  <c r="BO25" i="58"/>
  <c r="BO24" i="58"/>
  <c r="BO23" i="58"/>
  <c r="BO22" i="58"/>
  <c r="BO21" i="58"/>
  <c r="BO20" i="58"/>
  <c r="BO19" i="58"/>
  <c r="E11" i="54" l="1"/>
  <c r="L68" i="63"/>
  <c r="M68" i="63" s="1"/>
  <c r="K68" i="63"/>
  <c r="T67" i="63"/>
  <c r="Q67" i="63"/>
  <c r="P67" i="63"/>
  <c r="N67" i="63"/>
  <c r="L67" i="63"/>
  <c r="K67" i="63"/>
  <c r="K66" i="63"/>
  <c r="L64" i="63"/>
  <c r="P64" i="63" s="1"/>
  <c r="K64" i="63"/>
  <c r="P63" i="63"/>
  <c r="M63" i="63"/>
  <c r="K63" i="63"/>
  <c r="N62" i="63"/>
  <c r="K62" i="63"/>
  <c r="N61" i="63"/>
  <c r="K61" i="63"/>
  <c r="N59" i="63"/>
  <c r="N56" i="63"/>
  <c r="K56" i="63"/>
  <c r="N54" i="63"/>
  <c r="K54" i="63"/>
  <c r="N52" i="63"/>
  <c r="K52" i="63"/>
  <c r="AG50" i="63"/>
  <c r="AF50" i="63"/>
  <c r="AE50" i="63"/>
  <c r="M50" i="63"/>
  <c r="N50" i="63" s="1"/>
  <c r="K50" i="63"/>
  <c r="N49" i="63"/>
  <c r="K49" i="63"/>
  <c r="U48" i="63"/>
  <c r="M48" i="63"/>
  <c r="N48" i="63" s="1"/>
  <c r="K48" i="63"/>
  <c r="AG47" i="63"/>
  <c r="AF47" i="63"/>
  <c r="AE47" i="63"/>
  <c r="K47" i="63"/>
  <c r="V46" i="63"/>
  <c r="U46" i="63"/>
  <c r="T46" i="63"/>
  <c r="N46" i="63"/>
  <c r="K46" i="63"/>
  <c r="N45" i="63"/>
  <c r="O42" i="63"/>
  <c r="O67" i="63" s="1"/>
  <c r="M42" i="63"/>
  <c r="M67" i="63" s="1"/>
  <c r="K42" i="63"/>
  <c r="N41" i="63"/>
  <c r="K41" i="63"/>
  <c r="K40" i="63"/>
  <c r="N39" i="63"/>
  <c r="K39" i="63"/>
  <c r="N38" i="63"/>
  <c r="K38" i="63"/>
  <c r="K33" i="63"/>
  <c r="K32" i="63"/>
  <c r="U31" i="63"/>
  <c r="T31" i="63"/>
  <c r="L31" i="63"/>
  <c r="M31" i="63" s="1"/>
  <c r="N31" i="63" s="1"/>
  <c r="K31" i="63"/>
  <c r="K28" i="63"/>
  <c r="Z25" i="63"/>
  <c r="AA25" i="63" s="1"/>
  <c r="N25" i="63"/>
  <c r="K25" i="63"/>
  <c r="AG24" i="63"/>
  <c r="AE24" i="63"/>
  <c r="Z24" i="63"/>
  <c r="AA24" i="63" s="1"/>
  <c r="Q24" i="63"/>
  <c r="M24" i="63"/>
  <c r="N24" i="63" s="1"/>
  <c r="K24" i="63"/>
  <c r="Z23" i="63"/>
  <c r="AA23" i="63" s="1"/>
  <c r="N23" i="63"/>
  <c r="K23" i="63"/>
  <c r="Z22" i="63"/>
  <c r="AA22" i="63" s="1"/>
  <c r="N22" i="63"/>
  <c r="K22" i="63"/>
  <c r="Z21" i="63"/>
  <c r="AA21" i="63" s="1"/>
  <c r="N21" i="63"/>
  <c r="K21" i="63"/>
  <c r="N20" i="63"/>
  <c r="K20" i="63"/>
  <c r="Q19" i="63"/>
  <c r="N19" i="63"/>
  <c r="K19" i="63"/>
  <c r="N18" i="63"/>
  <c r="K18" i="63"/>
  <c r="Z17" i="63"/>
  <c r="AA17" i="63" s="1"/>
  <c r="K17" i="63"/>
  <c r="AG16" i="63"/>
  <c r="AE16" i="63"/>
  <c r="Z16" i="63"/>
  <c r="AA16" i="63" s="1"/>
  <c r="N16" i="63"/>
  <c r="K16" i="63"/>
  <c r="Z15" i="63"/>
  <c r="AA15" i="63" s="1"/>
  <c r="K15" i="63"/>
  <c r="Z13" i="63"/>
  <c r="AA13" i="63" s="1"/>
  <c r="K13" i="63"/>
  <c r="Z12" i="63"/>
  <c r="AA12" i="63" s="1"/>
  <c r="K12" i="63"/>
  <c r="AG11" i="63"/>
  <c r="AF11" i="63"/>
  <c r="AE11" i="63"/>
  <c r="Z11" i="63"/>
  <c r="AA11" i="63" s="1"/>
  <c r="K11" i="63"/>
  <c r="N10" i="63"/>
  <c r="K10" i="63"/>
  <c r="N9" i="63"/>
  <c r="K9" i="63"/>
  <c r="N6" i="63"/>
  <c r="K6" i="63"/>
  <c r="N5" i="63"/>
  <c r="K5" i="63"/>
  <c r="CM147" i="58"/>
  <c r="CK147" i="58"/>
  <c r="BL147" i="58"/>
  <c r="BK147" i="58"/>
  <c r="AS147" i="58"/>
  <c r="AR147" i="58"/>
  <c r="AQ147" i="58"/>
  <c r="AJ147" i="58"/>
  <c r="AK147" i="58" s="1"/>
  <c r="AH147" i="58"/>
  <c r="AN147" i="58" s="1"/>
  <c r="CM64" i="58"/>
  <c r="CK64" i="58"/>
  <c r="BL64" i="58"/>
  <c r="BK64" i="58"/>
  <c r="CM63" i="58"/>
  <c r="CK63" i="58"/>
  <c r="BL63" i="58"/>
  <c r="BK63" i="58"/>
  <c r="CM59" i="58"/>
  <c r="CK59" i="58"/>
  <c r="BL59" i="58"/>
  <c r="BK59" i="58"/>
  <c r="CM55" i="58"/>
  <c r="CK55" i="58"/>
  <c r="BL55" i="58"/>
  <c r="BK55" i="58"/>
  <c r="CM54" i="58"/>
  <c r="CK54" i="58"/>
  <c r="BL54" i="58"/>
  <c r="BK54" i="58"/>
  <c r="CM53" i="58"/>
  <c r="CK53" i="58"/>
  <c r="BL53" i="58"/>
  <c r="BK53" i="58"/>
  <c r="CM52" i="58"/>
  <c r="CK52" i="58"/>
  <c r="BL52" i="58"/>
  <c r="BK52" i="58"/>
  <c r="CM51" i="58"/>
  <c r="CK51" i="58"/>
  <c r="BL51" i="58"/>
  <c r="BK51" i="58"/>
  <c r="CM50" i="58"/>
  <c r="CK50" i="58"/>
  <c r="BL50" i="58"/>
  <c r="BK50" i="58"/>
  <c r="CM49" i="58"/>
  <c r="CK49" i="58"/>
  <c r="BL49" i="58"/>
  <c r="BK49" i="58"/>
  <c r="CM48" i="58"/>
  <c r="CK48" i="58"/>
  <c r="CF48" i="58"/>
  <c r="CG48" i="58" s="1"/>
  <c r="BL48" i="58"/>
  <c r="BK48" i="58"/>
  <c r="CM47" i="58"/>
  <c r="CK47" i="58"/>
  <c r="CF47" i="58"/>
  <c r="CG47" i="58" s="1"/>
  <c r="BL47" i="58"/>
  <c r="BK47" i="58"/>
  <c r="CM45" i="58"/>
  <c r="CK45" i="58"/>
  <c r="CF45" i="58"/>
  <c r="CG45" i="58" s="1"/>
  <c r="BV45" i="58"/>
  <c r="BU45" i="58"/>
  <c r="BP45" i="58"/>
  <c r="BL45" i="58"/>
  <c r="BK45" i="58"/>
  <c r="BG45" i="58"/>
  <c r="BH45" i="58" s="1"/>
  <c r="CM44" i="58"/>
  <c r="CK44" i="58"/>
  <c r="CF44" i="58"/>
  <c r="CG44" i="58" s="1"/>
  <c r="BV44" i="58"/>
  <c r="BU44" i="58"/>
  <c r="BS44" i="58"/>
  <c r="BP44" i="58"/>
  <c r="BL44" i="58"/>
  <c r="BK44" i="58"/>
  <c r="BG44" i="58"/>
  <c r="BH44" i="58" s="1"/>
  <c r="BC44" i="58"/>
  <c r="BD44" i="58" s="1"/>
  <c r="CM93" i="58"/>
  <c r="CK93" i="58"/>
  <c r="CF93" i="58"/>
  <c r="CG93" i="58" s="1"/>
  <c r="BV93" i="58"/>
  <c r="BU93" i="58"/>
  <c r="BS93" i="58"/>
  <c r="BP93" i="58"/>
  <c r="BL93" i="58"/>
  <c r="BK93" i="58"/>
  <c r="BG93" i="58"/>
  <c r="BH93" i="58" s="1"/>
  <c r="BC93" i="58"/>
  <c r="CM153" i="58"/>
  <c r="CK153" i="58"/>
  <c r="CF153" i="58"/>
  <c r="CG153" i="58" s="1"/>
  <c r="BV153" i="58"/>
  <c r="BU153" i="58"/>
  <c r="BS153" i="58"/>
  <c r="BP153" i="58"/>
  <c r="BL153" i="58"/>
  <c r="BK153" i="58"/>
  <c r="BG153" i="58"/>
  <c r="BH153" i="58" s="1"/>
  <c r="BC153" i="58"/>
  <c r="BD153" i="58" s="1"/>
  <c r="CM112" i="58"/>
  <c r="CK112" i="58"/>
  <c r="CF112" i="58"/>
  <c r="CG112" i="58" s="1"/>
  <c r="BV112" i="58"/>
  <c r="BU112" i="58"/>
  <c r="BS112" i="58"/>
  <c r="BP112" i="58"/>
  <c r="BL112" i="58"/>
  <c r="BK112" i="58"/>
  <c r="BG112" i="58"/>
  <c r="BH112" i="58" s="1"/>
  <c r="BC112" i="58"/>
  <c r="CM102" i="58"/>
  <c r="CK102" i="58"/>
  <c r="CF102" i="58"/>
  <c r="CG102" i="58" s="1"/>
  <c r="BV102" i="58"/>
  <c r="BU102" i="58"/>
  <c r="BS102" i="58"/>
  <c r="BP102" i="58"/>
  <c r="BL102" i="58"/>
  <c r="BK102" i="58"/>
  <c r="BG102" i="58"/>
  <c r="BH102" i="58" s="1"/>
  <c r="BC102" i="58"/>
  <c r="BD102" i="58" s="1"/>
  <c r="CM98" i="58"/>
  <c r="CK98" i="58"/>
  <c r="CF98" i="58"/>
  <c r="CG98" i="58" s="1"/>
  <c r="BV98" i="58"/>
  <c r="BU98" i="58"/>
  <c r="BS98" i="58"/>
  <c r="BP98" i="58"/>
  <c r="BL98" i="58"/>
  <c r="BK98" i="58"/>
  <c r="BG98" i="58"/>
  <c r="BH98" i="58" s="1"/>
  <c r="BC98" i="58"/>
  <c r="CM95" i="58"/>
  <c r="CK95" i="58"/>
  <c r="CF95" i="58"/>
  <c r="CG95" i="58" s="1"/>
  <c r="BV95" i="58"/>
  <c r="BU95" i="58"/>
  <c r="BS95" i="58"/>
  <c r="BP95" i="58"/>
  <c r="BL95" i="58"/>
  <c r="BK95" i="58"/>
  <c r="BG95" i="58"/>
  <c r="BH95" i="58" s="1"/>
  <c r="BC95" i="58"/>
  <c r="BD95" i="58" s="1"/>
  <c r="CM85" i="58"/>
  <c r="CK85" i="58"/>
  <c r="CF85" i="58"/>
  <c r="CG85" i="58" s="1"/>
  <c r="BV85" i="58"/>
  <c r="BU85" i="58"/>
  <c r="BS85" i="58"/>
  <c r="BP85" i="58"/>
  <c r="BL85" i="58"/>
  <c r="BK85" i="58"/>
  <c r="BG85" i="58"/>
  <c r="BH85" i="58" s="1"/>
  <c r="CM66" i="58"/>
  <c r="CK66" i="58"/>
  <c r="CF66" i="58"/>
  <c r="CG66" i="58" s="1"/>
  <c r="BV66" i="58"/>
  <c r="BU66" i="58"/>
  <c r="BS66" i="58"/>
  <c r="BP66" i="58"/>
  <c r="BL66" i="58"/>
  <c r="BK66" i="58"/>
  <c r="BG66" i="58"/>
  <c r="BH66" i="58" s="1"/>
  <c r="BC66" i="58"/>
  <c r="BD66" i="58" s="1"/>
  <c r="CM110" i="58"/>
  <c r="CK110" i="58"/>
  <c r="CF110" i="58"/>
  <c r="CG110" i="58" s="1"/>
  <c r="BV110" i="58"/>
  <c r="BU110" i="58"/>
  <c r="BS110" i="58"/>
  <c r="BP110" i="58"/>
  <c r="BL110" i="58"/>
  <c r="BK110" i="58"/>
  <c r="BG110" i="58"/>
  <c r="BH110" i="58" s="1"/>
  <c r="BC110" i="58"/>
  <c r="CM108" i="58"/>
  <c r="CK108" i="58"/>
  <c r="CF108" i="58"/>
  <c r="CG108" i="58" s="1"/>
  <c r="BV108" i="58"/>
  <c r="BU108" i="58"/>
  <c r="BS108" i="58"/>
  <c r="BP108" i="58"/>
  <c r="BL108" i="58"/>
  <c r="BK108" i="58"/>
  <c r="BG108" i="58"/>
  <c r="BH108" i="58" s="1"/>
  <c r="BC108" i="58"/>
  <c r="BD108" i="58" s="1"/>
  <c r="CM109" i="58"/>
  <c r="CK109" i="58"/>
  <c r="CF109" i="58"/>
  <c r="CG109" i="58" s="1"/>
  <c r="BV109" i="58"/>
  <c r="BU109" i="58"/>
  <c r="BS109" i="58"/>
  <c r="BP109" i="58"/>
  <c r="BL109" i="58"/>
  <c r="BK109" i="58"/>
  <c r="BG109" i="58"/>
  <c r="BH109" i="58" s="1"/>
  <c r="BC109" i="58"/>
  <c r="CM111" i="58"/>
  <c r="CK111" i="58"/>
  <c r="CF111" i="58"/>
  <c r="CG111" i="58" s="1"/>
  <c r="BV111" i="58"/>
  <c r="BU111" i="58"/>
  <c r="BS111" i="58"/>
  <c r="BP111" i="58"/>
  <c r="BL111" i="58"/>
  <c r="BK111" i="58"/>
  <c r="BG111" i="58"/>
  <c r="BH111" i="58" s="1"/>
  <c r="BC111" i="58"/>
  <c r="CM105" i="58"/>
  <c r="CK105" i="58"/>
  <c r="CF105" i="58"/>
  <c r="CG105" i="58" s="1"/>
  <c r="BV105" i="58"/>
  <c r="BU105" i="58"/>
  <c r="BS105" i="58"/>
  <c r="BP105" i="58"/>
  <c r="BL105" i="58"/>
  <c r="BK105" i="58"/>
  <c r="BG105" i="58"/>
  <c r="BH105" i="58" s="1"/>
  <c r="BC105" i="58"/>
  <c r="CM106" i="58"/>
  <c r="CK106" i="58"/>
  <c r="CF106" i="58"/>
  <c r="CG106" i="58" s="1"/>
  <c r="BV106" i="58"/>
  <c r="BU106" i="58"/>
  <c r="BS106" i="58"/>
  <c r="BP106" i="58"/>
  <c r="BL106" i="58"/>
  <c r="BK106" i="58"/>
  <c r="BG106" i="58"/>
  <c r="BH106" i="58" s="1"/>
  <c r="BC106" i="58"/>
  <c r="CM107" i="58"/>
  <c r="CK107" i="58"/>
  <c r="CF107" i="58"/>
  <c r="CG107" i="58" s="1"/>
  <c r="BV107" i="58"/>
  <c r="BU107" i="58"/>
  <c r="BS107" i="58"/>
  <c r="BP107" i="58"/>
  <c r="BL107" i="58"/>
  <c r="BK107" i="58"/>
  <c r="BG107" i="58"/>
  <c r="BH107" i="58" s="1"/>
  <c r="BC107" i="58"/>
  <c r="CM103" i="58"/>
  <c r="CK103" i="58"/>
  <c r="CF103" i="58"/>
  <c r="CG103" i="58" s="1"/>
  <c r="BV103" i="58"/>
  <c r="BU103" i="58"/>
  <c r="BS103" i="58"/>
  <c r="BP103" i="58"/>
  <c r="BL103" i="58"/>
  <c r="BK103" i="58"/>
  <c r="BG103" i="58"/>
  <c r="BH103" i="58" s="1"/>
  <c r="BC103" i="58"/>
  <c r="CM60" i="58"/>
  <c r="CK60" i="58"/>
  <c r="CF60" i="58"/>
  <c r="CG60" i="58" s="1"/>
  <c r="BV60" i="58"/>
  <c r="BU60" i="58"/>
  <c r="BS60" i="58"/>
  <c r="BP60" i="58"/>
  <c r="BL60" i="58"/>
  <c r="BK60" i="58"/>
  <c r="BG60" i="58"/>
  <c r="BH60" i="58" s="1"/>
  <c r="BC60" i="58"/>
  <c r="BD60" i="58" s="1"/>
  <c r="CM58" i="58"/>
  <c r="CK58" i="58"/>
  <c r="CF58" i="58"/>
  <c r="CG58" i="58" s="1"/>
  <c r="BV58" i="58"/>
  <c r="BU58" i="58"/>
  <c r="BS58" i="58"/>
  <c r="BP58" i="58"/>
  <c r="BL58" i="58"/>
  <c r="BK58" i="58"/>
  <c r="BG58" i="58"/>
  <c r="BH58" i="58" s="1"/>
  <c r="BC58" i="58"/>
  <c r="CM57" i="58"/>
  <c r="CK57" i="58"/>
  <c r="CF57" i="58"/>
  <c r="CG57" i="58" s="1"/>
  <c r="BV57" i="58"/>
  <c r="BU57" i="58"/>
  <c r="BS57" i="58"/>
  <c r="BP57" i="58"/>
  <c r="BL57" i="58"/>
  <c r="BK57" i="58"/>
  <c r="BG57" i="58"/>
  <c r="BH57" i="58" s="1"/>
  <c r="BC57" i="58"/>
  <c r="BD57" i="58" s="1"/>
  <c r="CM56" i="58"/>
  <c r="CK56" i="58"/>
  <c r="CF56" i="58"/>
  <c r="CG56" i="58" s="1"/>
  <c r="BV56" i="58"/>
  <c r="BU56" i="58"/>
  <c r="BS56" i="58"/>
  <c r="BP56" i="58"/>
  <c r="BL56" i="58"/>
  <c r="BK56" i="58"/>
  <c r="BG56" i="58"/>
  <c r="BH56" i="58" s="1"/>
  <c r="BC56" i="58"/>
  <c r="CM8" i="58"/>
  <c r="CK8" i="58"/>
  <c r="CF8" i="58"/>
  <c r="CG8" i="58" s="1"/>
  <c r="BV8" i="58"/>
  <c r="BU8" i="58"/>
  <c r="BS8" i="58"/>
  <c r="BP8" i="58"/>
  <c r="BL8" i="58"/>
  <c r="BK8" i="58"/>
  <c r="BG8" i="58"/>
  <c r="BH8" i="58" s="1"/>
  <c r="BC8" i="58"/>
  <c r="BD8" i="58" s="1"/>
  <c r="CM101" i="58"/>
  <c r="CK101" i="58"/>
  <c r="CF101" i="58"/>
  <c r="CG101" i="58" s="1"/>
  <c r="BV101" i="58"/>
  <c r="BU101" i="58"/>
  <c r="BS101" i="58"/>
  <c r="BP101" i="58"/>
  <c r="BL101" i="58"/>
  <c r="BK101" i="58"/>
  <c r="BG101" i="58"/>
  <c r="BH101" i="58" s="1"/>
  <c r="BC101" i="58"/>
  <c r="CM62" i="58"/>
  <c r="CK62" i="58"/>
  <c r="CF62" i="58"/>
  <c r="CG62" i="58" s="1"/>
  <c r="BV62" i="58"/>
  <c r="BU62" i="58"/>
  <c r="BS62" i="58"/>
  <c r="BP62" i="58"/>
  <c r="BL62" i="58"/>
  <c r="BK62" i="58"/>
  <c r="BG62" i="58"/>
  <c r="BH62" i="58" s="1"/>
  <c r="BC62" i="58"/>
  <c r="BD62" i="58" s="1"/>
  <c r="CM61" i="58"/>
  <c r="CK61" i="58"/>
  <c r="CF61" i="58"/>
  <c r="CG61" i="58" s="1"/>
  <c r="BV61" i="58"/>
  <c r="BU61" i="58"/>
  <c r="BS61" i="58"/>
  <c r="BP61" i="58"/>
  <c r="BL61" i="58"/>
  <c r="BK61" i="58"/>
  <c r="BG61" i="58"/>
  <c r="BH61" i="58" s="1"/>
  <c r="BC61" i="58"/>
  <c r="CM104" i="58"/>
  <c r="CK104" i="58"/>
  <c r="CF104" i="58"/>
  <c r="CG104" i="58" s="1"/>
  <c r="BV104" i="58"/>
  <c r="BU104" i="58"/>
  <c r="BS104" i="58"/>
  <c r="BP104" i="58"/>
  <c r="BL104" i="58"/>
  <c r="BK104" i="58"/>
  <c r="BG104" i="58"/>
  <c r="BH104" i="58" s="1"/>
  <c r="BC104" i="58"/>
  <c r="BD104" i="58" s="1"/>
  <c r="CM97" i="58"/>
  <c r="CK97" i="58"/>
  <c r="CF97" i="58"/>
  <c r="CG97" i="58" s="1"/>
  <c r="BV97" i="58"/>
  <c r="BU97" i="58"/>
  <c r="BS97" i="58"/>
  <c r="BP97" i="58"/>
  <c r="BL97" i="58"/>
  <c r="BK97" i="58"/>
  <c r="BG97" i="58"/>
  <c r="BH97" i="58" s="1"/>
  <c r="BC97" i="58"/>
  <c r="CM94" i="58"/>
  <c r="CK94" i="58"/>
  <c r="CF94" i="58"/>
  <c r="CG94" i="58" s="1"/>
  <c r="BV94" i="58"/>
  <c r="BU94" i="58"/>
  <c r="BS94" i="58"/>
  <c r="BP94" i="58"/>
  <c r="BL94" i="58"/>
  <c r="BK94" i="58"/>
  <c r="BG94" i="58"/>
  <c r="BH94" i="58" s="1"/>
  <c r="BC94" i="58"/>
  <c r="BD94" i="58" s="1"/>
  <c r="CM92" i="58"/>
  <c r="CK92" i="58"/>
  <c r="CF92" i="58"/>
  <c r="CG92" i="58" s="1"/>
  <c r="BV92" i="58"/>
  <c r="BU92" i="58"/>
  <c r="BS92" i="58"/>
  <c r="BP92" i="58"/>
  <c r="BL92" i="58"/>
  <c r="BK92" i="58"/>
  <c r="BG92" i="58"/>
  <c r="BH92" i="58" s="1"/>
  <c r="BC92" i="58"/>
  <c r="CM91" i="58"/>
  <c r="CK91" i="58"/>
  <c r="CF91" i="58"/>
  <c r="CG91" i="58" s="1"/>
  <c r="BV91" i="58"/>
  <c r="BU91" i="58"/>
  <c r="BS91" i="58"/>
  <c r="BP91" i="58"/>
  <c r="BL91" i="58"/>
  <c r="BK91" i="58"/>
  <c r="BG91" i="58"/>
  <c r="BH91" i="58" s="1"/>
  <c r="BC91" i="58"/>
  <c r="BD91" i="58" s="1"/>
  <c r="CM90" i="58"/>
  <c r="CK90" i="58"/>
  <c r="CF90" i="58"/>
  <c r="CG90" i="58" s="1"/>
  <c r="BV90" i="58"/>
  <c r="BU90" i="58"/>
  <c r="BS90" i="58"/>
  <c r="BP90" i="58"/>
  <c r="BL90" i="58"/>
  <c r="BK90" i="58"/>
  <c r="BG90" i="58"/>
  <c r="BH90" i="58" s="1"/>
  <c r="BC90" i="58"/>
  <c r="CM89" i="58"/>
  <c r="CK89" i="58"/>
  <c r="CF89" i="58"/>
  <c r="CG89" i="58" s="1"/>
  <c r="BV89" i="58"/>
  <c r="BU89" i="58"/>
  <c r="BS89" i="58"/>
  <c r="BP89" i="58"/>
  <c r="BL89" i="58"/>
  <c r="BK89" i="58"/>
  <c r="BG89" i="58"/>
  <c r="BH89" i="58" s="1"/>
  <c r="BC89" i="58"/>
  <c r="BD89" i="58" s="1"/>
  <c r="CM88" i="58"/>
  <c r="CK88" i="58"/>
  <c r="CF88" i="58"/>
  <c r="CG88" i="58" s="1"/>
  <c r="BV88" i="58"/>
  <c r="BU88" i="58"/>
  <c r="BS88" i="58"/>
  <c r="BP88" i="58"/>
  <c r="BL88" i="58"/>
  <c r="BK88" i="58"/>
  <c r="BG88" i="58"/>
  <c r="BH88" i="58" s="1"/>
  <c r="BC88" i="58"/>
  <c r="CM87" i="58"/>
  <c r="CK87" i="58"/>
  <c r="CF87" i="58"/>
  <c r="CG87" i="58" s="1"/>
  <c r="BV87" i="58"/>
  <c r="BU87" i="58"/>
  <c r="BS87" i="58"/>
  <c r="BP87" i="58"/>
  <c r="BL87" i="58"/>
  <c r="BK87" i="58"/>
  <c r="BG87" i="58"/>
  <c r="BH87" i="58" s="1"/>
  <c r="BC87" i="58"/>
  <c r="BD87" i="58" s="1"/>
  <c r="CM86" i="58"/>
  <c r="CK86" i="58"/>
  <c r="CF86" i="58"/>
  <c r="CG86" i="58" s="1"/>
  <c r="BV86" i="58"/>
  <c r="BU86" i="58"/>
  <c r="BS86" i="58"/>
  <c r="BP86" i="58"/>
  <c r="BL86" i="58"/>
  <c r="BK86" i="58"/>
  <c r="BG86" i="58"/>
  <c r="BH86" i="58" s="1"/>
  <c r="BC86" i="58"/>
  <c r="CM82" i="58"/>
  <c r="CK82" i="58"/>
  <c r="CF82" i="58"/>
  <c r="CG82" i="58" s="1"/>
  <c r="BV82" i="58"/>
  <c r="BU82" i="58"/>
  <c r="BS82" i="58"/>
  <c r="BP82" i="58"/>
  <c r="BL82" i="58"/>
  <c r="BK82" i="58"/>
  <c r="BG82" i="58"/>
  <c r="BH82" i="58" s="1"/>
  <c r="BC82" i="58"/>
  <c r="BD82" i="58" s="1"/>
  <c r="CM15" i="58"/>
  <c r="CK15" i="58"/>
  <c r="CF15" i="58"/>
  <c r="CG15" i="58" s="1"/>
  <c r="BV15" i="58"/>
  <c r="BU15" i="58"/>
  <c r="BS15" i="58"/>
  <c r="BP15" i="58"/>
  <c r="BL15" i="58"/>
  <c r="BK15" i="58"/>
  <c r="BG15" i="58"/>
  <c r="BH15" i="58" s="1"/>
  <c r="BC15" i="58"/>
  <c r="CM14" i="58"/>
  <c r="CK14" i="58"/>
  <c r="CF14" i="58"/>
  <c r="CG14" i="58" s="1"/>
  <c r="BV14" i="58"/>
  <c r="BU14" i="58"/>
  <c r="BS14" i="58"/>
  <c r="BP14" i="58"/>
  <c r="BL14" i="58"/>
  <c r="BK14" i="58"/>
  <c r="BG14" i="58"/>
  <c r="BH14" i="58" s="1"/>
  <c r="BC14" i="58"/>
  <c r="BD14" i="58" s="1"/>
  <c r="CM13" i="58"/>
  <c r="CK13" i="58"/>
  <c r="CF13" i="58"/>
  <c r="CG13" i="58" s="1"/>
  <c r="BV13" i="58"/>
  <c r="BU13" i="58"/>
  <c r="BS13" i="58"/>
  <c r="BP13" i="58"/>
  <c r="BL13" i="58"/>
  <c r="BK13" i="58"/>
  <c r="BG13" i="58"/>
  <c r="BH13" i="58" s="1"/>
  <c r="BC13" i="58"/>
  <c r="CM5" i="58"/>
  <c r="CK5" i="58"/>
  <c r="CF5" i="58"/>
  <c r="CG5" i="58" s="1"/>
  <c r="BV5" i="58"/>
  <c r="BU5" i="58"/>
  <c r="BS5" i="58"/>
  <c r="BP5" i="58"/>
  <c r="BL5" i="58"/>
  <c r="BK5" i="58"/>
  <c r="BG5" i="58"/>
  <c r="BH5" i="58" s="1"/>
  <c r="BC5" i="58"/>
  <c r="BD5" i="58" s="1"/>
  <c r="CM6" i="58"/>
  <c r="CK6" i="58"/>
  <c r="CF6" i="58"/>
  <c r="CG6" i="58" s="1"/>
  <c r="BV6" i="58"/>
  <c r="BU6" i="58"/>
  <c r="BS6" i="58"/>
  <c r="BP6" i="58"/>
  <c r="BL6" i="58"/>
  <c r="BK6" i="58"/>
  <c r="BG6" i="58"/>
  <c r="BH6" i="58" s="1"/>
  <c r="BC6" i="58"/>
  <c r="CM152" i="58"/>
  <c r="CK152" i="58"/>
  <c r="CF152" i="58"/>
  <c r="CG152" i="58" s="1"/>
  <c r="BV152" i="58"/>
  <c r="BU152" i="58"/>
  <c r="BS152" i="58"/>
  <c r="BP152" i="58"/>
  <c r="BL152" i="58"/>
  <c r="BK152" i="58"/>
  <c r="BG152" i="58"/>
  <c r="BH152" i="58" s="1"/>
  <c r="BC152" i="58"/>
  <c r="BD152" i="58" s="1"/>
  <c r="CM151" i="58"/>
  <c r="CK151" i="58"/>
  <c r="CF151" i="58"/>
  <c r="CG151" i="58" s="1"/>
  <c r="BV151" i="58"/>
  <c r="BU151" i="58"/>
  <c r="BS151" i="58"/>
  <c r="BP151" i="58"/>
  <c r="BL151" i="58"/>
  <c r="BK151" i="58"/>
  <c r="BG151" i="58"/>
  <c r="BH151" i="58" s="1"/>
  <c r="BC151" i="58"/>
  <c r="CM100" i="58"/>
  <c r="CK100" i="58"/>
  <c r="CF100" i="58"/>
  <c r="CG100" i="58" s="1"/>
  <c r="BV100" i="58"/>
  <c r="BU100" i="58"/>
  <c r="BS100" i="58"/>
  <c r="BP100" i="58"/>
  <c r="BL100" i="58"/>
  <c r="BK100" i="58"/>
  <c r="BG100" i="58"/>
  <c r="BH100" i="58" s="1"/>
  <c r="BC100" i="58"/>
  <c r="CM99" i="58"/>
  <c r="CK99" i="58"/>
  <c r="CF99" i="58"/>
  <c r="CG99" i="58" s="1"/>
  <c r="BV99" i="58"/>
  <c r="BU99" i="58"/>
  <c r="BS99" i="58"/>
  <c r="BP99" i="58"/>
  <c r="BL99" i="58"/>
  <c r="BK99" i="58"/>
  <c r="BG99" i="58"/>
  <c r="BH99" i="58" s="1"/>
  <c r="BC99" i="58"/>
  <c r="BD99" i="58" s="1"/>
  <c r="CM96" i="58"/>
  <c r="CK96" i="58"/>
  <c r="CF96" i="58"/>
  <c r="CG96" i="58" s="1"/>
  <c r="BV96" i="58"/>
  <c r="BU96" i="58"/>
  <c r="BS96" i="58"/>
  <c r="BP96" i="58"/>
  <c r="BL96" i="58"/>
  <c r="BK96" i="58"/>
  <c r="BG96" i="58"/>
  <c r="BH96" i="58" s="1"/>
  <c r="BC96" i="58"/>
  <c r="CM84" i="58"/>
  <c r="CK84" i="58"/>
  <c r="CF84" i="58"/>
  <c r="CG84" i="58" s="1"/>
  <c r="BV84" i="58"/>
  <c r="BU84" i="58"/>
  <c r="BS84" i="58"/>
  <c r="BP84" i="58"/>
  <c r="BL84" i="58"/>
  <c r="BK84" i="58"/>
  <c r="BG84" i="58"/>
  <c r="BH84" i="58" s="1"/>
  <c r="BC84" i="58"/>
  <c r="BD84" i="58" s="1"/>
  <c r="CM83" i="58"/>
  <c r="CK83" i="58"/>
  <c r="CF83" i="58"/>
  <c r="CG83" i="58" s="1"/>
  <c r="BV83" i="58"/>
  <c r="BU83" i="58"/>
  <c r="BS83" i="58"/>
  <c r="BP83" i="58"/>
  <c r="BL83" i="58"/>
  <c r="BK83" i="58"/>
  <c r="BG83" i="58"/>
  <c r="BH83" i="58" s="1"/>
  <c r="BC83" i="58"/>
  <c r="CM80" i="58"/>
  <c r="CK80" i="58"/>
  <c r="CF80" i="58"/>
  <c r="CG80" i="58" s="1"/>
  <c r="BV80" i="58"/>
  <c r="BU80" i="58"/>
  <c r="BS80" i="58"/>
  <c r="BP80" i="58"/>
  <c r="BL80" i="58"/>
  <c r="BK80" i="58"/>
  <c r="BG80" i="58"/>
  <c r="BH80" i="58" s="1"/>
  <c r="BC80" i="58"/>
  <c r="CM79" i="58"/>
  <c r="CK79" i="58"/>
  <c r="CF79" i="58"/>
  <c r="CG79" i="58" s="1"/>
  <c r="BV79" i="58"/>
  <c r="BU79" i="58"/>
  <c r="BS79" i="58"/>
  <c r="BP79" i="58"/>
  <c r="BL79" i="58"/>
  <c r="BK79" i="58"/>
  <c r="BG79" i="58"/>
  <c r="BH79" i="58" s="1"/>
  <c r="BC79" i="58"/>
  <c r="BD79" i="58" s="1"/>
  <c r="CM65" i="58"/>
  <c r="CK65" i="58"/>
  <c r="CF65" i="58"/>
  <c r="CG65" i="58" s="1"/>
  <c r="BV65" i="58"/>
  <c r="BU65" i="58"/>
  <c r="BS65" i="58"/>
  <c r="BP65" i="58"/>
  <c r="BL65" i="58"/>
  <c r="BK65" i="58"/>
  <c r="BG65" i="58"/>
  <c r="BH65" i="58" s="1"/>
  <c r="BC65" i="58"/>
  <c r="CM16" i="58"/>
  <c r="CK16" i="58"/>
  <c r="CF16" i="58"/>
  <c r="CG16" i="58" s="1"/>
  <c r="BV16" i="58"/>
  <c r="BU16" i="58"/>
  <c r="BS16" i="58"/>
  <c r="BP16" i="58"/>
  <c r="BL16" i="58"/>
  <c r="BK16" i="58"/>
  <c r="BG16" i="58"/>
  <c r="BH16" i="58" s="1"/>
  <c r="BC16" i="58"/>
  <c r="BD16" i="58" s="1"/>
  <c r="CM12" i="58"/>
  <c r="CK12" i="58"/>
  <c r="CF12" i="58"/>
  <c r="CG12" i="58" s="1"/>
  <c r="BV12" i="58"/>
  <c r="BU12" i="58"/>
  <c r="BS12" i="58"/>
  <c r="BP12" i="58"/>
  <c r="BL12" i="58"/>
  <c r="BK12" i="58"/>
  <c r="BG12" i="58"/>
  <c r="BH12" i="58" s="1"/>
  <c r="BC12" i="58"/>
  <c r="CM11" i="58"/>
  <c r="CK11" i="58"/>
  <c r="CF11" i="58"/>
  <c r="CG11" i="58" s="1"/>
  <c r="BV11" i="58"/>
  <c r="BU11" i="58"/>
  <c r="BS11" i="58"/>
  <c r="BP11" i="58"/>
  <c r="BL11" i="58"/>
  <c r="BK11" i="58"/>
  <c r="BG11" i="58"/>
  <c r="BH11" i="58" s="1"/>
  <c r="BC11" i="58"/>
  <c r="BD11" i="58" s="1"/>
  <c r="CM10" i="58"/>
  <c r="CK10" i="58"/>
  <c r="CF10" i="58"/>
  <c r="CG10" i="58" s="1"/>
  <c r="BV10" i="58"/>
  <c r="BU10" i="58"/>
  <c r="BS10" i="58"/>
  <c r="BP10" i="58"/>
  <c r="BL10" i="58"/>
  <c r="BK10" i="58"/>
  <c r="BG10" i="58"/>
  <c r="BH10" i="58" s="1"/>
  <c r="BC10" i="58"/>
  <c r="CM9" i="58"/>
  <c r="CK9" i="58"/>
  <c r="CF9" i="58"/>
  <c r="CG9" i="58" s="1"/>
  <c r="BV9" i="58"/>
  <c r="BU9" i="58"/>
  <c r="BS9" i="58"/>
  <c r="BP9" i="58"/>
  <c r="BL9" i="58"/>
  <c r="BK9" i="58"/>
  <c r="BG9" i="58"/>
  <c r="BH9" i="58" s="1"/>
  <c r="BC9" i="58"/>
  <c r="BD9" i="58" s="1"/>
  <c r="CM7" i="58"/>
  <c r="CK7" i="58"/>
  <c r="CF7" i="58"/>
  <c r="CG7" i="58" s="1"/>
  <c r="BV7" i="58"/>
  <c r="BU7" i="58"/>
  <c r="BS7" i="58"/>
  <c r="BP7" i="58"/>
  <c r="BL7" i="58"/>
  <c r="BK7" i="58"/>
  <c r="BG7" i="58"/>
  <c r="BH7" i="58" s="1"/>
  <c r="BC7" i="58"/>
  <c r="CM179" i="58"/>
  <c r="CK179" i="58"/>
  <c r="CF179" i="58"/>
  <c r="CG179" i="58" s="1"/>
  <c r="BV179" i="58"/>
  <c r="BU179" i="58"/>
  <c r="BS179" i="58"/>
  <c r="BP179" i="58"/>
  <c r="BL179" i="58"/>
  <c r="BK179" i="58"/>
  <c r="BG179" i="58"/>
  <c r="BH179" i="58" s="1"/>
  <c r="BC179" i="58"/>
  <c r="BD179" i="58" s="1"/>
  <c r="CM178" i="58"/>
  <c r="CK178" i="58"/>
  <c r="CF178" i="58"/>
  <c r="CG178" i="58" s="1"/>
  <c r="BV178" i="58"/>
  <c r="BU178" i="58"/>
  <c r="BS178" i="58"/>
  <c r="BP178" i="58"/>
  <c r="BL178" i="58"/>
  <c r="BK178" i="58"/>
  <c r="BG178" i="58"/>
  <c r="BH178" i="58" s="1"/>
  <c r="BC178" i="58"/>
  <c r="CM177" i="58"/>
  <c r="CK177" i="58"/>
  <c r="CF177" i="58"/>
  <c r="CG177" i="58" s="1"/>
  <c r="BV177" i="58"/>
  <c r="BU177" i="58"/>
  <c r="BS177" i="58"/>
  <c r="BP177" i="58"/>
  <c r="BL177" i="58"/>
  <c r="BK177" i="58"/>
  <c r="BG177" i="58"/>
  <c r="BH177" i="58" s="1"/>
  <c r="BC177" i="58"/>
  <c r="BD177" i="58" s="1"/>
  <c r="CM176" i="58"/>
  <c r="CK176" i="58"/>
  <c r="CF176" i="58"/>
  <c r="CG176" i="58" s="1"/>
  <c r="BV176" i="58"/>
  <c r="BU176" i="58"/>
  <c r="BS176" i="58"/>
  <c r="BP176" i="58"/>
  <c r="BL176" i="58"/>
  <c r="BK176" i="58"/>
  <c r="BG176" i="58"/>
  <c r="BH176" i="58" s="1"/>
  <c r="BC176" i="58"/>
  <c r="CM175" i="58"/>
  <c r="CK175" i="58"/>
  <c r="CF175" i="58"/>
  <c r="CG175" i="58" s="1"/>
  <c r="BV175" i="58"/>
  <c r="BU175" i="58"/>
  <c r="BS175" i="58"/>
  <c r="BP175" i="58"/>
  <c r="BL175" i="58"/>
  <c r="BK175" i="58"/>
  <c r="BG175" i="58"/>
  <c r="BH175" i="58" s="1"/>
  <c r="BC175" i="58"/>
  <c r="BD175" i="58" s="1"/>
  <c r="CM174" i="58"/>
  <c r="CK174" i="58"/>
  <c r="CF174" i="58"/>
  <c r="CG174" i="58" s="1"/>
  <c r="BV174" i="58"/>
  <c r="BU174" i="58"/>
  <c r="BS174" i="58"/>
  <c r="BP174" i="58"/>
  <c r="BL174" i="58"/>
  <c r="BK174" i="58"/>
  <c r="BG174" i="58"/>
  <c r="BH174" i="58" s="1"/>
  <c r="BC174" i="58"/>
  <c r="CM173" i="58"/>
  <c r="CK173" i="58"/>
  <c r="CF173" i="58"/>
  <c r="CG173" i="58" s="1"/>
  <c r="BV173" i="58"/>
  <c r="BU173" i="58"/>
  <c r="BS173" i="58"/>
  <c r="BP173" i="58"/>
  <c r="BL173" i="58"/>
  <c r="BK173" i="58"/>
  <c r="BG173" i="58"/>
  <c r="BH173" i="58" s="1"/>
  <c r="BC173" i="58"/>
  <c r="BD173" i="58" s="1"/>
  <c r="CM172" i="58"/>
  <c r="CK172" i="58"/>
  <c r="CF172" i="58"/>
  <c r="CG172" i="58" s="1"/>
  <c r="BV172" i="58"/>
  <c r="BU172" i="58"/>
  <c r="BS172" i="58"/>
  <c r="BP172" i="58"/>
  <c r="BL172" i="58"/>
  <c r="BK172" i="58"/>
  <c r="BG172" i="58"/>
  <c r="BH172" i="58" s="1"/>
  <c r="BC172" i="58"/>
  <c r="CM171" i="58"/>
  <c r="CK171" i="58"/>
  <c r="CF171" i="58"/>
  <c r="CG171" i="58" s="1"/>
  <c r="BV171" i="58"/>
  <c r="BU171" i="58"/>
  <c r="BS171" i="58"/>
  <c r="BP171" i="58"/>
  <c r="BL171" i="58"/>
  <c r="BK171" i="58"/>
  <c r="BG171" i="58"/>
  <c r="BH171" i="58" s="1"/>
  <c r="BC171" i="58"/>
  <c r="BD171" i="58" s="1"/>
  <c r="CM170" i="58"/>
  <c r="CK170" i="58"/>
  <c r="CF170" i="58"/>
  <c r="CG170" i="58" s="1"/>
  <c r="BV170" i="58"/>
  <c r="BU170" i="58"/>
  <c r="BS170" i="58"/>
  <c r="BP170" i="58"/>
  <c r="BL170" i="58"/>
  <c r="BK170" i="58"/>
  <c r="BG170" i="58"/>
  <c r="BH170" i="58" s="1"/>
  <c r="BC170" i="58"/>
  <c r="CM169" i="58"/>
  <c r="CK169" i="58"/>
  <c r="CF169" i="58"/>
  <c r="CG169" i="58" s="1"/>
  <c r="BV169" i="58"/>
  <c r="BU169" i="58"/>
  <c r="BS169" i="58"/>
  <c r="BP169" i="58"/>
  <c r="BL169" i="58"/>
  <c r="BK169" i="58"/>
  <c r="BG169" i="58"/>
  <c r="BH169" i="58" s="1"/>
  <c r="BC169" i="58"/>
  <c r="BD169" i="58" s="1"/>
  <c r="CM168" i="58"/>
  <c r="CK168" i="58"/>
  <c r="CF168" i="58"/>
  <c r="CG168" i="58" s="1"/>
  <c r="BV168" i="58"/>
  <c r="BU168" i="58"/>
  <c r="BS168" i="58"/>
  <c r="BP168" i="58"/>
  <c r="BL168" i="58"/>
  <c r="BK168" i="58"/>
  <c r="BG168" i="58"/>
  <c r="BH168" i="58" s="1"/>
  <c r="BC168" i="58"/>
  <c r="CM167" i="58"/>
  <c r="CK167" i="58"/>
  <c r="CF167" i="58"/>
  <c r="CG167" i="58" s="1"/>
  <c r="BV167" i="58"/>
  <c r="BU167" i="58"/>
  <c r="BS167" i="58"/>
  <c r="BP167" i="58"/>
  <c r="BL167" i="58"/>
  <c r="BK167" i="58"/>
  <c r="BG167" i="58"/>
  <c r="BH167" i="58" s="1"/>
  <c r="BC167" i="58"/>
  <c r="BD167" i="58" s="1"/>
  <c r="CM166" i="58"/>
  <c r="CK166" i="58"/>
  <c r="CF166" i="58"/>
  <c r="CG166" i="58" s="1"/>
  <c r="BV166" i="58"/>
  <c r="BU166" i="58"/>
  <c r="BS166" i="58"/>
  <c r="BP166" i="58"/>
  <c r="BL166" i="58"/>
  <c r="BK166" i="58"/>
  <c r="BG166" i="58"/>
  <c r="BH166" i="58" s="1"/>
  <c r="BC166" i="58"/>
  <c r="CM165" i="58"/>
  <c r="CK165" i="58"/>
  <c r="CF165" i="58"/>
  <c r="CG165" i="58" s="1"/>
  <c r="BV165" i="58"/>
  <c r="BU165" i="58"/>
  <c r="BS165" i="58"/>
  <c r="BP165" i="58"/>
  <c r="BL165" i="58"/>
  <c r="BK165" i="58"/>
  <c r="BG165" i="58"/>
  <c r="BH165" i="58" s="1"/>
  <c r="BC165" i="58"/>
  <c r="BD165" i="58" s="1"/>
  <c r="CM164" i="58"/>
  <c r="CK164" i="58"/>
  <c r="CF164" i="58"/>
  <c r="CG164" i="58" s="1"/>
  <c r="BV164" i="58"/>
  <c r="BU164" i="58"/>
  <c r="BS164" i="58"/>
  <c r="BP164" i="58"/>
  <c r="BL164" i="58"/>
  <c r="BK164" i="58"/>
  <c r="BG164" i="58"/>
  <c r="BH164" i="58" s="1"/>
  <c r="BC164" i="58"/>
  <c r="CM163" i="58"/>
  <c r="CK163" i="58"/>
  <c r="CF163" i="58"/>
  <c r="CG163" i="58" s="1"/>
  <c r="BV163" i="58"/>
  <c r="BU163" i="58"/>
  <c r="BS163" i="58"/>
  <c r="BP163" i="58"/>
  <c r="BL163" i="58"/>
  <c r="BK163" i="58"/>
  <c r="BG163" i="58"/>
  <c r="BH163" i="58" s="1"/>
  <c r="BC163" i="58"/>
  <c r="BD163" i="58" s="1"/>
  <c r="CM162" i="58"/>
  <c r="CK162" i="58"/>
  <c r="CF162" i="58"/>
  <c r="CG162" i="58" s="1"/>
  <c r="BV162" i="58"/>
  <c r="BU162" i="58"/>
  <c r="BS162" i="58"/>
  <c r="BP162" i="58"/>
  <c r="BL162" i="58"/>
  <c r="BK162" i="58"/>
  <c r="BG162" i="58"/>
  <c r="BH162" i="58" s="1"/>
  <c r="BC162" i="58"/>
  <c r="CM161" i="58"/>
  <c r="CK161" i="58"/>
  <c r="CF161" i="58"/>
  <c r="CG161" i="58" s="1"/>
  <c r="BV161" i="58"/>
  <c r="BU161" i="58"/>
  <c r="BS161" i="58"/>
  <c r="BP161" i="58"/>
  <c r="BL161" i="58"/>
  <c r="BK161" i="58"/>
  <c r="BG161" i="58"/>
  <c r="BH161" i="58" s="1"/>
  <c r="BC161" i="58"/>
  <c r="BD161" i="58" s="1"/>
  <c r="CM160" i="58"/>
  <c r="CK160" i="58"/>
  <c r="CF160" i="58"/>
  <c r="CG160" i="58" s="1"/>
  <c r="BV160" i="58"/>
  <c r="BU160" i="58"/>
  <c r="BS160" i="58"/>
  <c r="BP160" i="58"/>
  <c r="BL160" i="58"/>
  <c r="BK160" i="58"/>
  <c r="BG160" i="58"/>
  <c r="BH160" i="58" s="1"/>
  <c r="BC160" i="58"/>
  <c r="CM159" i="58"/>
  <c r="CK159" i="58"/>
  <c r="CF159" i="58"/>
  <c r="CG159" i="58" s="1"/>
  <c r="BV159" i="58"/>
  <c r="BU159" i="58"/>
  <c r="BS159" i="58"/>
  <c r="BP159" i="58"/>
  <c r="BL159" i="58"/>
  <c r="BK159" i="58"/>
  <c r="BG159" i="58"/>
  <c r="BH159" i="58" s="1"/>
  <c r="BC159" i="58"/>
  <c r="BD159" i="58" s="1"/>
  <c r="CM158" i="58"/>
  <c r="CK158" i="58"/>
  <c r="CF158" i="58"/>
  <c r="CG158" i="58" s="1"/>
  <c r="BV158" i="58"/>
  <c r="BU158" i="58"/>
  <c r="BS158" i="58"/>
  <c r="BP158" i="58"/>
  <c r="BL158" i="58"/>
  <c r="BK158" i="58"/>
  <c r="BG158" i="58"/>
  <c r="BH158" i="58" s="1"/>
  <c r="BC158" i="58"/>
  <c r="CM157" i="58"/>
  <c r="CK157" i="58"/>
  <c r="CF157" i="58"/>
  <c r="CG157" i="58" s="1"/>
  <c r="BV157" i="58"/>
  <c r="BU157" i="58"/>
  <c r="BS157" i="58"/>
  <c r="BP157" i="58"/>
  <c r="BL157" i="58"/>
  <c r="BK157" i="58"/>
  <c r="BG157" i="58"/>
  <c r="BH157" i="58" s="1"/>
  <c r="BC157" i="58"/>
  <c r="BD157" i="58" s="1"/>
  <c r="CM156" i="58"/>
  <c r="CK156" i="58"/>
  <c r="CF156" i="58"/>
  <c r="CG156" i="58" s="1"/>
  <c r="BV156" i="58"/>
  <c r="BU156" i="58"/>
  <c r="BS156" i="58"/>
  <c r="BP156" i="58"/>
  <c r="BL156" i="58"/>
  <c r="BK156" i="58"/>
  <c r="BG156" i="58"/>
  <c r="BH156" i="58" s="1"/>
  <c r="BC156" i="58"/>
  <c r="CM155" i="58"/>
  <c r="CK155" i="58"/>
  <c r="CF155" i="58"/>
  <c r="CG155" i="58" s="1"/>
  <c r="BV155" i="58"/>
  <c r="BU155" i="58"/>
  <c r="BS155" i="58"/>
  <c r="BP155" i="58"/>
  <c r="BL155" i="58"/>
  <c r="BK155" i="58"/>
  <c r="BG155" i="58"/>
  <c r="BH155" i="58" s="1"/>
  <c r="BC155" i="58"/>
  <c r="BD155" i="58" s="1"/>
  <c r="CM154" i="58"/>
  <c r="CK154" i="58"/>
  <c r="CF154" i="58"/>
  <c r="CG154" i="58" s="1"/>
  <c r="BV154" i="58"/>
  <c r="BU154" i="58"/>
  <c r="BS154" i="58"/>
  <c r="BP154" i="58"/>
  <c r="BL154" i="58"/>
  <c r="BK154" i="58"/>
  <c r="BG154" i="58"/>
  <c r="BH154" i="58" s="1"/>
  <c r="BC154" i="58"/>
  <c r="CM150" i="58"/>
  <c r="CK150" i="58"/>
  <c r="CF150" i="58"/>
  <c r="CG150" i="58" s="1"/>
  <c r="BV150" i="58"/>
  <c r="BU150" i="58"/>
  <c r="BS150" i="58"/>
  <c r="BP150" i="58"/>
  <c r="BL150" i="58"/>
  <c r="BK150" i="58"/>
  <c r="BG150" i="58"/>
  <c r="BH150" i="58" s="1"/>
  <c r="BC150" i="58"/>
  <c r="BD150" i="58" s="1"/>
  <c r="CM149" i="58"/>
  <c r="CK149" i="58"/>
  <c r="CF149" i="58"/>
  <c r="CG149" i="58" s="1"/>
  <c r="BV149" i="58"/>
  <c r="BU149" i="58"/>
  <c r="BS149" i="58"/>
  <c r="BP149" i="58"/>
  <c r="BL149" i="58"/>
  <c r="BK149" i="58"/>
  <c r="BG149" i="58"/>
  <c r="BH149" i="58" s="1"/>
  <c r="BC149" i="58"/>
  <c r="CM148" i="58"/>
  <c r="CK148" i="58"/>
  <c r="CF148" i="58"/>
  <c r="CG148" i="58" s="1"/>
  <c r="BV148" i="58"/>
  <c r="BU148" i="58"/>
  <c r="BS148" i="58"/>
  <c r="BP148" i="58"/>
  <c r="BL148" i="58"/>
  <c r="BK148" i="58"/>
  <c r="BG148" i="58"/>
  <c r="BH148" i="58" s="1"/>
  <c r="BC148" i="58"/>
  <c r="BD148" i="58" s="1"/>
  <c r="CM141" i="58"/>
  <c r="CK141" i="58"/>
  <c r="CF141" i="58"/>
  <c r="CG141" i="58" s="1"/>
  <c r="BV141" i="58"/>
  <c r="BU141" i="58"/>
  <c r="BS141" i="58"/>
  <c r="BP141" i="58"/>
  <c r="BL141" i="58"/>
  <c r="BK141" i="58"/>
  <c r="BG141" i="58"/>
  <c r="BH141" i="58" s="1"/>
  <c r="BC141" i="58"/>
  <c r="CM140" i="58"/>
  <c r="CK140" i="58"/>
  <c r="CF140" i="58"/>
  <c r="CG140" i="58" s="1"/>
  <c r="BV140" i="58"/>
  <c r="BU140" i="58"/>
  <c r="BS140" i="58"/>
  <c r="BP140" i="58"/>
  <c r="BL140" i="58"/>
  <c r="BK140" i="58"/>
  <c r="BG140" i="58"/>
  <c r="BH140" i="58" s="1"/>
  <c r="BC140" i="58"/>
  <c r="BD140" i="58" s="1"/>
  <c r="CM139" i="58"/>
  <c r="CK139" i="58"/>
  <c r="CF139" i="58"/>
  <c r="CG139" i="58" s="1"/>
  <c r="BV139" i="58"/>
  <c r="BU139" i="58"/>
  <c r="BS139" i="58"/>
  <c r="BP139" i="58"/>
  <c r="BL139" i="58"/>
  <c r="BK139" i="58"/>
  <c r="BG139" i="58"/>
  <c r="BH139" i="58" s="1"/>
  <c r="BC139" i="58"/>
  <c r="CM138" i="58"/>
  <c r="CK138" i="58"/>
  <c r="CF138" i="58"/>
  <c r="CG138" i="58" s="1"/>
  <c r="BV138" i="58"/>
  <c r="BU138" i="58"/>
  <c r="BS138" i="58"/>
  <c r="BP138" i="58"/>
  <c r="BL138" i="58"/>
  <c r="BK138" i="58"/>
  <c r="BG138" i="58"/>
  <c r="BH138" i="58" s="1"/>
  <c r="BC138" i="58"/>
  <c r="BD138" i="58" s="1"/>
  <c r="CM137" i="58"/>
  <c r="CK137" i="58"/>
  <c r="CF137" i="58"/>
  <c r="CG137" i="58" s="1"/>
  <c r="BV137" i="58"/>
  <c r="BU137" i="58"/>
  <c r="BS137" i="58"/>
  <c r="BP137" i="58"/>
  <c r="BL137" i="58"/>
  <c r="BK137" i="58"/>
  <c r="BG137" i="58"/>
  <c r="BH137" i="58" s="1"/>
  <c r="BC137" i="58"/>
  <c r="CM136" i="58"/>
  <c r="CK136" i="58"/>
  <c r="CF136" i="58"/>
  <c r="CG136" i="58" s="1"/>
  <c r="BV136" i="58"/>
  <c r="BU136" i="58"/>
  <c r="BS136" i="58"/>
  <c r="BP136" i="58"/>
  <c r="BL136" i="58"/>
  <c r="BK136" i="58"/>
  <c r="BG136" i="58"/>
  <c r="BH136" i="58" s="1"/>
  <c r="BC136" i="58"/>
  <c r="BD136" i="58" s="1"/>
  <c r="CM135" i="58"/>
  <c r="CK135" i="58"/>
  <c r="CF135" i="58"/>
  <c r="CG135" i="58" s="1"/>
  <c r="BV135" i="58"/>
  <c r="BU135" i="58"/>
  <c r="BS135" i="58"/>
  <c r="BP135" i="58"/>
  <c r="BL135" i="58"/>
  <c r="BK135" i="58"/>
  <c r="BG135" i="58"/>
  <c r="BH135" i="58" s="1"/>
  <c r="BC135" i="58"/>
  <c r="CM134" i="58"/>
  <c r="CK134" i="58"/>
  <c r="CF134" i="58"/>
  <c r="CG134" i="58" s="1"/>
  <c r="BV134" i="58"/>
  <c r="BU134" i="58"/>
  <c r="BS134" i="58"/>
  <c r="BP134" i="58"/>
  <c r="BL134" i="58"/>
  <c r="BK134" i="58"/>
  <c r="BG134" i="58"/>
  <c r="BH134" i="58" s="1"/>
  <c r="BC134" i="58"/>
  <c r="BD134" i="58" s="1"/>
  <c r="CM133" i="58"/>
  <c r="CK133" i="58"/>
  <c r="CF133" i="58"/>
  <c r="CG133" i="58" s="1"/>
  <c r="BV133" i="58"/>
  <c r="BU133" i="58"/>
  <c r="BS133" i="58"/>
  <c r="BP133" i="58"/>
  <c r="BL133" i="58"/>
  <c r="BK133" i="58"/>
  <c r="BG133" i="58"/>
  <c r="BH133" i="58" s="1"/>
  <c r="BC133" i="58"/>
  <c r="CM132" i="58"/>
  <c r="CK132" i="58"/>
  <c r="CF132" i="58"/>
  <c r="CG132" i="58" s="1"/>
  <c r="BV132" i="58"/>
  <c r="BU132" i="58"/>
  <c r="BS132" i="58"/>
  <c r="BP132" i="58"/>
  <c r="BL132" i="58"/>
  <c r="BK132" i="58"/>
  <c r="BG132" i="58"/>
  <c r="BH132" i="58" s="1"/>
  <c r="BC132" i="58"/>
  <c r="BD132" i="58" s="1"/>
  <c r="CM131" i="58"/>
  <c r="CK131" i="58"/>
  <c r="CF131" i="58"/>
  <c r="CG131" i="58" s="1"/>
  <c r="BV131" i="58"/>
  <c r="BU131" i="58"/>
  <c r="BS131" i="58"/>
  <c r="BP131" i="58"/>
  <c r="BL131" i="58"/>
  <c r="BK131" i="58"/>
  <c r="BG131" i="58"/>
  <c r="BH131" i="58" s="1"/>
  <c r="BC131" i="58"/>
  <c r="CM130" i="58"/>
  <c r="CK130" i="58"/>
  <c r="CF130" i="58"/>
  <c r="CG130" i="58" s="1"/>
  <c r="BV130" i="58"/>
  <c r="BU130" i="58"/>
  <c r="BS130" i="58"/>
  <c r="BP130" i="58"/>
  <c r="BL130" i="58"/>
  <c r="BK130" i="58"/>
  <c r="BG130" i="58"/>
  <c r="BH130" i="58" s="1"/>
  <c r="BC130" i="58"/>
  <c r="BD130" i="58" s="1"/>
  <c r="CM129" i="58"/>
  <c r="CK129" i="58"/>
  <c r="CF129" i="58"/>
  <c r="CG129" i="58" s="1"/>
  <c r="BV129" i="58"/>
  <c r="BU129" i="58"/>
  <c r="BS129" i="58"/>
  <c r="BP129" i="58"/>
  <c r="BL129" i="58"/>
  <c r="BK129" i="58"/>
  <c r="BG129" i="58"/>
  <c r="BH129" i="58" s="1"/>
  <c r="BC129" i="58"/>
  <c r="CM128" i="58"/>
  <c r="CK128" i="58"/>
  <c r="CF128" i="58"/>
  <c r="CG128" i="58" s="1"/>
  <c r="BV128" i="58"/>
  <c r="BU128" i="58"/>
  <c r="BS128" i="58"/>
  <c r="BP128" i="58"/>
  <c r="BL128" i="58"/>
  <c r="BK128" i="58"/>
  <c r="BG128" i="58"/>
  <c r="BH128" i="58" s="1"/>
  <c r="BC128" i="58"/>
  <c r="BD128" i="58" s="1"/>
  <c r="CM127" i="58"/>
  <c r="CK127" i="58"/>
  <c r="CF127" i="58"/>
  <c r="CG127" i="58" s="1"/>
  <c r="BV127" i="58"/>
  <c r="BU127" i="58"/>
  <c r="BS127" i="58"/>
  <c r="BP127" i="58"/>
  <c r="BL127" i="58"/>
  <c r="BK127" i="58"/>
  <c r="BG127" i="58"/>
  <c r="BH127" i="58" s="1"/>
  <c r="BC127" i="58"/>
  <c r="CM126" i="58"/>
  <c r="CK126" i="58"/>
  <c r="CF126" i="58"/>
  <c r="CG126" i="58" s="1"/>
  <c r="BV126" i="58"/>
  <c r="BU126" i="58"/>
  <c r="BS126" i="58"/>
  <c r="BP126" i="58"/>
  <c r="BL126" i="58"/>
  <c r="BK126" i="58"/>
  <c r="BG126" i="58"/>
  <c r="BH126" i="58" s="1"/>
  <c r="BC126" i="58"/>
  <c r="BD126" i="58" s="1"/>
  <c r="CM125" i="58"/>
  <c r="CK125" i="58"/>
  <c r="CF125" i="58"/>
  <c r="CG125" i="58" s="1"/>
  <c r="BV125" i="58"/>
  <c r="BU125" i="58"/>
  <c r="BS125" i="58"/>
  <c r="BP125" i="58"/>
  <c r="BL125" i="58"/>
  <c r="BK125" i="58"/>
  <c r="BG125" i="58"/>
  <c r="BH125" i="58" s="1"/>
  <c r="BC125" i="58"/>
  <c r="CM124" i="58"/>
  <c r="CK124" i="58"/>
  <c r="CF124" i="58"/>
  <c r="CG124" i="58" s="1"/>
  <c r="BV124" i="58"/>
  <c r="BU124" i="58"/>
  <c r="BS124" i="58"/>
  <c r="BP124" i="58"/>
  <c r="BL124" i="58"/>
  <c r="BK124" i="58"/>
  <c r="BG124" i="58"/>
  <c r="BH124" i="58" s="1"/>
  <c r="BC124" i="58"/>
  <c r="CM123" i="58"/>
  <c r="CK123" i="58"/>
  <c r="CF123" i="58"/>
  <c r="CG123" i="58" s="1"/>
  <c r="BV123" i="58"/>
  <c r="BU123" i="58"/>
  <c r="BS123" i="58"/>
  <c r="BP123" i="58"/>
  <c r="BL123" i="58"/>
  <c r="BK123" i="58"/>
  <c r="BG123" i="58"/>
  <c r="BH123" i="58" s="1"/>
  <c r="BC123" i="58"/>
  <c r="BD123" i="58" s="1"/>
  <c r="CM122" i="58"/>
  <c r="CK122" i="58"/>
  <c r="CF122" i="58"/>
  <c r="CG122" i="58" s="1"/>
  <c r="BV122" i="58"/>
  <c r="BU122" i="58"/>
  <c r="BS122" i="58"/>
  <c r="BP122" i="58"/>
  <c r="BL122" i="58"/>
  <c r="BK122" i="58"/>
  <c r="BG122" i="58"/>
  <c r="BH122" i="58" s="1"/>
  <c r="BC122" i="58"/>
  <c r="CM121" i="58"/>
  <c r="CK121" i="58"/>
  <c r="CF121" i="58"/>
  <c r="CG121" i="58" s="1"/>
  <c r="BV121" i="58"/>
  <c r="BU121" i="58"/>
  <c r="BS121" i="58"/>
  <c r="BP121" i="58"/>
  <c r="BL121" i="58"/>
  <c r="BK121" i="58"/>
  <c r="BG121" i="58"/>
  <c r="BH121" i="58" s="1"/>
  <c r="BC121" i="58"/>
  <c r="BD121" i="58" s="1"/>
  <c r="CM120" i="58"/>
  <c r="CK120" i="58"/>
  <c r="CF120" i="58"/>
  <c r="CG120" i="58" s="1"/>
  <c r="BV120" i="58"/>
  <c r="BU120" i="58"/>
  <c r="BS120" i="58"/>
  <c r="BP120" i="58"/>
  <c r="BL120" i="58"/>
  <c r="BK120" i="58"/>
  <c r="BG120" i="58"/>
  <c r="BH120" i="58" s="1"/>
  <c r="BC120" i="58"/>
  <c r="CM119" i="58"/>
  <c r="CK119" i="58"/>
  <c r="CF119" i="58"/>
  <c r="CG119" i="58" s="1"/>
  <c r="BV119" i="58"/>
  <c r="BU119" i="58"/>
  <c r="BS119" i="58"/>
  <c r="BP119" i="58"/>
  <c r="BL119" i="58"/>
  <c r="BK119" i="58"/>
  <c r="BG119" i="58"/>
  <c r="BH119" i="58" s="1"/>
  <c r="BC119" i="58"/>
  <c r="BD119" i="58" s="1"/>
  <c r="CM118" i="58"/>
  <c r="CK118" i="58"/>
  <c r="CF118" i="58"/>
  <c r="CG118" i="58" s="1"/>
  <c r="BV118" i="58"/>
  <c r="BU118" i="58"/>
  <c r="BS118" i="58"/>
  <c r="BP118" i="58"/>
  <c r="BL118" i="58"/>
  <c r="BK118" i="58"/>
  <c r="BG118" i="58"/>
  <c r="BH118" i="58" s="1"/>
  <c r="BC118" i="58"/>
  <c r="CM117" i="58"/>
  <c r="CK117" i="58"/>
  <c r="CF117" i="58"/>
  <c r="CG117" i="58" s="1"/>
  <c r="BV117" i="58"/>
  <c r="BU117" i="58"/>
  <c r="BS117" i="58"/>
  <c r="BP117" i="58"/>
  <c r="BL117" i="58"/>
  <c r="BK117" i="58"/>
  <c r="BG117" i="58"/>
  <c r="BH117" i="58" s="1"/>
  <c r="BC117" i="58"/>
  <c r="BD117" i="58" s="1"/>
  <c r="CM116" i="58"/>
  <c r="CK116" i="58"/>
  <c r="CF116" i="58"/>
  <c r="CG116" i="58" s="1"/>
  <c r="BV116" i="58"/>
  <c r="BU116" i="58"/>
  <c r="BS116" i="58"/>
  <c r="BP116" i="58"/>
  <c r="BL116" i="58"/>
  <c r="BK116" i="58"/>
  <c r="BG116" i="58"/>
  <c r="BH116" i="58" s="1"/>
  <c r="BC116" i="58"/>
  <c r="CM81" i="58"/>
  <c r="CK81" i="58"/>
  <c r="CF81" i="58"/>
  <c r="CG81" i="58" s="1"/>
  <c r="BV81" i="58"/>
  <c r="BU81" i="58"/>
  <c r="BS81" i="58"/>
  <c r="BP81" i="58"/>
  <c r="BL81" i="58"/>
  <c r="BK81" i="58"/>
  <c r="BG81" i="58"/>
  <c r="BH81" i="58" s="1"/>
  <c r="BC81" i="58"/>
  <c r="BD81" i="58" s="1"/>
  <c r="CM78" i="58"/>
  <c r="CK78" i="58"/>
  <c r="CF78" i="58"/>
  <c r="CG78" i="58" s="1"/>
  <c r="BV78" i="58"/>
  <c r="BU78" i="58"/>
  <c r="BS78" i="58"/>
  <c r="BP78" i="58"/>
  <c r="BL78" i="58"/>
  <c r="BK78" i="58"/>
  <c r="BG78" i="58"/>
  <c r="BH78" i="58" s="1"/>
  <c r="BC78" i="58"/>
  <c r="CM77" i="58"/>
  <c r="CK77" i="58"/>
  <c r="CF77" i="58"/>
  <c r="CG77" i="58" s="1"/>
  <c r="BV77" i="58"/>
  <c r="BU77" i="58"/>
  <c r="BS77" i="58"/>
  <c r="BP77" i="58"/>
  <c r="BL77" i="58"/>
  <c r="BK77" i="58"/>
  <c r="BG77" i="58"/>
  <c r="BH77" i="58" s="1"/>
  <c r="BC77" i="58"/>
  <c r="BD77" i="58" s="1"/>
  <c r="CM76" i="58"/>
  <c r="CK76" i="58"/>
  <c r="CF76" i="58"/>
  <c r="CG76" i="58" s="1"/>
  <c r="BV76" i="58"/>
  <c r="BU76" i="58"/>
  <c r="BS76" i="58"/>
  <c r="BP76" i="58"/>
  <c r="BL76" i="58"/>
  <c r="BK76" i="58"/>
  <c r="BG76" i="58"/>
  <c r="BH76" i="58" s="1"/>
  <c r="BC76" i="58"/>
  <c r="CM75" i="58"/>
  <c r="CK75" i="58"/>
  <c r="CF75" i="58"/>
  <c r="CG75" i="58" s="1"/>
  <c r="BV75" i="58"/>
  <c r="BU75" i="58"/>
  <c r="BS75" i="58"/>
  <c r="BP75" i="58"/>
  <c r="BL75" i="58"/>
  <c r="BK75" i="58"/>
  <c r="BG75" i="58"/>
  <c r="BH75" i="58" s="1"/>
  <c r="BC75" i="58"/>
  <c r="BD75" i="58" s="1"/>
  <c r="CM74" i="58"/>
  <c r="CK74" i="58"/>
  <c r="CF74" i="58"/>
  <c r="CG74" i="58" s="1"/>
  <c r="BV74" i="58"/>
  <c r="BU74" i="58"/>
  <c r="BS74" i="58"/>
  <c r="BP74" i="58"/>
  <c r="BL74" i="58"/>
  <c r="BK74" i="58"/>
  <c r="BG74" i="58"/>
  <c r="BH74" i="58" s="1"/>
  <c r="BC74" i="58"/>
  <c r="CM73" i="58"/>
  <c r="CK73" i="58"/>
  <c r="CF73" i="58"/>
  <c r="CG73" i="58" s="1"/>
  <c r="BV73" i="58"/>
  <c r="BU73" i="58"/>
  <c r="BS73" i="58"/>
  <c r="BP73" i="58"/>
  <c r="BL73" i="58"/>
  <c r="BK73" i="58"/>
  <c r="BG73" i="58"/>
  <c r="BH73" i="58" s="1"/>
  <c r="BC73" i="58"/>
  <c r="BD73" i="58" s="1"/>
  <c r="CM72" i="58"/>
  <c r="CK72" i="58"/>
  <c r="CF72" i="58"/>
  <c r="CG72" i="58" s="1"/>
  <c r="BV72" i="58"/>
  <c r="BU72" i="58"/>
  <c r="BS72" i="58"/>
  <c r="BP72" i="58"/>
  <c r="BL72" i="58"/>
  <c r="BK72" i="58"/>
  <c r="BG72" i="58"/>
  <c r="BH72" i="58" s="1"/>
  <c r="BC72" i="58"/>
  <c r="CM71" i="58"/>
  <c r="CK71" i="58"/>
  <c r="CF71" i="58"/>
  <c r="CG71" i="58" s="1"/>
  <c r="BV71" i="58"/>
  <c r="BU71" i="58"/>
  <c r="BS71" i="58"/>
  <c r="BP71" i="58"/>
  <c r="BL71" i="58"/>
  <c r="BK71" i="58"/>
  <c r="BG71" i="58"/>
  <c r="BH71" i="58" s="1"/>
  <c r="BC71" i="58"/>
  <c r="BD71" i="58" s="1"/>
  <c r="CM46" i="58"/>
  <c r="CK46" i="58"/>
  <c r="CF46" i="58"/>
  <c r="CG46" i="58" s="1"/>
  <c r="BV46" i="58"/>
  <c r="BU46" i="58"/>
  <c r="BS46" i="58"/>
  <c r="BP46" i="58"/>
  <c r="BL46" i="58"/>
  <c r="BK46" i="58"/>
  <c r="BG46" i="58"/>
  <c r="BH46" i="58" s="1"/>
  <c r="BC46" i="58"/>
  <c r="CM43" i="58"/>
  <c r="CK43" i="58"/>
  <c r="CF43" i="58"/>
  <c r="CG43" i="58" s="1"/>
  <c r="BV43" i="58"/>
  <c r="BU43" i="58"/>
  <c r="BS43" i="58"/>
  <c r="BP43" i="58"/>
  <c r="BL43" i="58"/>
  <c r="BK43" i="58"/>
  <c r="BG43" i="58"/>
  <c r="BH43" i="58" s="1"/>
  <c r="BC43" i="58"/>
  <c r="BD43" i="58" s="1"/>
  <c r="CM42" i="58"/>
  <c r="CK42" i="58"/>
  <c r="CF42" i="58"/>
  <c r="CG42" i="58" s="1"/>
  <c r="BV42" i="58"/>
  <c r="BU42" i="58"/>
  <c r="BS42" i="58"/>
  <c r="BP42" i="58"/>
  <c r="BL42" i="58"/>
  <c r="BK42" i="58"/>
  <c r="BG42" i="58"/>
  <c r="BH42" i="58" s="1"/>
  <c r="BC42" i="58"/>
  <c r="BD42" i="58" s="1"/>
  <c r="CM41" i="58"/>
  <c r="CK41" i="58"/>
  <c r="CF41" i="58"/>
  <c r="CG41" i="58" s="1"/>
  <c r="BV41" i="58"/>
  <c r="BU41" i="58"/>
  <c r="BS41" i="58"/>
  <c r="BP41" i="58"/>
  <c r="BL41" i="58"/>
  <c r="BK41" i="58"/>
  <c r="BG41" i="58"/>
  <c r="BH41" i="58" s="1"/>
  <c r="BC41" i="58"/>
  <c r="CM40" i="58"/>
  <c r="CK40" i="58"/>
  <c r="CF40" i="58"/>
  <c r="CG40" i="58" s="1"/>
  <c r="BV40" i="58"/>
  <c r="BU40" i="58"/>
  <c r="BS40" i="58"/>
  <c r="BP40" i="58"/>
  <c r="BL40" i="58"/>
  <c r="BK40" i="58"/>
  <c r="BG40" i="58"/>
  <c r="BH40" i="58" s="1"/>
  <c r="BC40" i="58"/>
  <c r="BD40" i="58" s="1"/>
  <c r="CM39" i="58"/>
  <c r="CK39" i="58"/>
  <c r="CF39" i="58"/>
  <c r="CG39" i="58" s="1"/>
  <c r="BV39" i="58"/>
  <c r="BU39" i="58"/>
  <c r="BS39" i="58"/>
  <c r="BP39" i="58"/>
  <c r="BL39" i="58"/>
  <c r="BK39" i="58"/>
  <c r="BG39" i="58"/>
  <c r="BH39" i="58" s="1"/>
  <c r="BC39" i="58"/>
  <c r="CM38" i="58"/>
  <c r="CK38" i="58"/>
  <c r="CF38" i="58"/>
  <c r="CG38" i="58" s="1"/>
  <c r="BV38" i="58"/>
  <c r="BU38" i="58"/>
  <c r="BS38" i="58"/>
  <c r="BP38" i="58"/>
  <c r="BL38" i="58"/>
  <c r="BK38" i="58"/>
  <c r="BG38" i="58"/>
  <c r="BH38" i="58" s="1"/>
  <c r="BC38" i="58"/>
  <c r="BD38" i="58" s="1"/>
  <c r="CM37" i="58"/>
  <c r="CK37" i="58"/>
  <c r="CF37" i="58"/>
  <c r="CG37" i="58" s="1"/>
  <c r="BV37" i="58"/>
  <c r="BU37" i="58"/>
  <c r="BS37" i="58"/>
  <c r="BP37" i="58"/>
  <c r="BL37" i="58"/>
  <c r="BK37" i="58"/>
  <c r="BG37" i="58"/>
  <c r="BH37" i="58" s="1"/>
  <c r="BC37" i="58"/>
  <c r="CM36" i="58"/>
  <c r="CK36" i="58"/>
  <c r="CF36" i="58"/>
  <c r="CG36" i="58" s="1"/>
  <c r="BV36" i="58"/>
  <c r="BU36" i="58"/>
  <c r="BS36" i="58"/>
  <c r="BP36" i="58"/>
  <c r="BL36" i="58"/>
  <c r="BK36" i="58"/>
  <c r="BG36" i="58"/>
  <c r="BH36" i="58" s="1"/>
  <c r="BC36" i="58"/>
  <c r="BD36" i="58" s="1"/>
  <c r="CM35" i="58"/>
  <c r="CK35" i="58"/>
  <c r="CF35" i="58"/>
  <c r="CG35" i="58" s="1"/>
  <c r="BV35" i="58"/>
  <c r="BU35" i="58"/>
  <c r="BS35" i="58"/>
  <c r="BP35" i="58"/>
  <c r="BL35" i="58"/>
  <c r="BK35" i="58"/>
  <c r="BG35" i="58"/>
  <c r="BH35" i="58" s="1"/>
  <c r="BC35" i="58"/>
  <c r="CM34" i="58"/>
  <c r="CK34" i="58"/>
  <c r="CF34" i="58"/>
  <c r="CG34" i="58" s="1"/>
  <c r="BV34" i="58"/>
  <c r="BU34" i="58"/>
  <c r="BS34" i="58"/>
  <c r="BP34" i="58"/>
  <c r="BL34" i="58"/>
  <c r="BK34" i="58"/>
  <c r="BG34" i="58"/>
  <c r="BH34" i="58" s="1"/>
  <c r="BC34" i="58"/>
  <c r="BD34" i="58" s="1"/>
  <c r="CM33" i="58"/>
  <c r="CK33" i="58"/>
  <c r="CF33" i="58"/>
  <c r="CG33" i="58" s="1"/>
  <c r="BV33" i="58"/>
  <c r="BU33" i="58"/>
  <c r="BS33" i="58"/>
  <c r="BP33" i="58"/>
  <c r="BL33" i="58"/>
  <c r="BK33" i="58"/>
  <c r="BG33" i="58"/>
  <c r="BH33" i="58" s="1"/>
  <c r="BC33" i="58"/>
  <c r="CM32" i="58"/>
  <c r="CK32" i="58"/>
  <c r="CF32" i="58"/>
  <c r="CG32" i="58" s="1"/>
  <c r="BV32" i="58"/>
  <c r="BU32" i="58"/>
  <c r="BS32" i="58"/>
  <c r="BP32" i="58"/>
  <c r="BL32" i="58"/>
  <c r="BK32" i="58"/>
  <c r="BG32" i="58"/>
  <c r="BH32" i="58" s="1"/>
  <c r="BC32" i="58"/>
  <c r="BD32" i="58" s="1"/>
  <c r="CM31" i="58"/>
  <c r="CK31" i="58"/>
  <c r="CF31" i="58"/>
  <c r="CG31" i="58" s="1"/>
  <c r="BV31" i="58"/>
  <c r="BU31" i="58"/>
  <c r="BS31" i="58"/>
  <c r="BP31" i="58"/>
  <c r="BL31" i="58"/>
  <c r="BK31" i="58"/>
  <c r="BG31" i="58"/>
  <c r="BH31" i="58" s="1"/>
  <c r="BC31" i="58"/>
  <c r="CM30" i="58"/>
  <c r="CK30" i="58"/>
  <c r="CF30" i="58"/>
  <c r="CG30" i="58" s="1"/>
  <c r="BV30" i="58"/>
  <c r="BU30" i="58"/>
  <c r="BS30" i="58"/>
  <c r="BP30" i="58"/>
  <c r="BL30" i="58"/>
  <c r="BK30" i="58"/>
  <c r="BG30" i="58"/>
  <c r="BH30" i="58" s="1"/>
  <c r="BC30" i="58"/>
  <c r="BD30" i="58" s="1"/>
  <c r="CM29" i="58"/>
  <c r="CK29" i="58"/>
  <c r="CF29" i="58"/>
  <c r="CG29" i="58" s="1"/>
  <c r="BV29" i="58"/>
  <c r="BU29" i="58"/>
  <c r="BS29" i="58"/>
  <c r="BP29" i="58"/>
  <c r="BL29" i="58"/>
  <c r="BK29" i="58"/>
  <c r="BG29" i="58"/>
  <c r="BH29" i="58" s="1"/>
  <c r="BC29" i="58"/>
  <c r="CM28" i="58"/>
  <c r="CK28" i="58"/>
  <c r="CF28" i="58"/>
  <c r="CG28" i="58" s="1"/>
  <c r="BV28" i="58"/>
  <c r="BU28" i="58"/>
  <c r="BS28" i="58"/>
  <c r="BP28" i="58"/>
  <c r="BL28" i="58"/>
  <c r="BK28" i="58"/>
  <c r="BG28" i="58"/>
  <c r="BH28" i="58" s="1"/>
  <c r="BC28" i="58"/>
  <c r="BD28" i="58" s="1"/>
  <c r="CM27" i="58"/>
  <c r="CK27" i="58"/>
  <c r="CF27" i="58"/>
  <c r="CG27" i="58" s="1"/>
  <c r="BV27" i="58"/>
  <c r="BU27" i="58"/>
  <c r="BS27" i="58"/>
  <c r="BP27" i="58"/>
  <c r="BL27" i="58"/>
  <c r="BK27" i="58"/>
  <c r="BG27" i="58"/>
  <c r="BH27" i="58" s="1"/>
  <c r="BC27" i="58"/>
  <c r="CM26" i="58"/>
  <c r="CK26" i="58"/>
  <c r="CF26" i="58"/>
  <c r="CG26" i="58" s="1"/>
  <c r="BV26" i="58"/>
  <c r="BU26" i="58"/>
  <c r="BS26" i="58"/>
  <c r="BP26" i="58"/>
  <c r="BL26" i="58"/>
  <c r="BK26" i="58"/>
  <c r="BG26" i="58"/>
  <c r="BH26" i="58" s="1"/>
  <c r="BC26" i="58"/>
  <c r="BD26" i="58" s="1"/>
  <c r="CM25" i="58"/>
  <c r="CK25" i="58"/>
  <c r="CF25" i="58"/>
  <c r="CG25" i="58" s="1"/>
  <c r="BV25" i="58"/>
  <c r="BU25" i="58"/>
  <c r="BS25" i="58"/>
  <c r="BP25" i="58"/>
  <c r="BL25" i="58"/>
  <c r="BK25" i="58"/>
  <c r="BG25" i="58"/>
  <c r="BH25" i="58" s="1"/>
  <c r="BC25" i="58"/>
  <c r="CM24" i="58"/>
  <c r="CK24" i="58"/>
  <c r="CF24" i="58"/>
  <c r="CG24" i="58" s="1"/>
  <c r="BV24" i="58"/>
  <c r="BU24" i="58"/>
  <c r="BS24" i="58"/>
  <c r="BP24" i="58"/>
  <c r="BL24" i="58"/>
  <c r="BK24" i="58"/>
  <c r="BG24" i="58"/>
  <c r="BH24" i="58" s="1"/>
  <c r="BC24" i="58"/>
  <c r="BD24" i="58" s="1"/>
  <c r="CM23" i="58"/>
  <c r="CK23" i="58"/>
  <c r="CF23" i="58"/>
  <c r="CG23" i="58" s="1"/>
  <c r="BV23" i="58"/>
  <c r="BU23" i="58"/>
  <c r="BS23" i="58"/>
  <c r="BP23" i="58"/>
  <c r="BL23" i="58"/>
  <c r="BK23" i="58"/>
  <c r="BG23" i="58"/>
  <c r="BH23" i="58" s="1"/>
  <c r="BC23" i="58"/>
  <c r="CM22" i="58"/>
  <c r="CK22" i="58"/>
  <c r="CF22" i="58"/>
  <c r="CG22" i="58" s="1"/>
  <c r="BV22" i="58"/>
  <c r="BU22" i="58"/>
  <c r="BS22" i="58"/>
  <c r="BP22" i="58"/>
  <c r="BL22" i="58"/>
  <c r="BK22" i="58"/>
  <c r="BG22" i="58"/>
  <c r="BH22" i="58" s="1"/>
  <c r="BC22" i="58"/>
  <c r="BD22" i="58" s="1"/>
  <c r="CM21" i="58"/>
  <c r="CK21" i="58"/>
  <c r="CF21" i="58"/>
  <c r="CG21" i="58" s="1"/>
  <c r="BV21" i="58"/>
  <c r="BU21" i="58"/>
  <c r="BS21" i="58"/>
  <c r="BP21" i="58"/>
  <c r="BL21" i="58"/>
  <c r="BK21" i="58"/>
  <c r="BG21" i="58"/>
  <c r="BH21" i="58" s="1"/>
  <c r="BC21" i="58"/>
  <c r="CM20" i="58"/>
  <c r="CK20" i="58"/>
  <c r="CF20" i="58"/>
  <c r="CG20" i="58" s="1"/>
  <c r="BV20" i="58"/>
  <c r="BU20" i="58"/>
  <c r="BS20" i="58"/>
  <c r="BP20" i="58"/>
  <c r="BL20" i="58"/>
  <c r="BK20" i="58"/>
  <c r="BG20" i="58"/>
  <c r="BH20" i="58" s="1"/>
  <c r="BC20" i="58"/>
  <c r="BD20" i="58" s="1"/>
  <c r="CM19" i="58"/>
  <c r="CK19" i="58"/>
  <c r="CF19" i="58"/>
  <c r="CG19" i="58" s="1"/>
  <c r="BV19" i="58"/>
  <c r="BU19" i="58"/>
  <c r="BS19" i="58"/>
  <c r="BP19" i="58"/>
  <c r="BL19" i="58"/>
  <c r="BK19" i="58"/>
  <c r="BG19" i="58"/>
  <c r="BH19" i="58" s="1"/>
  <c r="BC19" i="58"/>
  <c r="F11" i="57"/>
  <c r="D12" i="57" l="1"/>
  <c r="V31" i="63"/>
  <c r="O64" i="63"/>
  <c r="O68" i="63"/>
  <c r="BE110" i="58"/>
  <c r="BF110" i="58" s="1"/>
  <c r="BE85" i="58"/>
  <c r="BF85" i="58" s="1"/>
  <c r="BE98" i="58"/>
  <c r="BF98" i="58" s="1"/>
  <c r="E12" i="57"/>
  <c r="BE56" i="58"/>
  <c r="BF56" i="58" s="1"/>
  <c r="BE58" i="58"/>
  <c r="BF58" i="58" s="1"/>
  <c r="BE103" i="58"/>
  <c r="BF103" i="58" s="1"/>
  <c r="BE111" i="58"/>
  <c r="BF111" i="58" s="1"/>
  <c r="BE19" i="58"/>
  <c r="BF19" i="58" s="1"/>
  <c r="BE21" i="58"/>
  <c r="BF21" i="58" s="1"/>
  <c r="BE23" i="58"/>
  <c r="BF23" i="58" s="1"/>
  <c r="BE25" i="58"/>
  <c r="BF25" i="58" s="1"/>
  <c r="BE27" i="58"/>
  <c r="BF27" i="58" s="1"/>
  <c r="BE29" i="58"/>
  <c r="BF29" i="58" s="1"/>
  <c r="BE31" i="58"/>
  <c r="BF31" i="58" s="1"/>
  <c r="BE33" i="58"/>
  <c r="BF33" i="58" s="1"/>
  <c r="BE35" i="58"/>
  <c r="BF35" i="58" s="1"/>
  <c r="BE37" i="58"/>
  <c r="BF37" i="58" s="1"/>
  <c r="BE39" i="58"/>
  <c r="BF39" i="58" s="1"/>
  <c r="BE41" i="58"/>
  <c r="BF41" i="58" s="1"/>
  <c r="BE46" i="58"/>
  <c r="BF46" i="58" s="1"/>
  <c r="BE72" i="58"/>
  <c r="BF72" i="58" s="1"/>
  <c r="BE74" i="58"/>
  <c r="BF74" i="58" s="1"/>
  <c r="BE78" i="58"/>
  <c r="BF78" i="58" s="1"/>
  <c r="BE116" i="58"/>
  <c r="BF116" i="58" s="1"/>
  <c r="BE120" i="58"/>
  <c r="BF120" i="58" s="1"/>
  <c r="BE124" i="58"/>
  <c r="BF124" i="58" s="1"/>
  <c r="BE127" i="58"/>
  <c r="BF127" i="58" s="1"/>
  <c r="BE129" i="58"/>
  <c r="BF129" i="58" s="1"/>
  <c r="BE131" i="58"/>
  <c r="BF131" i="58" s="1"/>
  <c r="BE133" i="58"/>
  <c r="BF133" i="58" s="1"/>
  <c r="BE135" i="58"/>
  <c r="BF135" i="58" s="1"/>
  <c r="BE137" i="58"/>
  <c r="BF137" i="58" s="1"/>
  <c r="BE139" i="58"/>
  <c r="BF139" i="58" s="1"/>
  <c r="BE149" i="58"/>
  <c r="BF149" i="58" s="1"/>
  <c r="BE156" i="58"/>
  <c r="BF156" i="58" s="1"/>
  <c r="BE160" i="58"/>
  <c r="BF160" i="58" s="1"/>
  <c r="BE164" i="58"/>
  <c r="BF164" i="58" s="1"/>
  <c r="BE168" i="58"/>
  <c r="BF168" i="58" s="1"/>
  <c r="BE172" i="58"/>
  <c r="BF172" i="58" s="1"/>
  <c r="BE176" i="58"/>
  <c r="BF176" i="58" s="1"/>
  <c r="BE7" i="58"/>
  <c r="BF7" i="58" s="1"/>
  <c r="BE12" i="58"/>
  <c r="BF12" i="58" s="1"/>
  <c r="BE80" i="58"/>
  <c r="BF80" i="58" s="1"/>
  <c r="BE96" i="58"/>
  <c r="BF96" i="58" s="1"/>
  <c r="BE6" i="58"/>
  <c r="BF6" i="58" s="1"/>
  <c r="BE15" i="58"/>
  <c r="BF15" i="58" s="1"/>
  <c r="BE88" i="58"/>
  <c r="BF88" i="58" s="1"/>
  <c r="BE92" i="58"/>
  <c r="BF92" i="58" s="1"/>
  <c r="BE61" i="58"/>
  <c r="BF61" i="58" s="1"/>
  <c r="BD149" i="58"/>
  <c r="BD156" i="58"/>
  <c r="BD160" i="58"/>
  <c r="BD164" i="58"/>
  <c r="BD168" i="58"/>
  <c r="BD172" i="58"/>
  <c r="BD176" i="58"/>
  <c r="BD7" i="58"/>
  <c r="BD12" i="58"/>
  <c r="BD80" i="58"/>
  <c r="BD96" i="58"/>
  <c r="BD6" i="58"/>
  <c r="BD15" i="58"/>
  <c r="BD88" i="58"/>
  <c r="BD92" i="58"/>
  <c r="BD61" i="58"/>
  <c r="BD56" i="58"/>
  <c r="BD58" i="58"/>
  <c r="BD103" i="58"/>
  <c r="BD111" i="58"/>
  <c r="BE118" i="58"/>
  <c r="BF118" i="58" s="1"/>
  <c r="BD118" i="58"/>
  <c r="BE122" i="58"/>
  <c r="BF122" i="58" s="1"/>
  <c r="BD122" i="58"/>
  <c r="BE125" i="58"/>
  <c r="BF125" i="58" s="1"/>
  <c r="BD125" i="58"/>
  <c r="F8" i="57"/>
  <c r="BD19" i="58"/>
  <c r="BD25" i="58"/>
  <c r="BD33" i="58"/>
  <c r="BD37" i="58"/>
  <c r="BD41" i="58"/>
  <c r="BD72" i="58"/>
  <c r="BD78" i="58"/>
  <c r="BD129" i="58"/>
  <c r="BD133" i="58"/>
  <c r="BD137" i="58"/>
  <c r="BE140" i="58"/>
  <c r="BF140" i="58" s="1"/>
  <c r="BE141" i="58"/>
  <c r="BF141" i="58" s="1"/>
  <c r="BE154" i="58"/>
  <c r="BF154" i="58" s="1"/>
  <c r="BE158" i="58"/>
  <c r="BF158" i="58" s="1"/>
  <c r="BE162" i="58"/>
  <c r="BF162" i="58" s="1"/>
  <c r="BE166" i="58"/>
  <c r="BF166" i="58" s="1"/>
  <c r="BE170" i="58"/>
  <c r="BF170" i="58" s="1"/>
  <c r="BE174" i="58"/>
  <c r="BF174" i="58" s="1"/>
  <c r="BE178" i="58"/>
  <c r="BF178" i="58" s="1"/>
  <c r="BE10" i="58"/>
  <c r="BF10" i="58" s="1"/>
  <c r="BE65" i="58"/>
  <c r="BF65" i="58" s="1"/>
  <c r="BE83" i="58"/>
  <c r="BF83" i="58" s="1"/>
  <c r="BE100" i="58"/>
  <c r="BF100" i="58" s="1"/>
  <c r="BE151" i="58"/>
  <c r="BF151" i="58" s="1"/>
  <c r="BE13" i="58"/>
  <c r="BF13" i="58" s="1"/>
  <c r="BE86" i="58"/>
  <c r="BF86" i="58" s="1"/>
  <c r="BE90" i="58"/>
  <c r="BF90" i="58" s="1"/>
  <c r="BE97" i="58"/>
  <c r="BF97" i="58" s="1"/>
  <c r="BE101" i="58"/>
  <c r="BF101" i="58" s="1"/>
  <c r="BE106" i="58"/>
  <c r="BF106" i="58" s="1"/>
  <c r="BE109" i="58"/>
  <c r="BF109" i="58" s="1"/>
  <c r="BE112" i="58"/>
  <c r="BF112" i="58" s="1"/>
  <c r="AI147" i="58"/>
  <c r="BD46" i="58"/>
  <c r="BD74" i="58"/>
  <c r="BE76" i="58"/>
  <c r="BF76" i="58" s="1"/>
  <c r="BD76" i="58"/>
  <c r="F7" i="57"/>
  <c r="BD21" i="58"/>
  <c r="BD23" i="58"/>
  <c r="BD27" i="58"/>
  <c r="BD29" i="58"/>
  <c r="BD31" i="58"/>
  <c r="BD35" i="58"/>
  <c r="BD39" i="58"/>
  <c r="BD116" i="58"/>
  <c r="BD120" i="58"/>
  <c r="BD124" i="58"/>
  <c r="BD127" i="58"/>
  <c r="BD131" i="58"/>
  <c r="BD135" i="58"/>
  <c r="BD139" i="58"/>
  <c r="BD141" i="58"/>
  <c r="BD154" i="58"/>
  <c r="BD158" i="58"/>
  <c r="BD162" i="58"/>
  <c r="BD166" i="58"/>
  <c r="BD170" i="58"/>
  <c r="BD174" i="58"/>
  <c r="BD178" i="58"/>
  <c r="BD10" i="58"/>
  <c r="BD65" i="58"/>
  <c r="BD83" i="58"/>
  <c r="BD100" i="58"/>
  <c r="BD151" i="58"/>
  <c r="BD13" i="58"/>
  <c r="AO147" i="58"/>
  <c r="AP147" i="58" s="1"/>
  <c r="BD86" i="58"/>
  <c r="BD90" i="58"/>
  <c r="BD97" i="58"/>
  <c r="BD101" i="58"/>
  <c r="BD106" i="58"/>
  <c r="BE105" i="58"/>
  <c r="BF105" i="58" s="1"/>
  <c r="BD110" i="58"/>
  <c r="BD98" i="58"/>
  <c r="BD112" i="58"/>
  <c r="BE93" i="58"/>
  <c r="BF93" i="58" s="1"/>
  <c r="BE45" i="58"/>
  <c r="BF45" i="58" s="1"/>
  <c r="BE20" i="58"/>
  <c r="BF20" i="58" s="1"/>
  <c r="BE22" i="58"/>
  <c r="BF22" i="58" s="1"/>
  <c r="BE24" i="58"/>
  <c r="BF24" i="58" s="1"/>
  <c r="BE26" i="58"/>
  <c r="BF26" i="58" s="1"/>
  <c r="BE28" i="58"/>
  <c r="BF28" i="58" s="1"/>
  <c r="BE30" i="58"/>
  <c r="BF30" i="58" s="1"/>
  <c r="BE32" i="58"/>
  <c r="BF32" i="58" s="1"/>
  <c r="BE34" i="58"/>
  <c r="BF34" i="58" s="1"/>
  <c r="BE36" i="58"/>
  <c r="BF36" i="58" s="1"/>
  <c r="BE38" i="58"/>
  <c r="BF38" i="58" s="1"/>
  <c r="BE40" i="58"/>
  <c r="BF40" i="58" s="1"/>
  <c r="BE42" i="58"/>
  <c r="BF42" i="58" s="1"/>
  <c r="BE43" i="58"/>
  <c r="BF43" i="58" s="1"/>
  <c r="BE71" i="58"/>
  <c r="BF71" i="58" s="1"/>
  <c r="BE73" i="58"/>
  <c r="BF73" i="58" s="1"/>
  <c r="BE75" i="58"/>
  <c r="BF75" i="58" s="1"/>
  <c r="BE77" i="58"/>
  <c r="BF77" i="58" s="1"/>
  <c r="BE81" i="58"/>
  <c r="BF81" i="58" s="1"/>
  <c r="BE117" i="58"/>
  <c r="BF117" i="58" s="1"/>
  <c r="BE119" i="58"/>
  <c r="BF119" i="58" s="1"/>
  <c r="BE121" i="58"/>
  <c r="BF121" i="58" s="1"/>
  <c r="BE123" i="58"/>
  <c r="BF123" i="58" s="1"/>
  <c r="BE126" i="58"/>
  <c r="BF126" i="58" s="1"/>
  <c r="BE128" i="58"/>
  <c r="BF128" i="58" s="1"/>
  <c r="BE130" i="58"/>
  <c r="BF130" i="58" s="1"/>
  <c r="BE132" i="58"/>
  <c r="BF132" i="58" s="1"/>
  <c r="BE134" i="58"/>
  <c r="BF134" i="58" s="1"/>
  <c r="BE136" i="58"/>
  <c r="BF136" i="58" s="1"/>
  <c r="BE138" i="58"/>
  <c r="BF138" i="58" s="1"/>
  <c r="BE148" i="58"/>
  <c r="BF148" i="58" s="1"/>
  <c r="BE150" i="58"/>
  <c r="BF150" i="58" s="1"/>
  <c r="BE155" i="58"/>
  <c r="BF155" i="58" s="1"/>
  <c r="BE157" i="58"/>
  <c r="BF157" i="58" s="1"/>
  <c r="BE159" i="58"/>
  <c r="BF159" i="58" s="1"/>
  <c r="BE161" i="58"/>
  <c r="BF161" i="58" s="1"/>
  <c r="BE163" i="58"/>
  <c r="BF163" i="58" s="1"/>
  <c r="BE165" i="58"/>
  <c r="BF165" i="58" s="1"/>
  <c r="BE167" i="58"/>
  <c r="BF167" i="58" s="1"/>
  <c r="BE169" i="58"/>
  <c r="BF169" i="58" s="1"/>
  <c r="BE171" i="58"/>
  <c r="BF171" i="58" s="1"/>
  <c r="BE173" i="58"/>
  <c r="BF173" i="58" s="1"/>
  <c r="BE175" i="58"/>
  <c r="BF175" i="58" s="1"/>
  <c r="BE177" i="58"/>
  <c r="BF177" i="58" s="1"/>
  <c r="BE179" i="58"/>
  <c r="BF179" i="58" s="1"/>
  <c r="BE9" i="58"/>
  <c r="BF9" i="58" s="1"/>
  <c r="BE11" i="58"/>
  <c r="BF11" i="58" s="1"/>
  <c r="BE16" i="58"/>
  <c r="BF16" i="58" s="1"/>
  <c r="BE79" i="58"/>
  <c r="BF79" i="58" s="1"/>
  <c r="BE84" i="58"/>
  <c r="BF84" i="58" s="1"/>
  <c r="BE99" i="58"/>
  <c r="BF99" i="58" s="1"/>
  <c r="BE152" i="58"/>
  <c r="BF152" i="58" s="1"/>
  <c r="BE5" i="58"/>
  <c r="BF5" i="58" s="1"/>
  <c r="BE14" i="58"/>
  <c r="BF14" i="58" s="1"/>
  <c r="BE82" i="58"/>
  <c r="BF82" i="58" s="1"/>
  <c r="BE87" i="58"/>
  <c r="BF87" i="58" s="1"/>
  <c r="BE89" i="58"/>
  <c r="BF89" i="58" s="1"/>
  <c r="BE91" i="58"/>
  <c r="BF91" i="58" s="1"/>
  <c r="BE94" i="58"/>
  <c r="BF94" i="58" s="1"/>
  <c r="BE104" i="58"/>
  <c r="BF104" i="58" s="1"/>
  <c r="BE62" i="58"/>
  <c r="BF62" i="58" s="1"/>
  <c r="BE8" i="58"/>
  <c r="BF8" i="58" s="1"/>
  <c r="BE107" i="58"/>
  <c r="BF107" i="58" s="1"/>
  <c r="BD107" i="58"/>
  <c r="BE57" i="58"/>
  <c r="BF57" i="58" s="1"/>
  <c r="BE60" i="58"/>
  <c r="BF60" i="58" s="1"/>
  <c r="BD105" i="58"/>
  <c r="BD109" i="58"/>
  <c r="BE108" i="58"/>
  <c r="BF108" i="58" s="1"/>
  <c r="BE66" i="58"/>
  <c r="BF66" i="58" s="1"/>
  <c r="BE95" i="58"/>
  <c r="BF95" i="58" s="1"/>
  <c r="BE102" i="58"/>
  <c r="BF102" i="58" s="1"/>
  <c r="BE153" i="58"/>
  <c r="BF153" i="58" s="1"/>
  <c r="BD93" i="58"/>
  <c r="BE44" i="58"/>
  <c r="BF44" i="58" s="1"/>
  <c r="BD45" i="58"/>
  <c r="AP146" i="58"/>
  <c r="AL147" i="58"/>
  <c r="AM147" i="58" s="1"/>
  <c r="D20" i="57" s="1"/>
  <c r="E20" i="57" s="1"/>
  <c r="D27" i="65" l="1"/>
  <c r="D28" i="65"/>
  <c r="D29" i="65"/>
  <c r="D27" i="57"/>
  <c r="E27" i="57" s="1"/>
  <c r="D28" i="57"/>
  <c r="E28" i="57" s="1"/>
  <c r="D29" i="57"/>
  <c r="E29" i="57" s="1"/>
  <c r="D19" i="57"/>
  <c r="F12" i="57"/>
  <c r="C46" i="57" s="1"/>
  <c r="C47" i="57" s="1"/>
  <c r="D26" i="65" l="1"/>
  <c r="E26" i="65" s="1"/>
  <c r="D18" i="57"/>
  <c r="E18" i="57" s="1"/>
  <c r="E19" i="57"/>
  <c r="D26" i="57"/>
  <c r="C69" i="57"/>
  <c r="D54" i="57" l="1"/>
  <c r="D61" i="57"/>
  <c r="E26" i="57"/>
  <c r="C61" i="57" s="1"/>
  <c r="C62" i="57" s="1"/>
  <c r="C54" i="57"/>
  <c r="C55" i="57" s="1"/>
</calcChain>
</file>

<file path=xl/comments1.xml><?xml version="1.0" encoding="utf-8"?>
<comments xmlns="http://schemas.openxmlformats.org/spreadsheetml/2006/main">
  <authors>
    <author>Olivier Le Guillou</author>
    <author>Thein Tun Hlaing</author>
    <author>AOD 270</author>
    <author>Than Kyaw Soe</author>
  </authors>
  <commentList>
    <comment ref="B4" authorId="0" shapeId="0">
      <text>
        <r>
          <rPr>
            <b/>
            <sz val="9"/>
            <color indexed="81"/>
            <rFont val="Tahoma"/>
            <family val="2"/>
          </rPr>
          <t>Gray area to be filled by UNICEF on monthly CCCM update</t>
        </r>
      </text>
    </comment>
    <comment ref="L4" authorId="1" shapeId="0">
      <text>
        <r>
          <rPr>
            <b/>
            <sz val="9"/>
            <color indexed="81"/>
            <rFont val="Tahoma"/>
            <family val="2"/>
          </rPr>
          <t xml:space="preserve">Thein Tun Hlaing:
Number of Register House hold who register in the list.
</t>
        </r>
      </text>
    </comment>
    <comment ref="S4" authorId="0" shapeId="0">
      <text>
        <r>
          <rPr>
            <b/>
            <sz val="9"/>
            <color indexed="81"/>
            <rFont val="Tahoma"/>
            <family val="2"/>
          </rPr>
          <t>As mentionned in the Rakhine and Kachin strategic cluster plan, ideally no more than 1 NGO per camp. Here at least one NGO focal point for each sub sector (water, sanitation, hygiene propmotion). Focal point would means for cluster that the NGO is able to provide all infor in the sub sector for the camp concern. Ideally, the best case may be same NGo for all sub-sector as focal point</t>
        </r>
      </text>
    </comment>
    <comment ref="AC4" authorId="2" shapeId="0">
      <text>
        <r>
          <rPr>
            <b/>
            <sz val="9"/>
            <color indexed="81"/>
            <rFont val="Tahoma"/>
            <family val="2"/>
          </rPr>
          <t>AOD 270:</t>
        </r>
        <r>
          <rPr>
            <sz val="9"/>
            <color indexed="81"/>
            <rFont val="Tahoma"/>
            <family val="2"/>
          </rPr>
          <t xml:space="preserve">
Not connect to the motor pump and not connect to the over head tank</t>
        </r>
      </text>
    </comment>
    <comment ref="AD4" authorId="0" shapeId="0">
      <text>
        <r>
          <rPr>
            <b/>
            <sz val="9"/>
            <color indexed="81"/>
            <rFont val="Tahoma"/>
            <family val="2"/>
          </rPr>
          <t>Average hours of running per day or per week. If do not know the yield , calculate how many litres of water can be pumped out by running for 1 minutes. 
Eg. If run the motor for 1 min and get 30 litres,  = 30x60 x 4 hours etc.</t>
        </r>
      </text>
    </comment>
    <comment ref="AE4" authorId="2" shapeId="0">
      <text>
        <r>
          <rPr>
            <b/>
            <sz val="9"/>
            <color indexed="81"/>
            <rFont val="Tahoma"/>
            <family val="2"/>
          </rPr>
          <t>AOD 270:</t>
        </r>
        <r>
          <rPr>
            <sz val="9"/>
            <color indexed="81"/>
            <rFont val="Tahoma"/>
            <family val="2"/>
          </rPr>
          <t xml:space="preserve">
If walking aound the camp shows 40 households collect rain water out of 80 households, the % would be 50%.</t>
        </r>
      </text>
    </comment>
    <comment ref="AT4" authorId="0" shapeId="0">
      <text>
        <r>
          <rPr>
            <b/>
            <sz val="9"/>
            <color indexed="81"/>
            <rFont val="Tahoma"/>
            <family val="2"/>
          </rPr>
          <t>Offer a rough idea of the coverage of needs expected in 2 months (can also decrease in case of dry season…)</t>
        </r>
      </text>
    </comment>
    <comment ref="AW4" authorId="0" shapeId="0">
      <text>
        <r>
          <rPr>
            <b/>
            <sz val="9"/>
            <color indexed="81"/>
            <rFont val="Tahoma"/>
            <family val="2"/>
          </rPr>
          <t>For capitalisation only, mentionned total number of latrines built, even if not still functioning or existing)</t>
        </r>
      </text>
    </comment>
    <comment ref="BI4" authorId="0" shapeId="0">
      <text>
        <r>
          <rPr>
            <b/>
            <sz val="9"/>
            <color indexed="81"/>
            <rFont val="Tahoma"/>
            <family val="2"/>
          </rPr>
          <t>To mentionned approximated additional needs related to School, health center, ...</t>
        </r>
        <r>
          <rPr>
            <sz val="9"/>
            <color indexed="81"/>
            <rFont val="Tahoma"/>
            <family val="2"/>
          </rPr>
          <t xml:space="preserve">
50 boy students 1 latrine and 1 urinal and 1 for male staff, 25 girl students 1 latrine and 1 for female staff.</t>
        </r>
      </text>
    </comment>
    <comment ref="BY4" authorId="0" shapeId="0">
      <text>
        <r>
          <rPr>
            <b/>
            <sz val="9"/>
            <color indexed="81"/>
            <rFont val="Tahoma"/>
            <family val="2"/>
          </rPr>
          <t>In respect of HK strategy, 1 full hygiene kit should be distributed each year. Indicate the date corresponding at the last distribution realised according to the strategy.</t>
        </r>
      </text>
    </comment>
    <comment ref="CB4" authorId="0" shapeId="0">
      <text>
        <r>
          <rPr>
            <b/>
            <sz val="9"/>
            <color indexed="81"/>
            <rFont val="Tahoma"/>
            <family val="2"/>
          </rPr>
          <t>Accordingly to HK strategy, once a year</t>
        </r>
      </text>
    </comment>
    <comment ref="CD4" authorId="0" shapeId="0">
      <text>
        <r>
          <rPr>
            <b/>
            <sz val="9"/>
            <color indexed="81"/>
            <rFont val="Tahoma"/>
            <family val="2"/>
          </rPr>
          <t>The date indicated in column BN indicate the "starting date" of need coverage for Refilling Kits, defined for monthly needs. Then, well specified the nb of month provided in Refilling Kits since the date indicated in column BN. The number to should reflectre the number of months realised, not the number of distribution. A distribution can in some case cover 3 months of refieling need</t>
        </r>
      </text>
    </comment>
    <comment ref="E158" authorId="3" shapeId="0">
      <text>
        <r>
          <rPr>
            <b/>
            <sz val="9"/>
            <color indexed="81"/>
            <rFont val="Tahoma"/>
            <family val="2"/>
          </rPr>
          <t>Than Kyaw Soe:</t>
        </r>
        <r>
          <rPr>
            <sz val="9"/>
            <color indexed="81"/>
            <rFont val="Tahoma"/>
            <family val="2"/>
          </rPr>
          <t xml:space="preserve">
move to another locations need to change the GPS Point</t>
        </r>
      </text>
    </comment>
  </commentList>
</comments>
</file>

<file path=xl/comments2.xml><?xml version="1.0" encoding="utf-8"?>
<comments xmlns="http://schemas.openxmlformats.org/spreadsheetml/2006/main">
  <authors>
    <author>Christian</author>
    <author>Thein Tun Hlaing</author>
  </authors>
  <commentList>
    <comment ref="AG34" authorId="0" shapeId="0">
      <text>
        <r>
          <rPr>
            <b/>
            <sz val="8"/>
            <color indexed="81"/>
            <rFont val="Tahoma"/>
            <family val="2"/>
          </rPr>
          <t>Christian:</t>
        </r>
        <r>
          <rPr>
            <sz val="8"/>
            <color indexed="81"/>
            <rFont val="Tahoma"/>
            <family val="2"/>
          </rPr>
          <t xml:space="preserve">
High due to hygiene kit costs</t>
        </r>
      </text>
    </comment>
    <comment ref="T35" authorId="0" shapeId="0">
      <text>
        <r>
          <rPr>
            <b/>
            <sz val="8"/>
            <color indexed="81"/>
            <rFont val="Tahoma"/>
            <family val="2"/>
          </rPr>
          <t>Christian:</t>
        </r>
        <r>
          <rPr>
            <sz val="8"/>
            <color indexed="81"/>
            <rFont val="Tahoma"/>
            <family val="2"/>
          </rPr>
          <t xml:space="preserve">
O&amp;M Mainly. 200 new latrine in NGCA and school latrines in NGCA and GCA</t>
        </r>
      </text>
    </comment>
    <comment ref="U35" authorId="0" shapeId="0">
      <text>
        <r>
          <rPr>
            <b/>
            <sz val="8"/>
            <color indexed="81"/>
            <rFont val="Tahoma"/>
            <family val="2"/>
          </rPr>
          <t>Christian:</t>
        </r>
        <r>
          <rPr>
            <sz val="8"/>
            <color indexed="81"/>
            <rFont val="Tahoma"/>
            <family val="2"/>
          </rPr>
          <t xml:space="preserve">
O&amp;M Mainly. New gravity systems and storage in NGCA and a few new wells in exoanded GCA camps</t>
        </r>
      </text>
    </comment>
    <comment ref="V35" authorId="0" shapeId="0">
      <text>
        <r>
          <rPr>
            <b/>
            <sz val="8"/>
            <color indexed="81"/>
            <rFont val="Tahoma"/>
            <family val="2"/>
          </rPr>
          <t>Christian:</t>
        </r>
        <r>
          <rPr>
            <sz val="8"/>
            <color indexed="81"/>
            <rFont val="Tahoma"/>
            <family val="2"/>
          </rPr>
          <t xml:space="preserve">
NOTE: Limited funding for hygiene consumables. </t>
        </r>
      </text>
    </comment>
    <comment ref="AG35" authorId="0" shapeId="0">
      <text>
        <r>
          <rPr>
            <b/>
            <sz val="8"/>
            <color indexed="81"/>
            <rFont val="Tahoma"/>
            <family val="2"/>
          </rPr>
          <t>Christian:</t>
        </r>
        <r>
          <rPr>
            <sz val="8"/>
            <color indexed="81"/>
            <rFont val="Tahoma"/>
            <family val="2"/>
          </rPr>
          <t xml:space="preserve">
High due to hygiene kit costs</t>
        </r>
      </text>
    </comment>
    <comment ref="AG36" authorId="0" shapeId="0">
      <text>
        <r>
          <rPr>
            <b/>
            <sz val="8"/>
            <color indexed="81"/>
            <rFont val="Tahoma"/>
            <family val="2"/>
          </rPr>
          <t>Christian:</t>
        </r>
        <r>
          <rPr>
            <sz val="8"/>
            <color indexed="81"/>
            <rFont val="Tahoma"/>
            <family val="2"/>
          </rPr>
          <t xml:space="preserve">
High due to hygiene kit costs</t>
        </r>
      </text>
    </comment>
    <comment ref="I42" authorId="1" shapeId="0">
      <text>
        <r>
          <rPr>
            <b/>
            <sz val="9"/>
            <color indexed="81"/>
            <rFont val="Tahoma"/>
            <charset val="1"/>
          </rPr>
          <t>Thein Tun Hlaing:</t>
        </r>
        <r>
          <rPr>
            <sz val="9"/>
            <color indexed="81"/>
            <rFont val="Tahoma"/>
            <charset val="1"/>
          </rPr>
          <t xml:space="preserve">
No cost extention. From Jan to Feb 28 2015
</t>
        </r>
      </text>
    </comment>
  </commentList>
</comments>
</file>

<file path=xl/sharedStrings.xml><?xml version="1.0" encoding="utf-8"?>
<sst xmlns="http://schemas.openxmlformats.org/spreadsheetml/2006/main" count="4233" uniqueCount="940">
  <si>
    <t>Township</t>
  </si>
  <si>
    <t>Site</t>
  </si>
  <si>
    <t>Total</t>
  </si>
  <si>
    <t>Location type</t>
  </si>
  <si>
    <t>Type</t>
  </si>
  <si>
    <t>Gap of basic hygiene kit</t>
  </si>
  <si>
    <t>Summary:</t>
  </si>
  <si>
    <t>Focal point Agency</t>
  </si>
  <si>
    <t>IDPs Pop</t>
  </si>
  <si>
    <t>Total PoP</t>
  </si>
  <si>
    <t>Needs coverage</t>
  </si>
  <si>
    <t>Comment</t>
  </si>
  <si>
    <t>Coverage hand wash station %</t>
  </si>
  <si>
    <t>Structure</t>
  </si>
  <si>
    <t>Gap of month covered by refilled</t>
  </si>
  <si>
    <t>Comments</t>
  </si>
  <si>
    <t>Approximative % of household receiving monthly HP senzitisation directly with NGO</t>
  </si>
  <si>
    <t>Camp manager defined by UNHCR</t>
  </si>
  <si>
    <t>Yes</t>
  </si>
  <si>
    <t>No</t>
  </si>
  <si>
    <t>Done</t>
  </si>
  <si>
    <t>Never deployed</t>
  </si>
  <si>
    <t>Coverage Bathing %</t>
  </si>
  <si>
    <r>
      <rPr>
        <b/>
        <sz val="10"/>
        <color indexed="10"/>
        <rFont val="Calibri"/>
        <family val="2"/>
      </rPr>
      <t>%</t>
    </r>
    <r>
      <rPr>
        <b/>
        <sz val="10"/>
        <color indexed="8"/>
        <rFont val="Calibri"/>
        <family val="2"/>
      </rPr>
      <t xml:space="preserve"> Latrine needs coverage</t>
    </r>
  </si>
  <si>
    <r>
      <rPr>
        <b/>
        <sz val="10"/>
        <color indexed="10"/>
        <rFont val="Calibri"/>
        <family val="2"/>
      </rPr>
      <t>#</t>
    </r>
    <r>
      <rPr>
        <b/>
        <sz val="10"/>
        <color indexed="8"/>
        <rFont val="Calibri"/>
        <family val="2"/>
      </rPr>
      <t xml:space="preserve"> Semi permanent latrines missing</t>
    </r>
  </si>
  <si>
    <t>Month reported:</t>
  </si>
  <si>
    <r>
      <rPr>
        <b/>
        <sz val="10"/>
        <color indexed="10"/>
        <rFont val="Calibri"/>
        <family val="2"/>
      </rPr>
      <t>#</t>
    </r>
    <r>
      <rPr>
        <b/>
        <sz val="10"/>
        <color indexed="8"/>
        <rFont val="Calibri"/>
        <family val="2"/>
      </rPr>
      <t xml:space="preserve"> Additional latrines needs identified for community center as TLS, heath center…</t>
    </r>
  </si>
  <si>
    <t>Legend:</t>
  </si>
  <si>
    <t>White cell to be filled by NGO</t>
  </si>
  <si>
    <t>Gray Cell to be filled by UNICEF</t>
  </si>
  <si>
    <t>Colored cell per sector, automatic calculation</t>
  </si>
  <si>
    <t>Unity of the entry mentionned in the colum title in red</t>
  </si>
  <si>
    <t>Focal poing Agency:</t>
  </si>
  <si>
    <t>As mentionned in the Strategic plan, it is wish than one main wash actor per camp is positionned</t>
  </si>
  <si>
    <t>Objectives of the 4W matrix:</t>
  </si>
  <si>
    <t>To identify the geographical positionning of the different intervenants (Who)</t>
  </si>
  <si>
    <t>To deduce the geographical gaps coverage (Where)</t>
  </si>
  <si>
    <t>To produce a basic analysis of the needs covered, and needs remaining (What)</t>
  </si>
  <si>
    <t>To support priority definition</t>
  </si>
  <si>
    <t xml:space="preserve">To offer an synthetic situation overview, a basic, relavant and comparable analysis </t>
  </si>
  <si>
    <t>The 4W excecice cannot replace more complexe and field monitoring tools, and analysis.</t>
  </si>
  <si>
    <t>Geographical reporting coverage</t>
  </si>
  <si>
    <t xml:space="preserve"> It won't analyse much the qualitative aspect of the intervention, while it is pre-condition for any intervention </t>
  </si>
  <si>
    <t>to respect minimum technical standards, shared and contextualised by the cluster</t>
  </si>
  <si>
    <t>However, depending of the needs, two actors can be considered per sub sctor, and different regarding wash sub-sector</t>
  </si>
  <si>
    <t>In a cluster point of view, to facilitate the data collection, the define focal wash agency is reporting for the whole situation per sub-sector, and not only on its own activities</t>
  </si>
  <si>
    <t>The agency focal point is defined on an bilateral agreement between NGO, while the Cluster can accompaign any process difficulties</t>
  </si>
  <si>
    <t>Wash Cluster, through intersectorial coordination with CCCM, is providing a site baseline data. However,  this pre-define list is not closed to new location, if related to the emmergency.</t>
  </si>
  <si>
    <t xml:space="preserve">In case of new location (ex: spontaneous camps not register with CCCM, host communities considered directly affected, isolated villages facing </t>
  </si>
  <si>
    <t>humanitarian risk…), please mark in the data base, and engage exchange with the Wash cluster in order to properly reconized this location, and allow to exchange with CCCM if needed.</t>
  </si>
  <si>
    <t>Principle</t>
  </si>
  <si>
    <t>The matrix remain a flexible tools and can be frequently adapted, based on field experience, needs, and change in the intervention context</t>
  </si>
  <si>
    <t>The Wash cluster has the duty to offer a feed back on data provided by the Agency, and offer a consolidated analysis.</t>
  </si>
  <si>
    <t>The wash cluster meeting, state level or country level, are the place to monthly exchange on results finding</t>
  </si>
  <si>
    <t>The 4W should be updated at monthly bases, while all agency are requested to fill the form to offer the more accurate and relevant situation vision</t>
  </si>
  <si>
    <t>To predict at minima the coverage extension or reduction in short term (When)</t>
  </si>
  <si>
    <t>The agency are also welcom to cross check the data and mention major discrpency with field observation. The wash cluster in that case ensure a follow up at the inter-cluster level</t>
  </si>
  <si>
    <t>The 4W and its analysis is shared with the Myanmar autorities</t>
  </si>
  <si>
    <t>The wash cluster is in charge to ensure to gather the information form the State government, in case of technical direct implementation</t>
  </si>
  <si>
    <t>The 4w consolidated by the wash cluster and its analysis will be monthly share through the google wash group, and the internet site</t>
  </si>
  <si>
    <t>Sub-sector remarks:</t>
  </si>
  <si>
    <t>Differenciation between emmergency facilities and semi permanent is done, in order to better forsee the facilities to be developped, further than the immediate coverage</t>
  </si>
  <si>
    <t>Water havest system is mentionned, but not taken in consideration in the calculation of safe water access coverage, due to the water quality</t>
  </si>
  <si>
    <t xml:space="preserve"> and the seasonality of it use, despite considered as a good mitigating technical solution</t>
  </si>
  <si>
    <t>Need for community space, as Temporary Learning School, are not yet clear to mesure, but has to be evaluated on existing structure by Agency</t>
  </si>
  <si>
    <t>Functional and efficient</t>
  </si>
  <si>
    <t>Not yet set up</t>
  </si>
  <si>
    <t>Gender issue is not proposed to be mesure by this tools, considered to be a minimum standard to be respected</t>
  </si>
  <si>
    <t xml:space="preserve">The objective being to mesure the needs remaining, and so the need covered, technical evaluation are not proposed, </t>
  </si>
  <si>
    <t xml:space="preserve">as" # of water point not working" or needed rehabilitation, concentrating on the services effective for the beneficiaries. </t>
  </si>
  <si>
    <t>Social organisation is proposed to be measured on basic effeciency accomplishment</t>
  </si>
  <si>
    <t>Desludging needs monitoring is high, but so high and challenging matter that another separate tools should be developped for a prpper follow up and plan set up</t>
  </si>
  <si>
    <r>
      <rPr>
        <sz val="18"/>
        <color indexed="8"/>
        <rFont val="Calibri"/>
        <family val="2"/>
      </rPr>
      <t>WASH CLUSTER</t>
    </r>
    <r>
      <rPr>
        <b/>
        <sz val="18"/>
        <color indexed="8"/>
        <rFont val="Calibri"/>
        <family val="2"/>
      </rPr>
      <t xml:space="preserve"> 4W MATRIX </t>
    </r>
    <r>
      <rPr>
        <sz val="18"/>
        <color indexed="8"/>
        <rFont val="Calibri"/>
        <family val="2"/>
      </rPr>
      <t>MYANMAR</t>
    </r>
  </si>
  <si>
    <t>Grand Total</t>
  </si>
  <si>
    <t>(All)</t>
  </si>
  <si>
    <t>Data</t>
  </si>
  <si>
    <t>Rank coverage</t>
  </si>
  <si>
    <t>Camps treshold</t>
  </si>
  <si>
    <t>2. Medium</t>
  </si>
  <si>
    <t>1. Small</t>
  </si>
  <si>
    <t>3. Large</t>
  </si>
  <si>
    <t>4. Big</t>
  </si>
  <si>
    <t>5. Massive</t>
  </si>
  <si>
    <t>Agencies involved</t>
  </si>
  <si>
    <t xml:space="preserve">Exit strategy plan from emergency supply </t>
  </si>
  <si>
    <t>Emergency structures</t>
  </si>
  <si>
    <r>
      <t xml:space="preserve">Semi-permanent structures </t>
    </r>
    <r>
      <rPr>
        <b/>
        <sz val="12"/>
        <color indexed="10"/>
        <rFont val="Calibri"/>
        <family val="2"/>
      </rPr>
      <t>functionning</t>
    </r>
  </si>
  <si>
    <t>Actual water needs coverage</t>
  </si>
  <si>
    <t>% Emergency latrines</t>
  </si>
  <si>
    <t>Not separated yet</t>
  </si>
  <si>
    <t>Latrines gender sperated</t>
  </si>
  <si>
    <t>Coverage Hygiene kits</t>
  </si>
  <si>
    <t>General comparative Analysis</t>
  </si>
  <si>
    <t>Water access</t>
  </si>
  <si>
    <t>Latrine access</t>
  </si>
  <si>
    <t>Community approach/ Hygiene Promotion</t>
  </si>
  <si>
    <t>% of actual need covered by emergency facilities</t>
  </si>
  <si>
    <r>
      <rPr>
        <b/>
        <sz val="10"/>
        <color indexed="10"/>
        <rFont val="Calibri"/>
        <family val="2"/>
      </rPr>
      <t>#</t>
    </r>
    <r>
      <rPr>
        <b/>
        <sz val="10"/>
        <color indexed="8"/>
        <rFont val="Calibri"/>
        <family val="2"/>
      </rPr>
      <t xml:space="preserve"> Hand pump (on well or borehole)</t>
    </r>
  </si>
  <si>
    <r>
      <rPr>
        <b/>
        <sz val="10"/>
        <color indexed="10"/>
        <rFont val="Calibri"/>
        <family val="2"/>
      </rPr>
      <t>Total #</t>
    </r>
    <r>
      <rPr>
        <b/>
        <sz val="10"/>
        <color indexed="8"/>
        <rFont val="Calibri"/>
        <family val="2"/>
      </rPr>
      <t xml:space="preserve"> Emergency Latrines built since camp opening</t>
    </r>
  </si>
  <si>
    <t>Hygiene promotion</t>
  </si>
  <si>
    <t>GPS x</t>
  </si>
  <si>
    <t>GPS y</t>
  </si>
  <si>
    <t>COMMUNITY MOBILIZATION</t>
  </si>
  <si>
    <t>Nb  community HP trainer trained by NGO</t>
  </si>
  <si>
    <t>Chipwi</t>
  </si>
  <si>
    <t>Chipwi KBC camp</t>
  </si>
  <si>
    <t>Lhaovao Baptist Church (LBC)</t>
  </si>
  <si>
    <t>Hpakan</t>
  </si>
  <si>
    <t>5 Ward Baptist Church(lon Khin)</t>
  </si>
  <si>
    <t>5 Ward RC Church(lon Khin)</t>
  </si>
  <si>
    <t>AG Church, Hmaw Si Sa</t>
  </si>
  <si>
    <t>AG Church, Maw Wan</t>
  </si>
  <si>
    <t>Baptist Church, Hmaw Si Sar(Lon Khin)</t>
  </si>
  <si>
    <t>Chin Church, Seik Mu</t>
  </si>
  <si>
    <t>Dhama Rakhita, Nyein Chan Tar Yar Ward(Lon Khin)</t>
  </si>
  <si>
    <t>Hmaw Wan, Anglican</t>
  </si>
  <si>
    <t>Lisu Baptist Church, Maw Shan Vil,. Seik Mu</t>
  </si>
  <si>
    <t>Lisu Baptist Church, Maw Wan Ward</t>
  </si>
  <si>
    <t>Maw Wan, Mu-yin Baptist Church</t>
  </si>
  <si>
    <t>Nant Ma Hpit Catholic Church</t>
  </si>
  <si>
    <t>Rawan Baptist Church, Maw Shan Vil., Seik Mu</t>
  </si>
  <si>
    <t>Sai Nai Baptish Church, Maw Shan Vil., Seki Mu</t>
  </si>
  <si>
    <t xml:space="preserve">Ward 2 Sai Taung Baptist Church, Seik Mu </t>
  </si>
  <si>
    <t>Yumar Baptist Church</t>
  </si>
  <si>
    <t>Khaunglanhpu</t>
  </si>
  <si>
    <t>La Ja</t>
  </si>
  <si>
    <t xml:space="preserve">Kyun Taw Baptist Church </t>
  </si>
  <si>
    <t>Mang Hawng Baptist Church</t>
  </si>
  <si>
    <t xml:space="preserve">Nat Gyi Kone Baptist Church </t>
  </si>
  <si>
    <t>Mohnyin</t>
  </si>
  <si>
    <t xml:space="preserve">St. Patrick Catholic Church </t>
  </si>
  <si>
    <t>Myitkyina</t>
  </si>
  <si>
    <t>Du Kahtawng Qtr. 14</t>
  </si>
  <si>
    <t>Du Kahtawng Qtr. 4</t>
  </si>
  <si>
    <t>Du Kahtawng Qtr. 5</t>
  </si>
  <si>
    <t>Jan Mai Kawng Baptist Church</t>
  </si>
  <si>
    <t>Jan Mai Kawng Catholic Church</t>
  </si>
  <si>
    <t>Kyun Pin Thar Baptist Church</t>
  </si>
  <si>
    <t>Le Kone Bethlehem Church</t>
  </si>
  <si>
    <t xml:space="preserve">Le Kone Ziun Baptist Church </t>
  </si>
  <si>
    <t>Maliyang Baptist Church</t>
  </si>
  <si>
    <t>Man Hkring Baptist Church</t>
  </si>
  <si>
    <t>Maw Hpawng Hka Nan Baptist Church</t>
  </si>
  <si>
    <t>Maw Hpawng Lhaovo Baptist Church</t>
  </si>
  <si>
    <t>Pa Dauk Myaing(Pa La Na)</t>
  </si>
  <si>
    <t>Shatapru Sut Ngai Tawng</t>
  </si>
  <si>
    <t>Shatapru Thida Aye Baptist Church</t>
  </si>
  <si>
    <t>Shwe Zet Baptist Church</t>
  </si>
  <si>
    <t>Tat Kone Baptist Church</t>
  </si>
  <si>
    <t>Tat Kone COC Baptist / Tat Kone Htoi San</t>
  </si>
  <si>
    <t>Tat Kone Emanuel Church</t>
  </si>
  <si>
    <t>Tat Kone Galile Baptist Church</t>
  </si>
  <si>
    <t>Tat Kone San Pya Baptist Church</t>
  </si>
  <si>
    <t>Wun Tho Buddhist Monastery</t>
  </si>
  <si>
    <t>Waingmaw</t>
  </si>
  <si>
    <t xml:space="preserve">Hkat Cho </t>
  </si>
  <si>
    <t>Hkau Shau (BP 12)</t>
  </si>
  <si>
    <t>Mading Baptist Church</t>
  </si>
  <si>
    <t xml:space="preserve">Maga Yang </t>
  </si>
  <si>
    <t>Maina AG Church</t>
  </si>
  <si>
    <t>Maina Catholic Church (St. Joseph)</t>
  </si>
  <si>
    <t>Maina KBC (Bawng Ring)</t>
  </si>
  <si>
    <t>Maina Lawang Baptist Church</t>
  </si>
  <si>
    <t>Nawng Hee Village</t>
  </si>
  <si>
    <t>Post 6 Camp</t>
  </si>
  <si>
    <t>Qtr. 2 Lhaovo Baptist Church</t>
  </si>
  <si>
    <t>Qtr. 2 Myoma Baptist Church</t>
  </si>
  <si>
    <t>Qtr. 3 Mu-yin  Baptist Church</t>
  </si>
  <si>
    <t>Qtr. 4 Monestry (Thargaya Thayett Taw)</t>
  </si>
  <si>
    <t>Shing Jai</t>
  </si>
  <si>
    <t>Thargaya Lisu Baptist Church</t>
  </si>
  <si>
    <t>Waingmaw AG Church</t>
  </si>
  <si>
    <t>Waingmaw Baptist Zonal Office</t>
  </si>
  <si>
    <t xml:space="preserve">Woi Chyai </t>
  </si>
  <si>
    <t>Zai Awng / Mung Ga Zup</t>
  </si>
  <si>
    <t>Bhamo</t>
  </si>
  <si>
    <t>Aung Thar Church</t>
  </si>
  <si>
    <t>Lisu Boarding-House</t>
  </si>
  <si>
    <t>Nant Hlaing Church</t>
  </si>
  <si>
    <t>Ta Gun Taing Monastery (Shwe Kyi Na)</t>
  </si>
  <si>
    <t>Yoe Kyi Monastery</t>
  </si>
  <si>
    <t>Mansi</t>
  </si>
  <si>
    <t>Manton</t>
  </si>
  <si>
    <t>Momauk</t>
  </si>
  <si>
    <t xml:space="preserve">Dum Bung </t>
  </si>
  <si>
    <t xml:space="preserve">Hpun Lum Yang </t>
  </si>
  <si>
    <t xml:space="preserve">Nhkawng Pa </t>
  </si>
  <si>
    <t>Loi Je Baptist Church</t>
  </si>
  <si>
    <t>Loi Je Catholic Church</t>
  </si>
  <si>
    <t xml:space="preserve">Mai Khat </t>
  </si>
  <si>
    <t xml:space="preserve">Man Nawng </t>
  </si>
  <si>
    <t>Mandalay Monestry</t>
  </si>
  <si>
    <t>Momauk Baptist Church</t>
  </si>
  <si>
    <t xml:space="preserve">Myo Thit </t>
  </si>
  <si>
    <t>Ni Thaw Ka Monestry</t>
  </si>
  <si>
    <t>Lawk Awng Mare D. (Sinbo Area)</t>
  </si>
  <si>
    <t>Shwe Gu Baptist Church</t>
  </si>
  <si>
    <t>Shwe Gu Catholic Church</t>
  </si>
  <si>
    <t xml:space="preserve">Je Yang Hka </t>
  </si>
  <si>
    <t>Pajau / Jan Mai</t>
  </si>
  <si>
    <t>Kutkai</t>
  </si>
  <si>
    <t>Kone Khem Camp</t>
  </si>
  <si>
    <t>Kutkai downtown (KBC Church)</t>
  </si>
  <si>
    <t>Kutkai downtown (RC Church)</t>
  </si>
  <si>
    <t>Mine Yu Lay village</t>
  </si>
  <si>
    <t xml:space="preserve">Mungji Pa Dabang (Baptist Church)         </t>
  </si>
  <si>
    <t xml:space="preserve">Mungji Pa Dabang (RC Church)         </t>
  </si>
  <si>
    <t xml:space="preserve">Nam Hpak Ka Mare </t>
  </si>
  <si>
    <t>Zup Aung Camp</t>
  </si>
  <si>
    <t>Muse</t>
  </si>
  <si>
    <t>Nam Hkam - Nay Win Ni (Palawng)</t>
  </si>
  <si>
    <t>Nam Hkam (KBC Jaw Wang)</t>
  </si>
  <si>
    <t>Nam Hkam Catholic Church ( St. Thomas I)</t>
  </si>
  <si>
    <t>GCA</t>
  </si>
  <si>
    <t xml:space="preserve">Njang Dung Baptist Church </t>
  </si>
  <si>
    <t>Nan Kway St. John Catholic Church</t>
  </si>
  <si>
    <t>Hpare Hkyer - BP6</t>
  </si>
  <si>
    <t>Man Bung Catholic compound</t>
  </si>
  <si>
    <t>Shwegu</t>
  </si>
  <si>
    <t>Puta-O</t>
  </si>
  <si>
    <t>Mogaung</t>
  </si>
  <si>
    <t>NGCA</t>
  </si>
  <si>
    <t>Border Post 8</t>
  </si>
  <si>
    <t>Hlaing Naung Baptist</t>
  </si>
  <si>
    <t>Nam Ma Phyit, COC</t>
  </si>
  <si>
    <t>Khun Sint Village</t>
  </si>
  <si>
    <t>Narte</t>
  </si>
  <si>
    <t>Namtu</t>
  </si>
  <si>
    <r>
      <rPr>
        <b/>
        <sz val="10"/>
        <color indexed="10"/>
        <rFont val="Calibri"/>
        <family val="2"/>
      </rPr>
      <t xml:space="preserve">litres/day produce </t>
    </r>
    <r>
      <rPr>
        <b/>
        <sz val="10"/>
        <color indexed="8"/>
        <rFont val="Calibri"/>
        <family val="2"/>
      </rPr>
      <t xml:space="preserve"> 
Water treatment station </t>
    </r>
  </si>
  <si>
    <r>
      <rPr>
        <b/>
        <sz val="10"/>
        <color indexed="10"/>
        <rFont val="Calibri"/>
        <family val="2"/>
      </rPr>
      <t>litres deliver during the month</t>
    </r>
    <r>
      <rPr>
        <b/>
        <sz val="10"/>
        <color indexed="8"/>
        <rFont val="Calibri"/>
        <family val="2"/>
      </rPr>
      <t xml:space="preserve">
Water/Boat trucking </t>
    </r>
  </si>
  <si>
    <t>KMSS</t>
  </si>
  <si>
    <t>Active</t>
  </si>
  <si>
    <t>Metta</t>
  </si>
  <si>
    <t>SI</t>
  </si>
  <si>
    <t>KBC</t>
  </si>
  <si>
    <t>Coverage Hygiene kits * Total PoP</t>
  </si>
  <si>
    <t>Row Labels</t>
  </si>
  <si>
    <t>Sum of Total PoP</t>
  </si>
  <si>
    <t>80-100%</t>
  </si>
  <si>
    <t>0-10%</t>
  </si>
  <si>
    <t>Household treatment</t>
  </si>
  <si>
    <t>Potential % of actual need coverage including houshold treatment solution</t>
  </si>
  <si>
    <r>
      <rPr>
        <b/>
        <sz val="14"/>
        <color indexed="10"/>
        <rFont val="Calibri"/>
        <family val="2"/>
      </rPr>
      <t>Safe</t>
    </r>
    <r>
      <rPr>
        <b/>
        <sz val="14"/>
        <color indexed="8"/>
        <rFont val="Calibri"/>
        <family val="2"/>
      </rPr>
      <t xml:space="preserve"> Water supply</t>
    </r>
  </si>
  <si>
    <r>
      <t xml:space="preserve">litres/Day </t>
    </r>
    <r>
      <rPr>
        <b/>
        <sz val="10"/>
        <rFont val="Calibri"/>
        <family val="2"/>
      </rPr>
      <t>provided with Overhead or storage tank with reticulation/ Water  gravity system           ( Yield x average running hours)</t>
    </r>
  </si>
  <si>
    <r>
      <rPr>
        <b/>
        <sz val="10"/>
        <color indexed="10"/>
        <rFont val="Calibri"/>
        <family val="2"/>
      </rPr>
      <t>%</t>
    </r>
    <r>
      <rPr>
        <b/>
        <sz val="10"/>
        <color indexed="8"/>
        <rFont val="Calibri"/>
        <family val="2"/>
      </rPr>
      <t xml:space="preserve"> Water harvesting system HH coverage</t>
    </r>
  </si>
  <si>
    <r>
      <rPr>
        <b/>
        <sz val="10"/>
        <color indexed="10"/>
        <rFont val="Calibri"/>
        <family val="2"/>
      </rPr>
      <t>#</t>
    </r>
    <r>
      <rPr>
        <b/>
        <sz val="10"/>
        <color indexed="8"/>
        <rFont val="Calibri"/>
        <family val="2"/>
      </rPr>
      <t xml:space="preserve"> Emergency latrines still </t>
    </r>
    <r>
      <rPr>
        <b/>
        <sz val="10"/>
        <color indexed="10"/>
        <rFont val="Calibri"/>
        <family val="2"/>
      </rPr>
      <t>functional</t>
    </r>
  </si>
  <si>
    <r>
      <rPr>
        <b/>
        <sz val="10"/>
        <color indexed="10"/>
        <rFont val="Calibri"/>
        <family val="2"/>
      </rPr>
      <t>#</t>
    </r>
    <r>
      <rPr>
        <b/>
        <sz val="10"/>
        <color indexed="8"/>
        <rFont val="Calibri"/>
        <family val="2"/>
      </rPr>
      <t xml:space="preserve"> Semi permanent latrine </t>
    </r>
    <r>
      <rPr>
        <b/>
        <sz val="10"/>
        <color indexed="10"/>
        <rFont val="Calibri"/>
        <family val="2"/>
      </rPr>
      <t>functional</t>
    </r>
  </si>
  <si>
    <r>
      <rPr>
        <b/>
        <sz val="10"/>
        <color indexed="10"/>
        <rFont val="Calibri"/>
        <family val="2"/>
      </rPr>
      <t>#</t>
    </r>
    <r>
      <rPr>
        <b/>
        <sz val="10"/>
        <color indexed="8"/>
        <rFont val="Calibri"/>
        <family val="2"/>
      </rPr>
      <t xml:space="preserve"> Hand washing station </t>
    </r>
    <r>
      <rPr>
        <b/>
        <sz val="10"/>
        <color indexed="10"/>
        <rFont val="Calibri"/>
        <family val="2"/>
      </rPr>
      <t>funtional</t>
    </r>
  </si>
  <si>
    <t>Column Labels</t>
  </si>
  <si>
    <t>Hpakant Baptist Church, Nam Ma Hpit</t>
  </si>
  <si>
    <t>Merlin</t>
  </si>
  <si>
    <t>Source of Data</t>
  </si>
  <si>
    <t>Focal NGO</t>
  </si>
  <si>
    <t>UNICEF</t>
  </si>
  <si>
    <t>Not documented</t>
  </si>
  <si>
    <t>Zoning cluster location</t>
  </si>
  <si>
    <t>Cluster 1</t>
  </si>
  <si>
    <t>Cluster 2</t>
  </si>
  <si>
    <t>Cluster 3</t>
  </si>
  <si>
    <t>Cluster 4</t>
  </si>
  <si>
    <t>Cluster 5</t>
  </si>
  <si>
    <t>(Multiple Items)</t>
  </si>
  <si>
    <t>Ratio between population and nb of community HP</t>
  </si>
  <si>
    <t>% Semi permanent latrine</t>
  </si>
  <si>
    <t>Access of safe water drinking permanent water point</t>
  </si>
  <si>
    <t>Cluster 6</t>
  </si>
  <si>
    <t>Cluster 7</t>
  </si>
  <si>
    <t>Cluster 8</t>
  </si>
  <si>
    <t>Cluster 9</t>
  </si>
  <si>
    <t>Estimated coverage of bathroom at the end of project with gender speration</t>
  </si>
  <si>
    <r>
      <rPr>
        <b/>
        <sz val="10"/>
        <color indexed="10"/>
        <rFont val="Calibri"/>
        <family val="2"/>
      </rPr>
      <t>% Estimated</t>
    </r>
    <r>
      <rPr>
        <b/>
        <sz val="10"/>
        <color indexed="8"/>
        <rFont val="Calibri"/>
        <family val="2"/>
      </rPr>
      <t xml:space="preserve"> coverage of latrine need at the end of project</t>
    </r>
  </si>
  <si>
    <t>Estimated coverage need of hand washing station at the end of project</t>
  </si>
  <si>
    <r>
      <rPr>
        <b/>
        <sz val="10"/>
        <color indexed="10"/>
        <rFont val="Calibri"/>
        <family val="2"/>
      </rPr>
      <t>%</t>
    </r>
    <r>
      <rPr>
        <b/>
        <sz val="10"/>
        <color indexed="8"/>
        <rFont val="Calibri"/>
        <family val="2"/>
      </rPr>
      <t xml:space="preserve"> Estimated need coverage at the end of project</t>
    </r>
  </si>
  <si>
    <t>AD-2000 Tharthana Compound*</t>
  </si>
  <si>
    <t>Htoi San Church*</t>
  </si>
  <si>
    <t>Shalom</t>
  </si>
  <si>
    <t>IRRC</t>
  </si>
  <si>
    <t>KMSS- Lashio</t>
  </si>
  <si>
    <t>Man Wing Baptist Church*</t>
  </si>
  <si>
    <t>Man Wing Catholic Church*</t>
  </si>
  <si>
    <t>Mansi Baptist Church*</t>
  </si>
  <si>
    <t>Church</t>
  </si>
  <si>
    <t>Pan Wa</t>
  </si>
  <si>
    <t>CESVI</t>
  </si>
  <si>
    <t>WPN</t>
  </si>
  <si>
    <t>Documented</t>
  </si>
  <si>
    <t>Community management organise and efficient in camps</t>
  </si>
  <si>
    <t>Count of Community management organise and efficient in camps</t>
  </si>
  <si>
    <t>UNHCR</t>
  </si>
  <si>
    <t>Latrine shared by families , not separated</t>
  </si>
  <si>
    <t>Separate, clearly perceived</t>
  </si>
  <si>
    <t>Separate, but not clearly perceived</t>
  </si>
  <si>
    <t xml:space="preserve">Set up but low results </t>
  </si>
  <si>
    <t>Not yet planned</t>
  </si>
  <si>
    <r>
      <rPr>
        <b/>
        <sz val="10"/>
        <color indexed="10"/>
        <rFont val="Calibri"/>
        <family val="2"/>
      </rPr>
      <t>#</t>
    </r>
    <r>
      <rPr>
        <b/>
        <sz val="10"/>
        <color indexed="8"/>
        <rFont val="Calibri"/>
        <family val="2"/>
      </rPr>
      <t xml:space="preserve"> Open hand Dug wells (without hand pump)</t>
    </r>
  </si>
  <si>
    <r>
      <rPr>
        <b/>
        <sz val="10"/>
        <color rgb="FFFF0000"/>
        <rFont val="Calibri"/>
        <family val="2"/>
      </rPr>
      <t xml:space="preserve">Date </t>
    </r>
    <r>
      <rPr>
        <b/>
        <sz val="10"/>
        <color theme="1"/>
        <rFont val="Calibri"/>
        <family val="2"/>
      </rPr>
      <t>Last Full Hygiene Kit distribution</t>
    </r>
  </si>
  <si>
    <r>
      <rPr>
        <b/>
        <sz val="10"/>
        <color indexed="10"/>
        <rFont val="Calibri"/>
        <family val="2"/>
      </rPr>
      <t>Total #</t>
    </r>
    <r>
      <rPr>
        <b/>
        <sz val="10"/>
        <color indexed="8"/>
        <rFont val="Calibri"/>
        <family val="2"/>
      </rPr>
      <t xml:space="preserve"> of Full Hygiene kit distributed during last distribution</t>
    </r>
  </si>
  <si>
    <r>
      <rPr>
        <b/>
        <sz val="10"/>
        <color indexed="10"/>
        <rFont val="Calibri"/>
        <family val="2"/>
      </rPr>
      <t>#</t>
    </r>
    <r>
      <rPr>
        <b/>
        <sz val="10"/>
        <color indexed="8"/>
        <rFont val="Calibri"/>
        <family val="2"/>
      </rPr>
      <t xml:space="preserve"> of month distributed for Refilling Kits since last full kit distribution</t>
    </r>
  </si>
  <si>
    <t>Next distribution to be done</t>
  </si>
  <si>
    <t>None</t>
  </si>
  <si>
    <t>Population for Actual water needs coverage</t>
  </si>
  <si>
    <t>Population for Estimated need coverage in 2 months</t>
  </si>
  <si>
    <t>Population for of actual need covered by emergency facilities</t>
  </si>
  <si>
    <t>Population for Potential % of actual need coverage including houshold treatment solution</t>
  </si>
  <si>
    <t>Population for access of safe water drinking permanent water point</t>
  </si>
  <si>
    <t>Population for % Emergency latrines</t>
  </si>
  <si>
    <t>Population for % Latrine needs coverage</t>
  </si>
  <si>
    <t>Population for % Semi permanent latrine</t>
  </si>
  <si>
    <t>Population for % Estimated coverage of latrine need at the end of project</t>
  </si>
  <si>
    <t>Population Coverage Bathing %</t>
  </si>
  <si>
    <t>Population for  Estimated coverage of bathroom need at the end of projects  % with gender speration</t>
  </si>
  <si>
    <t>Maing Khaung Baptist Church</t>
  </si>
  <si>
    <t>Maing Khaung Catholic Church</t>
  </si>
  <si>
    <t>Cluster 10</t>
  </si>
  <si>
    <t xml:space="preserve">Nawng Ing (Indawgyi) Baptist Church  </t>
  </si>
  <si>
    <t xml:space="preserve">Loi Je Nyaung Na Pin </t>
  </si>
  <si>
    <t xml:space="preserve">Loi Je Seng Ja </t>
  </si>
  <si>
    <t>KACHIN EMERGENCY FUNDS ANALYSIS</t>
  </si>
  <si>
    <t>DONORS FUND PARTICIPATION *</t>
  </si>
  <si>
    <t>Year fund received</t>
  </si>
  <si>
    <t>Sum of Total budget of the project US$. For only WASH related cost (including related support costs)</t>
  </si>
  <si>
    <t>Donor</t>
  </si>
  <si>
    <t>ECHO</t>
  </si>
  <si>
    <t>Germany</t>
  </si>
  <si>
    <t>OFDA</t>
  </si>
  <si>
    <t>CERF</t>
  </si>
  <si>
    <t>Canada</t>
  </si>
  <si>
    <t>Australian</t>
  </si>
  <si>
    <t>France</t>
  </si>
  <si>
    <t>Sweden</t>
  </si>
  <si>
    <t>CIDA</t>
  </si>
  <si>
    <t>FUND RECEIVED PER YEAR</t>
  </si>
  <si>
    <t>APPROXIMATE FUND USE/ENGAGED PER YEAR*</t>
  </si>
  <si>
    <t>GEOGRAPHIC FUND REPARTITION</t>
  </si>
  <si>
    <t>% fund attributed for Northern Shan</t>
  </si>
  <si>
    <t xml:space="preserve"> % fund attributed for South Kachin</t>
  </si>
  <si>
    <t xml:space="preserve"> % funds attributed for North kachin</t>
  </si>
  <si>
    <t>Average of Approximative % of NGCA beneficiaries</t>
  </si>
  <si>
    <t>Average of Approximative % of GCA beneficiaries</t>
  </si>
  <si>
    <t>BENEFICIARIES REPARTITION</t>
  </si>
  <si>
    <t>Average of Approximate % of beneficiaries in host community</t>
  </si>
  <si>
    <t>Average of Approximate % of beneficiaries in camps</t>
  </si>
  <si>
    <t>FUNDS REPARTITION BY SUB-SECTOR</t>
  </si>
  <si>
    <t>Average of Approximate % of fund dedicated to sanitation</t>
  </si>
  <si>
    <t>Average of Approximate % fund dedicated to Water access</t>
  </si>
  <si>
    <t>Average of Approximate % of fund dedicated to HP</t>
  </si>
  <si>
    <t>NB OF BENEFICIARIES PER SUB-SECTOR IN CAMPS</t>
  </si>
  <si>
    <t>Number of sanitation beneficiaries</t>
  </si>
  <si>
    <t>Number of water access beneficiaries</t>
  </si>
  <si>
    <t xml:space="preserve"> Number of beneficiairies for HE</t>
  </si>
  <si>
    <t>NB OF BENEFICIARIES IN HOST COMMUNITIES</t>
  </si>
  <si>
    <t>Agency leading the project</t>
  </si>
  <si>
    <t xml:space="preserve"> Nb of sanitation beneficiaries</t>
  </si>
  <si>
    <t>Nb of water access beneficiaries</t>
  </si>
  <si>
    <t>Nb of beneficiairies for HE in host</t>
  </si>
  <si>
    <t>Last update:</t>
  </si>
  <si>
    <t>KACHIN EMMERGENCY FUNDING MATRIX</t>
  </si>
  <si>
    <t>Beneficiaries target  detail by type and sub-sector</t>
  </si>
  <si>
    <t>General</t>
  </si>
  <si>
    <t>Details</t>
  </si>
  <si>
    <t>Beneficiaries</t>
  </si>
  <si>
    <t>Camps</t>
  </si>
  <si>
    <t>Other than camp 
(Host communities, villages...)</t>
  </si>
  <si>
    <t>Budget details</t>
  </si>
  <si>
    <t xml:space="preserve">Implementing or consortium partner  </t>
  </si>
  <si>
    <t>cofunding donors</t>
  </si>
  <si>
    <t>Name of the project</t>
  </si>
  <si>
    <t>Project start date 
 dd/mm/yy</t>
  </si>
  <si>
    <t>Project end date  dd/mm/yy</t>
  </si>
  <si>
    <t>Status of the project</t>
  </si>
  <si>
    <t>Total Nb of wash beneficiaries</t>
  </si>
  <si>
    <t>Approximative % of NGCA beneficiaries</t>
  </si>
  <si>
    <t>Approximative % of GCA beneficiaries</t>
  </si>
  <si>
    <t>% Northern Shan</t>
  </si>
  <si>
    <t>%South Kachin</t>
  </si>
  <si>
    <t>%North kachin</t>
  </si>
  <si>
    <t>Approximate % of beneficiaries in camps</t>
  </si>
  <si>
    <t>Approximate % of beneficiaries in host community</t>
  </si>
  <si>
    <t>Nb of sanitation beneficiaries plan</t>
  </si>
  <si>
    <t>Nb of water access beneficiaries plan</t>
  </si>
  <si>
    <t>Nb of beneficiairies for HE</t>
  </si>
  <si>
    <t>Total budget of the project US$. For only WASH related cost (including related support costs)</t>
  </si>
  <si>
    <t>Approximate fund before 2014 regarding project date implementation</t>
  </si>
  <si>
    <t>Approximate fund 2014 regarding project date implementation</t>
  </si>
  <si>
    <t>Approximate fund % dedicated to camps population only</t>
  </si>
  <si>
    <t>Approximate % of fund dedicated to sanitation</t>
  </si>
  <si>
    <t>Approximate % fund dedicated to Water access</t>
  </si>
  <si>
    <t>Approximate % of fund dedicated to HP</t>
  </si>
  <si>
    <t>Miscellaneous Comments on project</t>
  </si>
  <si>
    <t>Provision of Hygiene and Sanitation facilities for IDPs at Khaung Doke Khar, Say Tha Mar Gyi and Ohn Taw Gyi 2 camps at Sittwe Township in Rakhine State</t>
  </si>
  <si>
    <t>Emergency support for people displaced by the conflict in Kachin State, Myanmar</t>
  </si>
  <si>
    <t>DWHH</t>
  </si>
  <si>
    <t xml:space="preserve"> Improvement of Community Drinking Water Supply and Strengthening of Communal Structures of Marginalised Population in Northern Shan State as well as Humanitarian Assistance to IDP due to the armed conflict in Kachin State (PN: 20121882.5)</t>
  </si>
  <si>
    <t>HIDA</t>
  </si>
  <si>
    <t>Provision of water and sanitation facilities, and non-food relief items - IDPs in Kachin State (M013859)</t>
  </si>
  <si>
    <t>Humanitarian Assistance to Internally Dispalced Persons in Kachin
Addendum</t>
  </si>
  <si>
    <t xml:space="preserve">Humanitarian Assistance to Internally Dispalced Persons in Kachin
</t>
  </si>
  <si>
    <t>Humanitarian Assistance to Internally Dispalced Persons in Kachin</t>
  </si>
  <si>
    <t>ERF</t>
  </si>
  <si>
    <t>Humanitarian assitance to internally displaced persons in Kachin State</t>
  </si>
  <si>
    <t>Supporting life saving health interventions in conflict affected populations in Northern Shan State, Myanmar</t>
  </si>
  <si>
    <t>Oxfam GB</t>
  </si>
  <si>
    <t>KBC/Shalom</t>
  </si>
  <si>
    <t>Australian
CIDA</t>
  </si>
  <si>
    <t>Emergency Response for Conflict-Affected Population in Kachin and Northern Shan</t>
  </si>
  <si>
    <t>Data input on 17/10/2013</t>
  </si>
  <si>
    <t>ECHO/CIDA</t>
  </si>
  <si>
    <t>Same project than previous one, co-financing</t>
  </si>
  <si>
    <t>ECHO/Australian</t>
  </si>
  <si>
    <t>Plan</t>
  </si>
  <si>
    <t>SCI</t>
  </si>
  <si>
    <t>Emergency Assistance to Conflict Affected Populations in Myanmar</t>
  </si>
  <si>
    <t>active</t>
  </si>
  <si>
    <t>Emergency WASH support for the affected population in Southern Kachin State</t>
  </si>
  <si>
    <t>Water, Sanitation and Hygiene assistance for IDPs affected by the conflict in Southern Kachin State (ECHO/-XA/BUD/2012/91023)</t>
  </si>
  <si>
    <t>Part of global project including Rakhines. For activities the 58% remaining are for Winter kits and assesment of new sites.</t>
  </si>
  <si>
    <t xml:space="preserve"> WASH activities and distribution of non-food items in the Bhamo camps</t>
  </si>
  <si>
    <t>Completed</t>
  </si>
  <si>
    <t>UNICEF/OFDA</t>
  </si>
  <si>
    <t>Cofi-UNICEF-CERF//ECHO The reported beneficiaries are under the ECHO Project for both of those project // ----------------------------------------------------------------the remaining 35% for the distribution of Winter Kits</t>
  </si>
  <si>
    <t>Water, Sanitation and Hygiene rapid response to internal displacements in Kachin and Northern Shan States</t>
  </si>
  <si>
    <t>Integrated WaSH assistance to IDPs affected by conflict
 in Kachin State</t>
  </si>
  <si>
    <t>Trocaire</t>
  </si>
  <si>
    <t>DIFID</t>
  </si>
  <si>
    <t>WASH activity and distribution of Hygiene Kits in Myitkyina and Lashio</t>
  </si>
  <si>
    <t>Secondment of a WASH emergency officer to UNICEF for work in Kachin</t>
  </si>
  <si>
    <t>Secondment of a WASH emergency Capacity building to UNICEF for work in Kachin</t>
  </si>
  <si>
    <t>List status</t>
  </si>
  <si>
    <t>In soumission</t>
  </si>
  <si>
    <t>Rajouter CERF recu et difference commited</t>
  </si>
  <si>
    <t>WASH CLUSTER STRATEGY QUANTITATIVE OBJECTIVE FOLLOW UP</t>
  </si>
  <si>
    <t>Target population</t>
  </si>
  <si>
    <t>Presently targetted</t>
  </si>
  <si>
    <t>% Targetted</t>
  </si>
  <si>
    <t>Remarks</t>
  </si>
  <si>
    <t>Target review in consideration of population update in 4W</t>
  </si>
  <si>
    <r>
      <t xml:space="preserve">Indicators Follow up </t>
    </r>
    <r>
      <rPr>
        <b/>
        <i/>
        <sz val="11"/>
        <color theme="0"/>
        <rFont val="Calibri"/>
        <family val="2"/>
        <scheme val="minor"/>
      </rPr>
      <t>(only quantativally measurable, taken form cluster strategy)</t>
    </r>
  </si>
  <si>
    <t>Objective 1, indicators:</t>
  </si>
  <si>
    <t>Target</t>
  </si>
  <si>
    <t>Achieved</t>
  </si>
  <si>
    <t>Verification sources</t>
  </si>
  <si>
    <t>4W</t>
  </si>
  <si>
    <t>Objective 2, indicators:</t>
  </si>
  <si>
    <t>Objective 3, indicators:</t>
  </si>
  <si>
    <t xml:space="preserve">IDP in GCA camps </t>
  </si>
  <si>
    <t>IDP in NGCA camps</t>
  </si>
  <si>
    <t>Student</t>
  </si>
  <si>
    <t>Small Scale emergency</t>
  </si>
  <si>
    <t>Camp</t>
  </si>
  <si>
    <t>School</t>
  </si>
  <si>
    <t>Potential Number permanent water point missing</t>
  </si>
  <si>
    <t>Number family having ceramic filter</t>
  </si>
  <si>
    <t>nb of persons having rain harvest acess</t>
  </si>
  <si>
    <t>Nb of missing bathing space</t>
  </si>
  <si>
    <t>Nb of missing hand washing station</t>
  </si>
  <si>
    <t>Master 4W WASH  ANALYSIS</t>
  </si>
  <si>
    <t>Master 4W WASH KACHIN</t>
  </si>
  <si>
    <t>Namtu Baptist</t>
  </si>
  <si>
    <t>Doke Htan Ward</t>
  </si>
  <si>
    <t>Village</t>
  </si>
  <si>
    <t>Mu-yin Baptist Church</t>
  </si>
  <si>
    <t>Agritural Compound (KBC)</t>
  </si>
  <si>
    <t>Kachin Su Baptist Church (ECCD)</t>
  </si>
  <si>
    <t>Khar Nan (1) Baptist Church</t>
  </si>
  <si>
    <t>Man Bung Edin Baptist Church</t>
  </si>
  <si>
    <t xml:space="preserve">Tarli </t>
  </si>
  <si>
    <t>Namkham</t>
  </si>
  <si>
    <t>Bang Lung</t>
  </si>
  <si>
    <t>Jaw 2</t>
  </si>
  <si>
    <t xml:space="preserve">these IDPs are using nearest water sources </t>
  </si>
  <si>
    <t>Chipwi (School coumpound)</t>
  </si>
  <si>
    <t>Japan</t>
  </si>
  <si>
    <t>Emergency WASH assistance and Food Security and Livelihood support to vulnerable populations affected by conflicts in Rakhine and Kachin States</t>
  </si>
  <si>
    <t>SC seed funding</t>
  </si>
  <si>
    <t>MMR Kachin  Humanitarian Response</t>
  </si>
  <si>
    <t>Humanitarian assistance to populations affected by vioence in Rakhine &amp; Kachin States</t>
  </si>
  <si>
    <t>SIDA</t>
  </si>
  <si>
    <t>MMR Emergency assistance to populations affected by displacement and violence in Kachin State</t>
  </si>
  <si>
    <t>Muse KBC Church</t>
  </si>
  <si>
    <t>Muse RC Church</t>
  </si>
  <si>
    <t>Loi Je RC Boarding School</t>
  </si>
  <si>
    <t>Camp_P_Code</t>
  </si>
  <si>
    <t>MMR001CMP001</t>
  </si>
  <si>
    <t>MMR001CMP002</t>
  </si>
  <si>
    <t>MMR001CMP003</t>
  </si>
  <si>
    <t>MMR001CMP004</t>
  </si>
  <si>
    <t>MMR001CMP005</t>
  </si>
  <si>
    <t>MMR001CMP006</t>
  </si>
  <si>
    <t>MMR001CMP007</t>
  </si>
  <si>
    <t>MMR001CMP009</t>
  </si>
  <si>
    <t>MMR001CMP008</t>
  </si>
  <si>
    <t>MMR001CMP010</t>
  </si>
  <si>
    <t>MMR001CMP011</t>
  </si>
  <si>
    <t>MMR001CMP012</t>
  </si>
  <si>
    <t>MMR001CMP013</t>
  </si>
  <si>
    <t>MMR001CMP014</t>
  </si>
  <si>
    <t>MMR001CMP015</t>
  </si>
  <si>
    <t>MMR001CMP016</t>
  </si>
  <si>
    <t>MMR001CMP018</t>
  </si>
  <si>
    <t>MMR001CMP019</t>
  </si>
  <si>
    <t>MMR001CMP020</t>
  </si>
  <si>
    <t>MMR001CMP021</t>
  </si>
  <si>
    <t>MMR001CMP022</t>
  </si>
  <si>
    <t>MMR001CMP023</t>
  </si>
  <si>
    <t>MMR001CMP024</t>
  </si>
  <si>
    <t>MMR001CMP162</t>
  </si>
  <si>
    <t>MMR001CMP050</t>
  </si>
  <si>
    <t>MMR001CMP194</t>
  </si>
  <si>
    <t>MMR001CMP052</t>
  </si>
  <si>
    <t>MMR001CMP049</t>
  </si>
  <si>
    <t>MMR001CMP051</t>
  </si>
  <si>
    <t>MMR001CMP054</t>
  </si>
  <si>
    <t>MMR001CMP193</t>
  </si>
  <si>
    <t>MMR001CMP047</t>
  </si>
  <si>
    <t>MMR001CMP055</t>
  </si>
  <si>
    <t>MMR001CMP053</t>
  </si>
  <si>
    <t>MMR001CMP042</t>
  </si>
  <si>
    <t>MMR001CMP043</t>
  </si>
  <si>
    <t>MMR001CMP195</t>
  </si>
  <si>
    <t>MMR001CMP210</t>
  </si>
  <si>
    <t>MMR001CMP179</t>
  </si>
  <si>
    <t>MMR001CMP168</t>
  </si>
  <si>
    <t>MMR001CMP176</t>
  </si>
  <si>
    <t>MMR001CMP190</t>
  </si>
  <si>
    <t>MMR001CMP169</t>
  </si>
  <si>
    <t>MMR001CMP109</t>
  </si>
  <si>
    <t>MMR001CMP174</t>
  </si>
  <si>
    <t>MMR001CMP148</t>
  </si>
  <si>
    <t>MMR001CMP191</t>
  </si>
  <si>
    <t>MMR001CMP181</t>
  </si>
  <si>
    <t>MMR001CMP167</t>
  </si>
  <si>
    <t>MMR001CMP091</t>
  </si>
  <si>
    <t>MMR001CMP192</t>
  </si>
  <si>
    <t>MMR001CMP103</t>
  </si>
  <si>
    <t>MMR001CMP182</t>
  </si>
  <si>
    <t>MMR001CMP183</t>
  </si>
  <si>
    <t>MMR001CMP184</t>
  </si>
  <si>
    <t>MMR001CMP105</t>
  </si>
  <si>
    <t>MMR001CMP074</t>
  </si>
  <si>
    <t>MMR015CMP015</t>
  </si>
  <si>
    <t>MMR015CMP016</t>
  </si>
  <si>
    <t>MMR015CMP017</t>
  </si>
  <si>
    <t>MMR015CMP018</t>
  </si>
  <si>
    <t>MMR015CMP006</t>
  </si>
  <si>
    <t>MMR015CMP019</t>
  </si>
  <si>
    <t>MMR001CMP129</t>
  </si>
  <si>
    <t>MMR001CMP202</t>
  </si>
  <si>
    <t>MMR001CMP128</t>
  </si>
  <si>
    <t>MMR001CMP212</t>
  </si>
  <si>
    <t>MMR001CMP213</t>
  </si>
  <si>
    <t>MMR001CMP133</t>
  </si>
  <si>
    <t>MMR001CMP132</t>
  </si>
  <si>
    <t>MMR001CMP066</t>
  </si>
  <si>
    <t>MMR001CMP077</t>
  </si>
  <si>
    <t>MMR001CMP079</t>
  </si>
  <si>
    <t>MMR001CMP078</t>
  </si>
  <si>
    <t>MMR001CMP080</t>
  </si>
  <si>
    <t>MMR001CMP152</t>
  </si>
  <si>
    <t>MMR001CMP123</t>
  </si>
  <si>
    <t>MMR001CMP197</t>
  </si>
  <si>
    <t>MMR001CMP122</t>
  </si>
  <si>
    <t>MMR001CMP121</t>
  </si>
  <si>
    <t>MMR001CMP200</t>
  </si>
  <si>
    <t>MMR001CMP071</t>
  </si>
  <si>
    <t>MMR001CMP069</t>
  </si>
  <si>
    <t>MMR001CMP070</t>
  </si>
  <si>
    <t>MMR001CMP064</t>
  </si>
  <si>
    <t>MMR001CMP062</t>
  </si>
  <si>
    <t>MMR001CMP063</t>
  </si>
  <si>
    <t>MMR001CMP058</t>
  </si>
  <si>
    <t>MMR001CMP056</t>
  </si>
  <si>
    <t>MMR001CMP061</t>
  </si>
  <si>
    <t>MMR001CMP059</t>
  </si>
  <si>
    <t>MMR001CMP060</t>
  </si>
  <si>
    <t>MMR015CMP004</t>
  </si>
  <si>
    <t>MMR015CMP001</t>
  </si>
  <si>
    <t>MMR015CMP003</t>
  </si>
  <si>
    <t>MMR001CMP075</t>
  </si>
  <si>
    <t>MMR001CMP067</t>
  </si>
  <si>
    <t>MMR001CMP068</t>
  </si>
  <si>
    <t>MMR001CMP199</t>
  </si>
  <si>
    <t>MMR001CMP113</t>
  </si>
  <si>
    <t>MMR001CMP028</t>
  </si>
  <si>
    <t>MMR001CMP115</t>
  </si>
  <si>
    <t>MMR001CMP208</t>
  </si>
  <si>
    <t>MMR001CMP027</t>
  </si>
  <si>
    <t>MMR001CMP119</t>
  </si>
  <si>
    <t>MMR001CMP031</t>
  </si>
  <si>
    <t>MMR001CMP029</t>
  </si>
  <si>
    <t>MMR001CMP040</t>
  </si>
  <si>
    <t>MMR001CMP039</t>
  </si>
  <si>
    <t>MMR001CMP033</t>
  </si>
  <si>
    <t>MMR001CMP120</t>
  </si>
  <si>
    <t>MMR001CMP160</t>
  </si>
  <si>
    <t>MMR001CMP032</t>
  </si>
  <si>
    <t>MMR001CMP025</t>
  </si>
  <si>
    <t>MMR001CMP030</t>
  </si>
  <si>
    <t>MMR001CMP026</t>
  </si>
  <si>
    <t>MMR001CMP041</t>
  </si>
  <si>
    <t>MMR001CMP037</t>
  </si>
  <si>
    <t>MMR001CMP038</t>
  </si>
  <si>
    <t>MMR001CMP036</t>
  </si>
  <si>
    <t>MMR001CMP116</t>
  </si>
  <si>
    <t>MMR001CMP111</t>
  </si>
  <si>
    <t>Start fund</t>
  </si>
  <si>
    <t>Oxfam</t>
  </si>
  <si>
    <t>Emergency Response for Conflict-Affected Population in Kachin and Northern Shan 14/15</t>
  </si>
  <si>
    <t xml:space="preserve">Data input on 09/06/2014. Note this funding does not enable full coverage with hygiene kits in GCA camps. Oxfam will submit to UNICEF a proposal to cover the gap, but targeting will also be established this year due to increasing livlihoods and decreasing donor funds. </t>
  </si>
  <si>
    <t>Population</t>
  </si>
  <si>
    <r>
      <rPr>
        <b/>
        <sz val="12"/>
        <color theme="1"/>
        <rFont val="Cambria"/>
        <family val="1"/>
        <scheme val="major"/>
      </rPr>
      <t xml:space="preserve">UNICEF break down funds received </t>
    </r>
    <r>
      <rPr>
        <sz val="10"/>
        <color theme="1"/>
        <rFont val="Cambria"/>
        <family val="1"/>
        <scheme val="major"/>
      </rPr>
      <t>(Should not be double counted with UNICEF commited funds with PCA)</t>
    </r>
  </si>
  <si>
    <t>Tat Kone (Ra Da Kawng)</t>
  </si>
  <si>
    <t>Girl Boarding house, A Len Bum</t>
  </si>
  <si>
    <t>Boys Boarding house, A Len Bum</t>
  </si>
  <si>
    <t>Bum Tsit Pa * (1)</t>
  </si>
  <si>
    <t>Bum Tsit Pa * (2)</t>
  </si>
  <si>
    <t xml:space="preserve">Pa Kahtawng Boarding Middle School </t>
  </si>
  <si>
    <t xml:space="preserve">Pa Kahtawng Boarding High School </t>
  </si>
  <si>
    <t>Pa Kahtawng 2</t>
  </si>
  <si>
    <t>Pa Kahtawng 1B</t>
  </si>
  <si>
    <t>Pa Kahtawng 1 A</t>
  </si>
  <si>
    <t>Pa Kahtawng Host Families</t>
  </si>
  <si>
    <t>MWG -RC2</t>
  </si>
  <si>
    <t>Nam Hkawng/Manaung kaung</t>
  </si>
  <si>
    <t>Mandung - Jinghpaw</t>
  </si>
  <si>
    <t>Mandung - RC</t>
  </si>
  <si>
    <t>(Nam Hoi) Host families</t>
  </si>
  <si>
    <t>Gap</t>
  </si>
  <si>
    <r>
      <rPr>
        <b/>
        <sz val="10"/>
        <color rgb="FFFF0000"/>
        <rFont val="Calibri"/>
        <family val="2"/>
        <scheme val="minor"/>
      </rPr>
      <t>%</t>
    </r>
    <r>
      <rPr>
        <b/>
        <sz val="10"/>
        <color theme="1"/>
        <rFont val="Calibri"/>
        <family val="2"/>
        <scheme val="minor"/>
      </rPr>
      <t xml:space="preserve"> Household covered with Household filtration </t>
    </r>
  </si>
  <si>
    <t>Incinerator operational</t>
  </si>
  <si>
    <t xml:space="preserve">Development of Lifesaving WASH Facilities in tandem with New Shelter Construction for IDPs
</t>
  </si>
  <si>
    <t>DONORS FUNDS PARTICIPATION</t>
  </si>
  <si>
    <t>Sum of Approximate fund 2014 regarding project date implementation</t>
  </si>
  <si>
    <t>AD-2000 Extension camp</t>
  </si>
  <si>
    <t>Loi Je Lisu  (1) Camp</t>
  </si>
  <si>
    <t>Loi Je Lisu  (2) Camp</t>
  </si>
  <si>
    <t>Loi Je Lisu  (3) Camp</t>
  </si>
  <si>
    <t>MMR015CMP009</t>
  </si>
  <si>
    <t xml:space="preserve">community have practice as wash their hand at bathing space near the latrines </t>
  </si>
  <si>
    <t>MDCG supported WASH-Shelter as HH level (no need to construct semi-parmanent)/ bathing space was ongoing activities by Metta</t>
  </si>
  <si>
    <t>Sum of # Semi permanent latrines missing</t>
  </si>
  <si>
    <t>Sum of Coverage Full HK %</t>
  </si>
  <si>
    <t>Population receiving HP at HH level</t>
  </si>
  <si>
    <t>Count of Latrines gender sperated</t>
  </si>
  <si>
    <t>Targetted</t>
  </si>
  <si>
    <t>Count of Targetted</t>
  </si>
  <si>
    <t>Covered</t>
  </si>
  <si>
    <t>Not covered</t>
  </si>
  <si>
    <t>Count of Documented</t>
  </si>
  <si>
    <t>% Water Need coverage</t>
  </si>
  <si>
    <t>% Latrine need coverage</t>
  </si>
  <si>
    <t>% Bathroom need coverage</t>
  </si>
  <si>
    <t>%  Latrine need coverage</t>
  </si>
  <si>
    <t>Count of Rank coverage</t>
  </si>
  <si>
    <t>% Coverage Permanent Latrine</t>
  </si>
  <si>
    <t>% Coverage Emergency latrine</t>
  </si>
  <si>
    <t>%Coverage Permanent Latrine</t>
  </si>
  <si>
    <t>Nb of Familly affected</t>
  </si>
  <si>
    <t>% Coverage Full HK</t>
  </si>
  <si>
    <t>% Coverage HP session at HH level</t>
  </si>
  <si>
    <t>% Coverage projection end of project</t>
  </si>
  <si>
    <t>% Projection latrine need coverage EOP</t>
  </si>
  <si>
    <t>% Projection Bathrrom coverage EOP</t>
  </si>
  <si>
    <t>%  Coverage Emergency latrine</t>
  </si>
  <si>
    <r>
      <t xml:space="preserve"># of Bathing space </t>
    </r>
    <r>
      <rPr>
        <b/>
        <sz val="10"/>
        <color rgb="FFFF0000"/>
        <rFont val="Calibri"/>
        <family val="2"/>
        <scheme val="minor"/>
      </rPr>
      <t>(1 unit for 100 persons)</t>
    </r>
  </si>
  <si>
    <t>MMR001CMP172</t>
  </si>
  <si>
    <t>Baptist Church, Sai Ra village</t>
  </si>
  <si>
    <t>N-Lwe Yan</t>
  </si>
  <si>
    <t>Phan Khar Kone*</t>
  </si>
  <si>
    <t>Pa Kahtawng Primary House</t>
  </si>
  <si>
    <t>Clutural Compound</t>
  </si>
  <si>
    <t>% Water coverage</t>
  </si>
  <si>
    <t>% Latrine coverage</t>
  </si>
  <si>
    <t>% Bathroom coverage</t>
  </si>
  <si>
    <t>DFAT</t>
  </si>
  <si>
    <t>Before 2014</t>
  </si>
  <si>
    <t>2014</t>
  </si>
  <si>
    <t>Visualisation for Snapshot</t>
  </si>
  <si>
    <t>Total targetted population</t>
  </si>
  <si>
    <t>Graph set up</t>
  </si>
  <si>
    <t>Target population reach</t>
  </si>
  <si>
    <t>Target population not reah</t>
  </si>
  <si>
    <t>Objective 1: water access</t>
  </si>
  <si>
    <t>Objective 2: sanitation access</t>
  </si>
  <si>
    <t>WaSH assistance to IDPs affected by conflict
 in Kachin State</t>
  </si>
  <si>
    <t>MMR001CMP229</t>
  </si>
  <si>
    <t>MMR001CMP147</t>
  </si>
  <si>
    <t>Woi Chyai (Mong Lai)</t>
  </si>
  <si>
    <t>Woi Chyai  host families</t>
  </si>
  <si>
    <t>MMR001CMP227</t>
  </si>
  <si>
    <t>MMR001CMP072</t>
  </si>
  <si>
    <t>MMR001CMP073</t>
  </si>
  <si>
    <t>MMR001CMP131</t>
  </si>
  <si>
    <t>MMR001CMP126</t>
  </si>
  <si>
    <t>MMR001CMP196</t>
  </si>
  <si>
    <t>MMR001CMP163</t>
  </si>
  <si>
    <t>MMR001CMP230</t>
  </si>
  <si>
    <t>MMR001CMP228</t>
  </si>
  <si>
    <t>MMR015CMP213</t>
  </si>
  <si>
    <t>MMR015CMP216</t>
  </si>
  <si>
    <t>MMR015CMP139</t>
  </si>
  <si>
    <t>MMR015CMP215</t>
  </si>
  <si>
    <t>MMR015CMP214</t>
  </si>
  <si>
    <t>MMR015CMP209</t>
  </si>
  <si>
    <t>Not reachable location</t>
  </si>
  <si>
    <t>SANITATION</t>
  </si>
  <si>
    <t>HYGIENE KIT</t>
  </si>
  <si>
    <t>Project Analysis</t>
  </si>
  <si>
    <t>Approximate Fund 2015 regarding project date implementation</t>
  </si>
  <si>
    <t>2015</t>
  </si>
  <si>
    <t>Improving water access, hygiene and sanitation conditions of the conflict affected population in Kachin and Rakhine States</t>
  </si>
  <si>
    <t>Part of global project including Rakhine State</t>
  </si>
  <si>
    <t>Water, Sanitation and Hygiene rapid response for people affected by conflict induced displacements and natural disasters in Kachin and Northern Shan States</t>
  </si>
  <si>
    <t>The targeting of beneifciaries cannot be detailed as this project aims at answering to new emergency following displacement or natural hazards</t>
  </si>
  <si>
    <t>IDP in host community</t>
  </si>
  <si>
    <t>To be measured through partner EP&amp;R action, cumulative</t>
  </si>
  <si>
    <t>Population targetted</t>
  </si>
  <si>
    <t>Nb of sites</t>
  </si>
  <si>
    <t>Emergency support for displaced and hosting communities affected by the Kachin conflict, Myanmar</t>
  </si>
  <si>
    <t>Bum Tsit Pa * (3)</t>
  </si>
  <si>
    <t>Momauk Host Families</t>
  </si>
  <si>
    <t>Bhamo Host Families</t>
  </si>
  <si>
    <t>due to land owner filled the land the bathing sapce construction have removed</t>
  </si>
  <si>
    <t>the 20 semi-permanent latrine are constructed by KBC</t>
  </si>
  <si>
    <t>Review target HRP 2015</t>
  </si>
  <si>
    <t>Nb of affected household</t>
  </si>
  <si>
    <t>small HH, wash their hand on the bathing space</t>
  </si>
  <si>
    <t xml:space="preserve">Not have enough space to construct more bathing spaces </t>
  </si>
  <si>
    <t>land limited for more semi-permanent latrine construciton, 6 semi permanent latrine already existed, church committee let them to use in 3, but if trouble, they church committee can share</t>
  </si>
  <si>
    <t>hard to implement due to rocky, logistic issues</t>
  </si>
  <si>
    <t>No Plan for Semi permanent latrines construction</t>
  </si>
  <si>
    <t>Hseni</t>
  </si>
  <si>
    <t>MMR001CMP231</t>
  </si>
  <si>
    <t>Ku Day Maw KBC</t>
  </si>
  <si>
    <t>Loi Je Lisu  (4) Camp</t>
  </si>
  <si>
    <t>45-60%</t>
  </si>
  <si>
    <t>MMR001CMP225</t>
  </si>
  <si>
    <t xml:space="preserve">Pan Wa (Saw Zam) camp </t>
  </si>
  <si>
    <t>Mansi Host Families</t>
  </si>
  <si>
    <t>Shwegu Host Families</t>
  </si>
  <si>
    <t>every host families HH have a latrine</t>
  </si>
  <si>
    <r>
      <t>Solidarit</t>
    </r>
    <r>
      <rPr>
        <b/>
        <sz val="10"/>
        <color theme="1"/>
        <rFont val="Arial"/>
        <family val="2"/>
      </rPr>
      <t>é</t>
    </r>
    <r>
      <rPr>
        <b/>
        <sz val="10"/>
        <color theme="1"/>
        <rFont val="Cambria"/>
        <family val="1"/>
        <scheme val="major"/>
      </rPr>
      <t>s International</t>
    </r>
  </si>
  <si>
    <t>SCI/Oxfam</t>
  </si>
  <si>
    <t>Pan Ku</t>
  </si>
  <si>
    <t>WASH cluster</t>
  </si>
  <si>
    <t xml:space="preserve">the existing 1 well is not protect and not usually used and currently IDPs used GFS. KMSS have a plan to improve that GFS as Water storage tank construction. </t>
  </si>
  <si>
    <t>KMSS have a plan to distrbute CWF filter</t>
  </si>
  <si>
    <t xml:space="preserve">Every IDPs HH used individual bathing spaces. </t>
  </si>
  <si>
    <t>land limited to construct more semi-permanent</t>
  </si>
  <si>
    <t>SCI have plan for hand washing basin</t>
  </si>
  <si>
    <t>Basic Hygiene kits already distributed by SCI and Overlappin with SCI</t>
  </si>
  <si>
    <t>Contribute to improved living conditions for conflict affected children and their families in Kachin/NSS states</t>
  </si>
  <si>
    <t>31/1/2015</t>
  </si>
  <si>
    <t>MMR Humanitarian Assistance for Households Affected Kacin State, Burma</t>
  </si>
  <si>
    <t>Objective 3: Hygiene promotion</t>
  </si>
  <si>
    <t>Population with equitable access to sufficient and sustainable quantity of safe drinking and domestic water</t>
  </si>
  <si>
    <t>Population with equitable access to safe and sustainable sanitation facilities</t>
  </si>
  <si>
    <t>Population with basic knowledge of diarrheal disease transmission and prevention</t>
  </si>
  <si>
    <t>Small scale emergency</t>
  </si>
  <si>
    <t>HRP Wash Strategy target:</t>
  </si>
  <si>
    <t>IDP GCA</t>
  </si>
  <si>
    <t xml:space="preserve"> IDP NGCA</t>
  </si>
  <si>
    <t>4w</t>
  </si>
  <si>
    <t>Report</t>
  </si>
  <si>
    <t>% Achiement</t>
  </si>
  <si>
    <t>% achievement</t>
  </si>
  <si>
    <t>Kap results</t>
  </si>
  <si>
    <t>UNICEF HPM Indicators</t>
  </si>
  <si>
    <t>2015 HAC Target</t>
  </si>
  <si>
    <t>Population assisted with an UNICEF Wash project actually</t>
  </si>
  <si>
    <t>Past beneficiary with finalised project not anymore covered</t>
  </si>
  <si>
    <t>-</t>
  </si>
  <si>
    <t>Total 2015 actual beneficiary target (not cumulative)</t>
  </si>
  <si>
    <t>Actually targetted</t>
  </si>
  <si>
    <t>% Actually  achieved</t>
  </si>
  <si>
    <t>Live saving Emergency aid to internally displaced people in  Kachin state,Myanmar.</t>
  </si>
  <si>
    <t>Only on HK</t>
  </si>
  <si>
    <t>Kachin Comprehensive humanitarian response phases 6</t>
  </si>
  <si>
    <t>FCA</t>
  </si>
  <si>
    <t>Humanitarian Assistance to Internally Dispalced Persons in NSS</t>
  </si>
  <si>
    <t>this fund allocation is for only Metta (LSO) office and updated in May 15</t>
  </si>
  <si>
    <t>HIDA( HOPE)</t>
  </si>
  <si>
    <t>Humanitarian Assistance to People Displaced in Kachin and Northern Shan State-Myanmar</t>
  </si>
  <si>
    <t xml:space="preserve">CAD 560,670 Including Shelter . Still need to follow up with Metta Yangon office because field office from Myitkyina &amp; Lashio can't provide sufficen information. </t>
  </si>
  <si>
    <t>ADRA</t>
  </si>
  <si>
    <t>Support for conflict affected internally displaced person in Kachin (SCAIDP)</t>
  </si>
  <si>
    <t>150087 (canada Dolllar)</t>
  </si>
  <si>
    <t>Kap result</t>
  </si>
  <si>
    <t>Ending date funds/project coverage</t>
  </si>
  <si>
    <t>Count of Site</t>
  </si>
  <si>
    <t>Emergency response for IDP in Kachin 2015/16 (HIP 2015)</t>
  </si>
  <si>
    <t>Metta/Shalom</t>
  </si>
  <si>
    <t>Kachin Humanitarian Response (CIDA II)</t>
  </si>
  <si>
    <t>01/04/2015</t>
  </si>
  <si>
    <t>31/03/2016</t>
  </si>
  <si>
    <t>MMR001CMP234</t>
  </si>
  <si>
    <t>Lung Sut</t>
  </si>
  <si>
    <t>MMR015CMP218</t>
  </si>
  <si>
    <t>Nam Sa Larp</t>
  </si>
  <si>
    <t>MMR001CMP235</t>
  </si>
  <si>
    <t>Sar Maw-ICM</t>
  </si>
  <si>
    <t>MMR001CMP236</t>
  </si>
  <si>
    <t>Sar Hmaw - KBC</t>
  </si>
  <si>
    <t>MMR001CMP237</t>
  </si>
  <si>
    <t xml:space="preserve">Ma Hawng RC </t>
  </si>
  <si>
    <t>AusAid/OXFAM</t>
  </si>
  <si>
    <t>CIDA/ADRA</t>
  </si>
  <si>
    <t>Trocaires</t>
  </si>
  <si>
    <t>Welthungerhilfe</t>
  </si>
  <si>
    <t>FCA/HIDA/WHH</t>
  </si>
  <si>
    <t>SCI constructed 1 chlorine treated station.</t>
  </si>
  <si>
    <t>Water Tank(1)</t>
  </si>
  <si>
    <t>tube-well(1)</t>
  </si>
  <si>
    <t>lack of running cost. The HWS facilities have not functioing. Semi-permanent latrines have hard to construct due to logistic constraints.</t>
  </si>
  <si>
    <t>no spaces to construct more latrines and bathing spaces/ now church committee is managed for latrines used as opened 5 latrines for all., if they wish, they can go to the church student hostel latrine/ /they have a plan to shilft to the Lal Pyin Qtr of Hpakant,</t>
  </si>
  <si>
    <t>Handwashing station ss not functioning. And also land limited for facilities construciton.</t>
  </si>
  <si>
    <t>Now, People washed their hands at bathing spaces and the existing HWS haven't functioned.</t>
  </si>
  <si>
    <t>land limited for more semi-permanent latrine construciton and also for other sanitation facilities, they more preferred individual bathin spaces.</t>
  </si>
  <si>
    <t>Hygiene resupply kit distrubution at KBC 2 host family 205 kits (30.6.15)</t>
  </si>
  <si>
    <t>Metta have 3 months refill distribution in July 15</t>
  </si>
  <si>
    <t>Bathing space gender separated</t>
  </si>
  <si>
    <t>Estimation</t>
  </si>
  <si>
    <t>Robert Church*</t>
  </si>
  <si>
    <t>Lana Zup Ja *</t>
  </si>
  <si>
    <t>HIDA, WHH</t>
  </si>
  <si>
    <t>current 2 emergency latrines are funitioned but not safe, it need to upgrade to semi-permannent</t>
  </si>
  <si>
    <t>DFID/Trocaires</t>
  </si>
  <si>
    <t>water source cleaning activitiy had conducted which affected by flood in this camp</t>
  </si>
  <si>
    <t xml:space="preserve">1 hand dug well have to renovate bcoz of broken apron and lining. </t>
  </si>
  <si>
    <t>land not available to construct the latrines</t>
  </si>
  <si>
    <t>have a plan to renovate current GFS</t>
  </si>
  <si>
    <t>Metta had implemented Bio sand filter as a pilot project</t>
  </si>
  <si>
    <t>Metta had implemented Bio sand filter as a pilot project, land not available to construct the latrines</t>
  </si>
  <si>
    <t>3 DTW in this camp</t>
  </si>
  <si>
    <t>1 DTW in this camp</t>
  </si>
  <si>
    <t>4 DTW in this camp</t>
  </si>
  <si>
    <t>Rain harvesting system had only cover for raining season. 2 DTW in this camp</t>
  </si>
  <si>
    <t xml:space="preserve">45 gap fuel had supported, </t>
  </si>
  <si>
    <t>CESVI implement WASH activities such HP and HK distribution and renovation of WASH facilities in this host families</t>
  </si>
  <si>
    <t xml:space="preserve">Metta has mataining ongoing process to the existing GFS </t>
  </si>
  <si>
    <t>two generaotrs are damaging and those are needing to repair</t>
  </si>
  <si>
    <t>Depp tube well water is always turbidity</t>
  </si>
  <si>
    <t xml:space="preserve">shalom has a plan to construct 4 semi-permanent and 2 bathing spaces </t>
  </si>
  <si>
    <t xml:space="preserve">Semi-permanent latrines not possible due to rocky land and logisitc issue. Old 10 Hand washing had already out of used. </t>
  </si>
  <si>
    <t>Land limited. lack of running cost. Have a plan to construct 4 Semipermanent latrines with current project. Need to renovate the current bathing spaces (not have enough side wall and roofs)</t>
  </si>
  <si>
    <t>old 2 Hand washing had already out of used.</t>
  </si>
  <si>
    <t>have a plan to construct 8 latrines with current project</t>
  </si>
  <si>
    <t>old 6 Hand washing had already out of used.</t>
  </si>
  <si>
    <t>old 3 Hand washing had already out of used.</t>
  </si>
  <si>
    <t>land issue for more latrine and bathing space construction. old 3 Hand washing had already out of used.</t>
  </si>
  <si>
    <t>need to renovate the curretn bating spaces (not have enough side wall and roofs)</t>
  </si>
  <si>
    <t>Land limited to construct more latrines and WASH facilities, old 3 Hand washing had already out of used.</t>
  </si>
  <si>
    <t>land limited to construct more latrines, old 9 Hand washing had already out of used</t>
  </si>
  <si>
    <t>due to IDPs used individual bathing spaces, no need to construct more, old 3 Hand washing had already out of used</t>
  </si>
  <si>
    <t>old 12 Hand washing had already out of used</t>
  </si>
  <si>
    <t>land limited to construct more sanitation facilities and old 6 Hand washing had already out of used</t>
  </si>
  <si>
    <t>have a plan to construct 4 latrines with current project</t>
  </si>
  <si>
    <t>Land limited to construct more latrines and WASH facilities, old 12 Hand washing had already out of used.</t>
  </si>
  <si>
    <t>Land limited to construct more sanitation facilities and old 6 Hand washing had already out of used</t>
  </si>
  <si>
    <t>shalom has a plan to construct 4 semi-permanent and 2 bathing spaces</t>
  </si>
  <si>
    <t>Land limited to construct more sanitation facilities and old 1 Hand washing had already out of used</t>
  </si>
  <si>
    <t>shalom has a plan to construct 1 semi-permanent</t>
  </si>
  <si>
    <t>old 4 Hand washing had already out of used</t>
  </si>
  <si>
    <t xml:space="preserve">land limited for new sanitation facitlies, and old 12 Hand washing had already out of used. </t>
  </si>
  <si>
    <t>KBC don't have a plan for semi-permanent construciton</t>
  </si>
  <si>
    <t>no spaces to construct more latrines</t>
  </si>
  <si>
    <t>Semi-permanent latrines not possible due to rocky land and logisitc issue. 50 latrines have been maintained as pan &amp; pipe contribution and structural mainteance by KBC in Sep 15. All 24 hand washing spaces had also out of used.</t>
  </si>
  <si>
    <t>old 3 Hand washing had already out of used</t>
  </si>
  <si>
    <t xml:space="preserve">Semi-permanent latrines not possible due to rocky land and logisitc issue. 300 latrines have been maintained as pan &amp; pipe contribution and structural mainteance by KBC in Sep 15. All 51 hand washing spaces had also out of used. </t>
  </si>
  <si>
    <t xml:space="preserve">due to lack of running cost, the HWS facilities have not functioing/ 4 bathing space have constructed but all are not functioning currently/8-10 latrines closed due to near shelter/need to renovate in some latrine </t>
  </si>
  <si>
    <t>due to IDPs used individual bathing spaces, no need to construct more. All 45 hand washing space had also out of used.</t>
  </si>
  <si>
    <t>Semi-permanent latrines not possible due to rocky land and logisitc issue. 30 latrines have been maintained as pan &amp; pipe contribution and structural mainteance by KBC in Sep 15. All 12 hand washing spaces had out of used.</t>
  </si>
  <si>
    <t>shalom has a plan to construct 3 semi-permanent construction</t>
  </si>
  <si>
    <t>have limited spaces to construct more sanitation facilities. Some household has alaready moved to new location (have a plan to move all HHs to this new site. All 3 hand washing spaces had out of used.</t>
  </si>
  <si>
    <t>shalom has a plan to construct 1 bathing space</t>
  </si>
  <si>
    <t>Semi-permanent latrines not possible due to rocky land and logisitc issue. 70 latrines have been maintained as pan &amp; pipe contribution and structural mainteance by KBC in Sep 15. All 24 hand washing spaces had out of used.</t>
  </si>
  <si>
    <t xml:space="preserve">shalom has a plan to construct 2 semi-permanent </t>
  </si>
  <si>
    <t>Semi-permanent latrines not possible due to rocky land and logisitc issue. 250 latrines have been maintained as pan &amp; pipe contribution and structural mainteance by KBC in Sep 15. All 54 hand washing spaces had out of used.</t>
  </si>
  <si>
    <t>bathin was not need due to 4 HH only living in church compound</t>
  </si>
  <si>
    <t>land not available for more latrines construciton , overlapping in Hand Washing facilities between Metta and CESVI</t>
  </si>
  <si>
    <t>metta has a plan to construct 2 semi-permanent, overlapping in Hand Washing facilities between Metta and CESVI</t>
  </si>
  <si>
    <t xml:space="preserve">land not available for more latrines construciton </t>
  </si>
  <si>
    <t>overlapping in Hand Washing facilities between Metta and CESVI</t>
  </si>
  <si>
    <t>land not available for latrines construciton</t>
  </si>
  <si>
    <t>land not available for latrines and bathing construciton</t>
  </si>
  <si>
    <t xml:space="preserve">5 emergency latrines ongoing constructing, </t>
  </si>
  <si>
    <t>MEETA Plan(Emergency latrine 20), No plan for Hand Washing space.</t>
  </si>
  <si>
    <t>MDCG supported WASH-Shelter as HH level (no need to construct semi-parmanent), No plan for hand washing space.</t>
  </si>
  <si>
    <t>Emergency Latrines need to decomission, No plan for hand washing space.</t>
  </si>
  <si>
    <t>MDCG + Metta supported WASH-Shelter facilities at  HH level (no need to construct semi-parmanent), no plan for hand washing space.</t>
  </si>
  <si>
    <t>Metta has a plan bathing space construction, no plan for hand washing space. Latrines have been provided at HH level</t>
  </si>
  <si>
    <t>Two latrines are dmamage pits and linkage excreta disposal to the out side and culd not use</t>
  </si>
  <si>
    <t xml:space="preserve">20 latrines are need to decomission </t>
  </si>
  <si>
    <t>Latrines need to desludging and renovation</t>
  </si>
  <si>
    <t>no plan for hand washing space</t>
  </si>
  <si>
    <t>There need latrines upgrade or smie latrines constructioning , no plan for hand washing space</t>
  </si>
  <si>
    <t>Land owner not  allow  to construct semi latrines and they have plan to move to new place</t>
  </si>
  <si>
    <t xml:space="preserve">KBC has only 1 time basic HK distribution and no plan of refill HK with ADRA fund until to Feb 16.  </t>
  </si>
  <si>
    <t>have a plan to distribute the basic hygiene kit in Oct 2015</t>
  </si>
  <si>
    <t>Metta has distributing refill HK distribution until to May 2016</t>
  </si>
  <si>
    <t xml:space="preserve">69 refill hk were distributed in Oct 15. </t>
  </si>
  <si>
    <t>SI will take role of focal from this October 15</t>
  </si>
  <si>
    <t xml:space="preserve">Metta has 3 months refill distribution in July 15 and people were only received refill HK since camp opening. </t>
  </si>
  <si>
    <t>Metta continue refill HK distribution in this camp</t>
  </si>
  <si>
    <t xml:space="preserve"> KMSS will distribute refill Hygiene kit until december 2015</t>
  </si>
  <si>
    <t xml:space="preserve">SCI will distribute HK </t>
  </si>
  <si>
    <t>KMSS wii distribute refill items of Hyginene kits</t>
  </si>
  <si>
    <t xml:space="preserve">previous, oxfam had constructed 6 temporary incinerator but those were out of used now. </t>
  </si>
  <si>
    <t>1 temporary incinerator has been out of used</t>
  </si>
  <si>
    <t>hygiene awareness had conducted by hygiene volunteer from Htoi San camp</t>
  </si>
  <si>
    <t>1 temporary incinerator had already out of used</t>
  </si>
  <si>
    <t>30-45%</t>
  </si>
  <si>
    <t>Typology beneficiaries</t>
  </si>
  <si>
    <t>Typology beneficiary</t>
  </si>
  <si>
    <t>IDP in camps</t>
  </si>
  <si>
    <t>IDP in Host Villages</t>
  </si>
  <si>
    <t>Village development</t>
  </si>
  <si>
    <t>Surrounding community</t>
  </si>
  <si>
    <t>IDP in Village type relocation</t>
  </si>
  <si>
    <t>Student in surrounding villages school</t>
  </si>
  <si>
    <t>IDP returned in permanent location</t>
  </si>
  <si>
    <t>IDP population observed by Wash Cluster living in the camp</t>
  </si>
  <si>
    <t>Household filter type</t>
  </si>
  <si>
    <t>Space availability for additional latrines</t>
  </si>
  <si>
    <r>
      <rPr>
        <b/>
        <sz val="10"/>
        <color rgb="FFFF0000"/>
        <rFont val="Calibri"/>
        <family val="2"/>
      </rPr>
      <t>#</t>
    </r>
    <r>
      <rPr>
        <b/>
        <sz val="10"/>
        <color theme="1"/>
        <rFont val="Calibri"/>
        <family val="2"/>
      </rPr>
      <t xml:space="preserve"> Low cost village type of latrines</t>
    </r>
  </si>
  <si>
    <t>location type</t>
  </si>
  <si>
    <t>Urban</t>
  </si>
  <si>
    <t>Sub-urban</t>
  </si>
  <si>
    <t>Rural</t>
  </si>
  <si>
    <t>Seasonal water shortage</t>
  </si>
  <si>
    <t>Type of Hygiene kit distribution approach</t>
  </si>
  <si>
    <t>% tagetetted</t>
  </si>
  <si>
    <t>HK appraoch</t>
  </si>
  <si>
    <t>Blanket Full HK + consumable refilling</t>
  </si>
  <si>
    <t>Blanket Full HK only</t>
  </si>
  <si>
    <t>Blanket Consumable only</t>
  </si>
  <si>
    <t>Targetted full HK + consumable refilling</t>
  </si>
  <si>
    <t>targetted Full HK only</t>
  </si>
  <si>
    <t>Targetted Consumable only</t>
  </si>
  <si>
    <t>Associated with H.E as incentive</t>
  </si>
  <si>
    <t>No more HK distribution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</si>
</sst>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 #,##0.00_);_(* \(#,##0.00\);_(* &quot;-&quot;??_);_(@_)"/>
    <numFmt numFmtId="165" formatCode="_(* #,##0_);_(* \(#,##0\);_(* &quot;-&quot;??_);_(@_)"/>
    <numFmt numFmtId="166" formatCode="[$-409]d/mmm/yy;@"/>
    <numFmt numFmtId="167" formatCode="[$-409]dd\-mmm\-yy;@"/>
    <numFmt numFmtId="168" formatCode="[$-409]d\-mmm\-yy;@"/>
  </numFmts>
  <fonts count="81" x14ac:knownFonts="1">
    <font>
      <sz val="11"/>
      <color theme="1"/>
      <name val="Calibri"/>
      <family val="2"/>
      <scheme val="minor"/>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0"/>
      <name val="Arial"/>
      <family val="2"/>
    </font>
    <font>
      <sz val="9"/>
      <color indexed="81"/>
      <name val="Tahoma"/>
      <family val="2"/>
    </font>
    <font>
      <b/>
      <sz val="9"/>
      <color indexed="81"/>
      <name val="Tahoma"/>
      <family val="2"/>
    </font>
    <font>
      <b/>
      <sz val="10"/>
      <color indexed="8"/>
      <name val="Calibri"/>
      <family val="2"/>
    </font>
    <font>
      <b/>
      <sz val="12"/>
      <color indexed="10"/>
      <name val="Calibri"/>
      <family val="2"/>
    </font>
    <font>
      <b/>
      <sz val="10"/>
      <color indexed="10"/>
      <name val="Calibri"/>
      <family val="2"/>
    </font>
    <font>
      <sz val="18"/>
      <color indexed="8"/>
      <name val="Calibri"/>
      <family val="2"/>
    </font>
    <font>
      <b/>
      <sz val="18"/>
      <color indexed="8"/>
      <name val="Calibri"/>
      <family val="2"/>
    </font>
    <font>
      <sz val="11"/>
      <color theme="1"/>
      <name val="Calibri"/>
      <family val="2"/>
      <scheme val="minor"/>
    </font>
    <font>
      <b/>
      <sz val="11"/>
      <color theme="1"/>
      <name val="Calibri"/>
      <family val="2"/>
      <scheme val="minor"/>
    </font>
    <font>
      <sz val="10"/>
      <color theme="1"/>
      <name val="Arial Narrow"/>
      <family val="2"/>
    </font>
    <font>
      <b/>
      <sz val="12"/>
      <color theme="1"/>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b/>
      <sz val="12"/>
      <color theme="3" tint="0.39997558519241921"/>
      <name val="Calibri"/>
      <family val="2"/>
      <scheme val="minor"/>
    </font>
    <font>
      <sz val="12"/>
      <color theme="3" tint="0.39997558519241921"/>
      <name val="Calibri"/>
      <family val="2"/>
      <scheme val="minor"/>
    </font>
    <font>
      <sz val="10"/>
      <name val="Calibri"/>
      <family val="2"/>
      <scheme val="minor"/>
    </font>
    <font>
      <b/>
      <sz val="18"/>
      <color theme="1"/>
      <name val="Calibri"/>
      <family val="2"/>
      <scheme val="minor"/>
    </font>
    <font>
      <b/>
      <sz val="16"/>
      <color theme="3" tint="0.39997558519241921"/>
      <name val="Calibri"/>
      <family val="2"/>
      <scheme val="minor"/>
    </font>
    <font>
      <b/>
      <sz val="10"/>
      <color theme="1"/>
      <name val="Calibri"/>
      <family val="2"/>
    </font>
    <font>
      <b/>
      <sz val="20"/>
      <color theme="1"/>
      <name val="Calibri"/>
      <family val="2"/>
      <scheme val="minor"/>
    </font>
    <font>
      <b/>
      <sz val="14"/>
      <color theme="3" tint="0.39997558519241921"/>
      <name val="Calibri"/>
      <family val="2"/>
      <scheme val="minor"/>
    </font>
    <font>
      <b/>
      <sz val="10"/>
      <name val="Calibri"/>
      <family val="2"/>
    </font>
    <font>
      <b/>
      <sz val="14"/>
      <color indexed="10"/>
      <name val="Calibri"/>
      <family val="2"/>
    </font>
    <font>
      <b/>
      <sz val="14"/>
      <color indexed="8"/>
      <name val="Calibri"/>
      <family val="2"/>
    </font>
    <font>
      <b/>
      <sz val="12"/>
      <name val="Calibri"/>
      <family val="2"/>
      <scheme val="minor"/>
    </font>
    <font>
      <b/>
      <sz val="10"/>
      <color rgb="FFFF0000"/>
      <name val="Calibri"/>
      <family val="2"/>
      <scheme val="minor"/>
    </font>
    <font>
      <b/>
      <sz val="10"/>
      <name val="Calibri"/>
      <family val="2"/>
      <scheme val="minor"/>
    </font>
    <font>
      <b/>
      <sz val="11"/>
      <color rgb="FFFF0000"/>
      <name val="Calibri"/>
      <family val="2"/>
      <scheme val="minor"/>
    </font>
    <font>
      <i/>
      <sz val="11"/>
      <color rgb="FFFF0000"/>
      <name val="Calibri"/>
      <family val="2"/>
      <scheme val="minor"/>
    </font>
    <font>
      <sz val="10"/>
      <color rgb="FF0070C0"/>
      <name val="Arial Narrow"/>
      <family val="2"/>
    </font>
    <font>
      <b/>
      <sz val="10"/>
      <color rgb="FFFF0000"/>
      <name val="Calibri"/>
      <family val="2"/>
    </font>
    <font>
      <b/>
      <sz val="20"/>
      <color theme="0"/>
      <name val="Calibri"/>
      <family val="2"/>
      <scheme val="minor"/>
    </font>
    <font>
      <b/>
      <sz val="16"/>
      <color theme="0"/>
      <name val="Calibri"/>
      <family val="2"/>
      <scheme val="minor"/>
    </font>
    <font>
      <b/>
      <sz val="16"/>
      <color theme="1"/>
      <name val="Calibri"/>
      <family val="2"/>
      <scheme val="minor"/>
    </font>
    <font>
      <sz val="11"/>
      <color rgb="FFFF0000"/>
      <name val="Calibri"/>
      <family val="2"/>
      <scheme val="minor"/>
    </font>
    <font>
      <sz val="11"/>
      <name val="Calibri"/>
      <family val="2"/>
      <scheme val="minor"/>
    </font>
    <font>
      <b/>
      <i/>
      <sz val="11"/>
      <color theme="0"/>
      <name val="Calibri"/>
      <family val="2"/>
      <scheme val="minor"/>
    </font>
    <font>
      <sz val="12"/>
      <color theme="1"/>
      <name val="Calibri"/>
      <family val="2"/>
      <scheme val="minor"/>
    </font>
    <font>
      <i/>
      <sz val="12"/>
      <color theme="1"/>
      <name val="Calibri"/>
      <family val="2"/>
      <scheme val="minor"/>
    </font>
    <font>
      <i/>
      <sz val="9"/>
      <color theme="1"/>
      <name val="Calibri"/>
      <family val="2"/>
      <scheme val="minor"/>
    </font>
    <font>
      <sz val="12"/>
      <color rgb="FFFF0000"/>
      <name val="Calibri"/>
      <family val="2"/>
      <scheme val="minor"/>
    </font>
    <font>
      <b/>
      <sz val="14"/>
      <color rgb="FF000000"/>
      <name val="Calibri"/>
      <family val="2"/>
      <scheme val="minor"/>
    </font>
    <font>
      <sz val="10"/>
      <color theme="1"/>
      <name val="Cambria"/>
      <family val="1"/>
      <scheme val="major"/>
    </font>
    <font>
      <b/>
      <sz val="12"/>
      <color theme="1"/>
      <name val="Cambria"/>
      <family val="1"/>
      <scheme val="major"/>
    </font>
    <font>
      <b/>
      <sz val="14"/>
      <color theme="3" tint="0.39997558519241921"/>
      <name val="Cambria"/>
      <family val="1"/>
      <scheme val="major"/>
    </font>
    <font>
      <b/>
      <sz val="14"/>
      <name val="Cambria"/>
      <family val="1"/>
      <scheme val="major"/>
    </font>
    <font>
      <b/>
      <sz val="14"/>
      <color theme="1"/>
      <name val="Cambria"/>
      <family val="1"/>
      <scheme val="major"/>
    </font>
    <font>
      <b/>
      <sz val="10"/>
      <name val="Cambria"/>
      <family val="1"/>
      <scheme val="major"/>
    </font>
    <font>
      <b/>
      <sz val="10"/>
      <color theme="1"/>
      <name val="Cambria"/>
      <family val="1"/>
      <scheme val="major"/>
    </font>
    <font>
      <sz val="10"/>
      <name val="Cambria"/>
      <family val="1"/>
      <scheme val="major"/>
    </font>
    <font>
      <i/>
      <sz val="10"/>
      <color theme="1"/>
      <name val="Cambria"/>
      <family val="1"/>
      <scheme val="major"/>
    </font>
    <font>
      <sz val="10"/>
      <name val="MS Sans Serif"/>
      <family val="2"/>
    </font>
    <font>
      <b/>
      <sz val="8"/>
      <color indexed="81"/>
      <name val="Tahoma"/>
      <family val="2"/>
    </font>
    <font>
      <sz val="8"/>
      <color indexed="81"/>
      <name val="Tahoma"/>
      <family val="2"/>
    </font>
    <font>
      <sz val="11"/>
      <color theme="0" tint="-0.499984740745262"/>
      <name val="Calibri"/>
      <family val="2"/>
      <scheme val="minor"/>
    </font>
    <font>
      <i/>
      <sz val="11"/>
      <color theme="0" tint="-0.499984740745262"/>
      <name val="Calibri"/>
      <family val="2"/>
      <scheme val="minor"/>
    </font>
    <font>
      <sz val="16"/>
      <color theme="1"/>
      <name val="Calibri"/>
      <family val="2"/>
      <scheme val="minor"/>
    </font>
    <font>
      <sz val="11"/>
      <color theme="0" tint="-0.249977111117893"/>
      <name val="Calibri"/>
      <family val="2"/>
      <scheme val="minor"/>
    </font>
    <font>
      <b/>
      <i/>
      <sz val="12"/>
      <color theme="1"/>
      <name val="Calibri"/>
      <family val="2"/>
      <scheme val="minor"/>
    </font>
    <font>
      <sz val="10"/>
      <color rgb="FFFF0000"/>
      <name val="Arial Narrow"/>
      <family val="2"/>
    </font>
    <font>
      <b/>
      <sz val="16"/>
      <color rgb="FFFF0000"/>
      <name val="Calibri"/>
      <family val="2"/>
      <scheme val="minor"/>
    </font>
    <font>
      <b/>
      <sz val="12"/>
      <color rgb="FFFF0000"/>
      <name val="Calibri"/>
      <family val="2"/>
      <scheme val="minor"/>
    </font>
    <font>
      <b/>
      <sz val="10"/>
      <color theme="1"/>
      <name val="Arial"/>
      <family val="2"/>
    </font>
    <font>
      <sz val="12"/>
      <name val="Calibri"/>
      <family val="2"/>
      <scheme val="minor"/>
    </font>
    <font>
      <sz val="12"/>
      <color theme="1"/>
      <name val="Arial Narrow"/>
      <family val="2"/>
    </font>
    <font>
      <sz val="12"/>
      <color rgb="FF0070C0"/>
      <name val="Arial Narrow"/>
      <family val="2"/>
    </font>
    <font>
      <b/>
      <sz val="11"/>
      <name val="Calibri"/>
      <family val="2"/>
      <scheme val="minor"/>
    </font>
    <font>
      <sz val="9"/>
      <color indexed="81"/>
      <name val="Tahoma"/>
      <charset val="1"/>
    </font>
    <font>
      <b/>
      <sz val="9"/>
      <color indexed="81"/>
      <name val="Tahoma"/>
      <charset val="1"/>
    </font>
    <font>
      <sz val="11"/>
      <color theme="1"/>
      <name val="Calibri"/>
      <scheme val="minor"/>
    </font>
  </fonts>
  <fills count="15">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CCCCFF"/>
        <bgColor indexed="64"/>
      </patternFill>
    </fill>
    <fill>
      <patternFill patternType="solid">
        <fgColor theme="0" tint="-0.249977111117893"/>
        <bgColor indexed="64"/>
      </patternFill>
    </fill>
    <fill>
      <patternFill patternType="solid">
        <fgColor rgb="FFFFFFCC"/>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rgb="FFFFFFFF"/>
        <bgColor indexed="64"/>
      </patternFill>
    </fill>
    <fill>
      <patternFill patternType="solid">
        <fgColor rgb="FF92D050"/>
        <bgColor indexed="64"/>
      </patternFill>
    </fill>
    <fill>
      <patternFill patternType="solid">
        <fgColor rgb="FFFFFF00"/>
        <bgColor indexed="64"/>
      </patternFill>
    </fill>
  </fills>
  <borders count="152">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ck">
        <color indexed="64"/>
      </left>
      <right style="thin">
        <color indexed="64"/>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top style="thick">
        <color indexed="64"/>
      </top>
      <bottom/>
      <diagonal/>
    </border>
    <border>
      <left style="thick">
        <color indexed="64"/>
      </left>
      <right/>
      <top/>
      <bottom style="thick">
        <color indexed="64"/>
      </bottom>
      <diagonal/>
    </border>
    <border>
      <left/>
      <right/>
      <top/>
      <bottom style="thick">
        <color indexed="64"/>
      </bottom>
      <diagonal/>
    </border>
    <border>
      <left style="thick">
        <color indexed="64"/>
      </left>
      <right/>
      <top/>
      <bottom/>
      <diagonal/>
    </border>
    <border>
      <left/>
      <right style="thick">
        <color indexed="64"/>
      </right>
      <top/>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ck">
        <color indexed="64"/>
      </top>
      <bottom style="medium">
        <color indexed="64"/>
      </bottom>
      <diagonal/>
    </border>
    <border>
      <left style="medium">
        <color indexed="64"/>
      </left>
      <right/>
      <top style="medium">
        <color indexed="64"/>
      </top>
      <bottom/>
      <diagonal/>
    </border>
    <border>
      <left style="thick">
        <color indexed="64"/>
      </left>
      <right style="thin">
        <color indexed="64"/>
      </right>
      <top style="medium">
        <color indexed="64"/>
      </top>
      <bottom/>
      <diagonal/>
    </border>
    <border>
      <left style="thin">
        <color indexed="64"/>
      </left>
      <right style="thick">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right/>
      <top style="thin">
        <color rgb="FFABABAB"/>
      </top>
      <bottom/>
      <diagonal/>
    </border>
    <border>
      <left style="thin">
        <color rgb="FFABABAB"/>
      </left>
      <right/>
      <top/>
      <bottom/>
      <diagonal/>
    </border>
    <border>
      <left style="thin">
        <color rgb="FFABABAB"/>
      </left>
      <right style="thin">
        <color rgb="FFABABAB"/>
      </right>
      <top style="thin">
        <color rgb="FFABABAB"/>
      </top>
      <bottom style="thin">
        <color rgb="FFABABAB"/>
      </bottom>
      <diagonal/>
    </border>
    <border>
      <left style="thin">
        <color rgb="FFABABAB"/>
      </left>
      <right style="thin">
        <color rgb="FFABABAB"/>
      </right>
      <top style="thin">
        <color rgb="FFABABAB"/>
      </top>
      <bottom/>
      <diagonal/>
    </border>
    <border>
      <left style="thin">
        <color rgb="FFABABAB"/>
      </left>
      <right style="thin">
        <color rgb="FFABABAB"/>
      </right>
      <top/>
      <bottom/>
      <diagonal/>
    </border>
    <border>
      <left style="thin">
        <color rgb="FFABABAB"/>
      </left>
      <right/>
      <top style="thin">
        <color rgb="FFABABAB"/>
      </top>
      <bottom style="thin">
        <color rgb="FFABABAB"/>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rgb="FFABABAB"/>
      </left>
      <right/>
      <top/>
      <bottom style="thin">
        <color rgb="FFABABAB"/>
      </bottom>
      <diagonal/>
    </border>
    <border>
      <left style="thin">
        <color rgb="FFABABAB"/>
      </left>
      <right style="thin">
        <color rgb="FFABABAB"/>
      </right>
      <top/>
      <bottom style="thin">
        <color rgb="FFABABAB"/>
      </bottom>
      <diagonal/>
    </border>
    <border>
      <left/>
      <right/>
      <top/>
      <bottom style="thin">
        <color rgb="FFABABAB"/>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thin">
        <color indexed="64"/>
      </right>
      <top/>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bottom/>
      <diagonal/>
    </border>
    <border>
      <left style="medium">
        <color indexed="64"/>
      </left>
      <right style="medium">
        <color indexed="64"/>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hair">
        <color auto="1"/>
      </left>
      <right style="hair">
        <color auto="1"/>
      </right>
      <top style="thin">
        <color auto="1"/>
      </top>
      <bottom style="hair">
        <color auto="1"/>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medium">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theme="0" tint="-0.24994659260841701"/>
      </left>
      <right style="thin">
        <color theme="0" tint="-0.24994659260841701"/>
      </right>
      <top style="thin">
        <color theme="0" tint="-0.24994659260841701"/>
      </top>
      <bottom style="hair">
        <color theme="0" tint="-0.2499465926084170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theme="0" tint="-0.24994659260841701"/>
      </left>
      <right style="thin">
        <color theme="0" tint="-0.24994659260841701"/>
      </right>
      <top style="hair">
        <color theme="0" tint="-0.24994659260841701"/>
      </top>
      <bottom style="hair">
        <color theme="0" tint="-0.24994659260841701"/>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theme="0" tint="-0.24994659260841701"/>
      </left>
      <right style="thin">
        <color theme="0" tint="-0.24994659260841701"/>
      </right>
      <top style="hair">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thin">
        <color theme="0" tint="-0.499984740745262"/>
      </right>
      <top/>
      <bottom style="hair">
        <color theme="0" tint="-0.499984740745262"/>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medium">
        <color auto="1"/>
      </left>
      <right/>
      <top style="thin">
        <color indexed="64"/>
      </top>
      <bottom style="thin">
        <color auto="1"/>
      </bottom>
      <diagonal/>
    </border>
    <border>
      <left style="hair">
        <color indexed="64"/>
      </left>
      <right style="hair">
        <color indexed="64"/>
      </right>
      <top/>
      <bottom style="medium">
        <color auto="1"/>
      </bottom>
      <diagonal/>
    </border>
    <border>
      <left style="hair">
        <color auto="1"/>
      </left>
      <right style="medium">
        <color auto="1"/>
      </right>
      <top/>
      <bottom style="medium">
        <color auto="1"/>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medium">
        <color indexed="64"/>
      </left>
      <right style="hair">
        <color indexed="64"/>
      </right>
      <top style="thin">
        <color auto="1"/>
      </top>
      <bottom style="hair">
        <color indexed="64"/>
      </bottom>
      <diagonal/>
    </border>
    <border>
      <left style="medium">
        <color indexed="64"/>
      </left>
      <right/>
      <top style="medium">
        <color indexed="64"/>
      </top>
      <bottom style="hair">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s>
  <cellStyleXfs count="55">
    <xf numFmtId="0" fontId="0" fillId="0" borderId="0"/>
    <xf numFmtId="164" fontId="17" fillId="0" borderId="0" applyFont="0" applyFill="0" applyBorder="0" applyAlignment="0" applyProtection="0"/>
    <xf numFmtId="0" fontId="9" fillId="0" borderId="0"/>
    <xf numFmtId="9" fontId="17" fillId="0" borderId="0" applyFont="0" applyFill="0" applyBorder="0" applyAlignment="0" applyProtection="0"/>
    <xf numFmtId="166" fontId="17"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0" fontId="7" fillId="0" borderId="0"/>
    <xf numFmtId="164" fontId="7" fillId="0" borderId="0" applyFont="0" applyFill="0" applyBorder="0" applyAlignment="0" applyProtection="0"/>
    <xf numFmtId="9" fontId="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3" fontId="17" fillId="0" borderId="0" applyFont="0" applyFill="0" applyBorder="0" applyAlignment="0" applyProtection="0"/>
    <xf numFmtId="43" fontId="62" fillId="0" borderId="0" applyFont="0" applyFill="0" applyBorder="0" applyAlignment="0" applyProtection="0"/>
    <xf numFmtId="0" fontId="17" fillId="0" borderId="0"/>
    <xf numFmtId="0" fontId="17" fillId="0" borderId="0"/>
    <xf numFmtId="0" fontId="17" fillId="0" borderId="0"/>
    <xf numFmtId="0" fontId="9" fillId="0" borderId="0"/>
    <xf numFmtId="167" fontId="17" fillId="0" borderId="0"/>
    <xf numFmtId="0" fontId="6"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0" fontId="3"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cellStyleXfs>
  <cellXfs count="876">
    <xf numFmtId="0" fontId="0" fillId="0" borderId="0" xfId="0"/>
    <xf numFmtId="0" fontId="0" fillId="2" borderId="0" xfId="0" applyFill="1"/>
    <xf numFmtId="0" fontId="0" fillId="5" borderId="15" xfId="0" applyFill="1" applyBorder="1"/>
    <xf numFmtId="0" fontId="0" fillId="5" borderId="0" xfId="0" applyFill="1" applyBorder="1"/>
    <xf numFmtId="0" fontId="0" fillId="5" borderId="16" xfId="0" applyFill="1" applyBorder="1"/>
    <xf numFmtId="0" fontId="18" fillId="5" borderId="0" xfId="0" applyFont="1" applyFill="1" applyBorder="1"/>
    <xf numFmtId="0" fontId="0" fillId="5" borderId="13" xfId="0" applyFill="1" applyBorder="1"/>
    <xf numFmtId="0" fontId="0" fillId="5" borderId="14" xfId="0" applyFill="1" applyBorder="1"/>
    <xf numFmtId="0" fontId="0" fillId="5" borderId="17" xfId="0" applyFill="1" applyBorder="1"/>
    <xf numFmtId="0" fontId="0" fillId="2" borderId="0" xfId="0" applyFill="1" applyAlignment="1">
      <alignment horizontal="center" vertical="center"/>
    </xf>
    <xf numFmtId="14" fontId="0" fillId="0" borderId="0" xfId="0" applyNumberFormat="1"/>
    <xf numFmtId="0" fontId="0" fillId="2" borderId="0" xfId="0" applyFill="1" applyAlignment="1">
      <alignment vertical="center" wrapText="1"/>
    </xf>
    <xf numFmtId="0" fontId="0" fillId="2" borderId="0" xfId="0" applyFill="1" applyBorder="1" applyAlignment="1">
      <alignment vertical="center" wrapText="1"/>
    </xf>
    <xf numFmtId="9" fontId="0" fillId="2" borderId="0" xfId="0" applyNumberFormat="1" applyFill="1" applyBorder="1" applyAlignment="1">
      <alignment vertical="center" wrapText="1"/>
    </xf>
    <xf numFmtId="0" fontId="0" fillId="2" borderId="0" xfId="0" applyFill="1" applyAlignment="1">
      <alignment horizontal="center" vertical="center" wrapText="1"/>
    </xf>
    <xf numFmtId="0" fontId="0" fillId="2" borderId="0" xfId="0" applyFill="1" applyBorder="1" applyAlignment="1">
      <alignment horizontal="center" vertical="center" wrapText="1"/>
    </xf>
    <xf numFmtId="9" fontId="0" fillId="2" borderId="0" xfId="0" applyNumberFormat="1" applyFill="1" applyBorder="1" applyAlignment="1">
      <alignment horizontal="center" vertical="center" wrapText="1"/>
    </xf>
    <xf numFmtId="0" fontId="0" fillId="2" borderId="0" xfId="0" applyNumberFormat="1" applyFill="1" applyBorder="1" applyAlignment="1">
      <alignment horizontal="center" vertical="center" wrapText="1"/>
    </xf>
    <xf numFmtId="0" fontId="19" fillId="2" borderId="0" xfId="0" applyFont="1" applyFill="1" applyBorder="1" applyAlignment="1" applyProtection="1">
      <alignment horizontal="left"/>
      <protection locked="0"/>
    </xf>
    <xf numFmtId="0" fontId="19" fillId="2" borderId="0" xfId="0" applyFont="1" applyFill="1" applyBorder="1" applyAlignment="1" applyProtection="1">
      <alignment horizontal="left"/>
    </xf>
    <xf numFmtId="0" fontId="24" fillId="5" borderId="9" xfId="0" applyFont="1" applyFill="1" applyBorder="1" applyAlignment="1" applyProtection="1">
      <alignment horizontal="right" vertical="center"/>
      <protection locked="0"/>
    </xf>
    <xf numFmtId="17" fontId="24" fillId="5" borderId="12" xfId="0" applyNumberFormat="1" applyFont="1" applyFill="1" applyBorder="1" applyAlignment="1" applyProtection="1">
      <alignment horizontal="center" vertical="center"/>
      <protection locked="0"/>
    </xf>
    <xf numFmtId="0" fontId="25" fillId="2" borderId="0" xfId="0" applyFont="1" applyFill="1" applyBorder="1" applyAlignment="1" applyProtection="1">
      <alignment horizontal="left" vertical="center"/>
      <protection locked="0"/>
    </xf>
    <xf numFmtId="165" fontId="24" fillId="2" borderId="0" xfId="1" applyNumberFormat="1" applyFont="1" applyFill="1" applyBorder="1" applyAlignment="1" applyProtection="1">
      <alignment horizontal="center" vertical="center"/>
      <protection locked="0"/>
    </xf>
    <xf numFmtId="0" fontId="19" fillId="2" borderId="0" xfId="0" applyFont="1" applyFill="1" applyBorder="1" applyAlignment="1" applyProtection="1">
      <alignment horizontal="center"/>
      <protection locked="0"/>
    </xf>
    <xf numFmtId="0" fontId="19" fillId="2" borderId="0" xfId="0" applyFont="1" applyFill="1" applyBorder="1" applyAlignment="1" applyProtection="1">
      <alignment horizontal="left" vertical="center"/>
      <protection locked="0"/>
    </xf>
    <xf numFmtId="0" fontId="0" fillId="0" borderId="0" xfId="0" applyAlignment="1">
      <alignment horizontal="left"/>
    </xf>
    <xf numFmtId="9" fontId="0" fillId="0" borderId="0" xfId="0" applyNumberFormat="1"/>
    <xf numFmtId="0" fontId="0" fillId="0" borderId="0" xfId="0" applyBorder="1"/>
    <xf numFmtId="0" fontId="0" fillId="0" borderId="0" xfId="0" pivotButton="1"/>
    <xf numFmtId="9" fontId="0" fillId="2" borderId="0" xfId="3" applyFont="1" applyFill="1" applyBorder="1" applyAlignment="1">
      <alignment vertical="center" wrapText="1"/>
    </xf>
    <xf numFmtId="0" fontId="24" fillId="5" borderId="25" xfId="0" applyFont="1" applyFill="1" applyBorder="1" applyAlignment="1" applyProtection="1">
      <alignment horizontal="right" vertical="center"/>
      <protection locked="0"/>
    </xf>
    <xf numFmtId="0" fontId="24" fillId="5" borderId="7" xfId="0" applyFont="1" applyFill="1" applyBorder="1" applyAlignment="1" applyProtection="1">
      <alignment horizontal="center" vertical="center"/>
      <protection locked="0"/>
    </xf>
    <xf numFmtId="0" fontId="23" fillId="3" borderId="5" xfId="0" applyFont="1" applyFill="1" applyBorder="1" applyAlignment="1" applyProtection="1">
      <alignment vertical="center"/>
      <protection locked="0"/>
    </xf>
    <xf numFmtId="0" fontId="24" fillId="5" borderId="12" xfId="0" applyFont="1" applyFill="1" applyBorder="1" applyAlignment="1" applyProtection="1">
      <alignment horizontal="right" vertical="center"/>
      <protection locked="0"/>
    </xf>
    <xf numFmtId="0" fontId="24" fillId="5" borderId="3" xfId="0" applyFont="1" applyFill="1" applyBorder="1" applyAlignment="1" applyProtection="1">
      <alignment horizontal="right" vertical="center"/>
      <protection locked="0"/>
    </xf>
    <xf numFmtId="0" fontId="31" fillId="5" borderId="21" xfId="0" applyFont="1" applyFill="1" applyBorder="1" applyAlignment="1">
      <alignment horizontal="left" vertical="center"/>
    </xf>
    <xf numFmtId="0" fontId="31" fillId="5" borderId="22" xfId="0" applyFont="1" applyFill="1" applyBorder="1" applyAlignment="1">
      <alignment horizontal="left" vertical="center"/>
    </xf>
    <xf numFmtId="0" fontId="38" fillId="2" borderId="0" xfId="0" applyFont="1" applyFill="1" applyBorder="1" applyAlignment="1">
      <alignment horizontal="right" vertical="center" wrapText="1"/>
    </xf>
    <xf numFmtId="0" fontId="39" fillId="2" borderId="0" xfId="0" applyFont="1" applyFill="1" applyBorder="1" applyAlignment="1">
      <alignment horizontal="left" vertical="center"/>
    </xf>
    <xf numFmtId="0" fontId="40" fillId="2" borderId="0" xfId="0" applyFont="1" applyFill="1" applyBorder="1" applyAlignment="1" applyProtection="1">
      <alignment horizontal="left"/>
      <protection locked="0"/>
    </xf>
    <xf numFmtId="166" fontId="17" fillId="2" borderId="0" xfId="4" applyFill="1" applyAlignment="1">
      <alignment vertical="center"/>
    </xf>
    <xf numFmtId="166" fontId="43" fillId="11" borderId="0" xfId="4" applyFont="1" applyFill="1" applyAlignment="1">
      <alignment vertical="center"/>
    </xf>
    <xf numFmtId="166" fontId="44" fillId="11" borderId="0" xfId="4" applyFont="1" applyFill="1" applyAlignment="1">
      <alignment vertical="center"/>
    </xf>
    <xf numFmtId="166" fontId="44" fillId="2" borderId="0" xfId="4" applyFont="1" applyFill="1" applyAlignment="1">
      <alignment vertical="center"/>
    </xf>
    <xf numFmtId="3" fontId="17" fillId="2" borderId="57" xfId="4" applyNumberFormat="1" applyFill="1" applyBorder="1" applyAlignment="1">
      <alignment horizontal="center" vertical="center"/>
    </xf>
    <xf numFmtId="9" fontId="17" fillId="2" borderId="59" xfId="4" applyNumberFormat="1" applyFill="1" applyBorder="1" applyAlignment="1">
      <alignment horizontal="center" vertical="center"/>
    </xf>
    <xf numFmtId="3" fontId="46" fillId="2" borderId="57" xfId="4" applyNumberFormat="1" applyFont="1" applyFill="1" applyBorder="1" applyAlignment="1">
      <alignment horizontal="center" vertical="center"/>
    </xf>
    <xf numFmtId="3" fontId="17" fillId="2" borderId="0" xfId="4" applyNumberFormat="1" applyFill="1" applyAlignment="1">
      <alignment vertical="center"/>
    </xf>
    <xf numFmtId="166" fontId="43" fillId="2" borderId="0" xfId="4" applyFont="1" applyFill="1" applyAlignment="1">
      <alignment vertical="center"/>
    </xf>
    <xf numFmtId="0" fontId="17" fillId="2" borderId="0" xfId="4" applyNumberFormat="1" applyFill="1" applyAlignment="1">
      <alignment vertical="center"/>
    </xf>
    <xf numFmtId="166" fontId="17" fillId="2" borderId="0" xfId="4" applyFill="1" applyAlignment="1">
      <alignment horizontal="center" vertical="center"/>
    </xf>
    <xf numFmtId="0" fontId="48" fillId="2" borderId="0" xfId="5" applyFont="1" applyFill="1"/>
    <xf numFmtId="0" fontId="48" fillId="2" borderId="0" xfId="5" applyFont="1" applyFill="1" applyAlignment="1">
      <alignment wrapText="1"/>
    </xf>
    <xf numFmtId="0" fontId="48" fillId="2" borderId="0" xfId="5" applyFont="1" applyFill="1" applyAlignment="1">
      <alignment horizontal="center" vertical="center"/>
    </xf>
    <xf numFmtId="0" fontId="48" fillId="0" borderId="0" xfId="5" applyFont="1"/>
    <xf numFmtId="0" fontId="49" fillId="0" borderId="0" xfId="5" applyFont="1" applyAlignment="1">
      <alignment wrapText="1"/>
    </xf>
    <xf numFmtId="0" fontId="50" fillId="2" borderId="0" xfId="5" applyFont="1" applyFill="1" applyAlignment="1">
      <alignment vertical="center" wrapText="1"/>
    </xf>
    <xf numFmtId="0" fontId="51" fillId="0" borderId="0" xfId="5" applyFont="1"/>
    <xf numFmtId="0" fontId="48" fillId="0" borderId="0" xfId="5" applyFont="1" applyAlignment="1">
      <alignment wrapText="1"/>
    </xf>
    <xf numFmtId="0" fontId="48" fillId="0" borderId="0" xfId="5" applyFont="1" applyAlignment="1">
      <alignment horizontal="center" vertical="center"/>
    </xf>
    <xf numFmtId="0" fontId="52" fillId="0" borderId="0" xfId="5" applyFont="1" applyAlignment="1">
      <alignment horizontal="center" vertical="center" readingOrder="1"/>
    </xf>
    <xf numFmtId="3" fontId="45" fillId="2" borderId="57" xfId="4" applyNumberFormat="1" applyFont="1" applyFill="1" applyBorder="1" applyAlignment="1">
      <alignment horizontal="center" vertical="center"/>
    </xf>
    <xf numFmtId="0" fontId="21" fillId="6" borderId="47" xfId="0" applyFont="1" applyFill="1" applyBorder="1" applyAlignment="1" applyProtection="1">
      <alignment horizontal="center" vertical="center" wrapText="1"/>
    </xf>
    <xf numFmtId="0" fontId="18" fillId="0" borderId="0" xfId="0" applyFont="1"/>
    <xf numFmtId="0" fontId="53" fillId="2" borderId="0" xfId="21" applyFont="1" applyFill="1" applyProtection="1">
      <protection locked="0"/>
    </xf>
    <xf numFmtId="3" fontId="53" fillId="2" borderId="0" xfId="21" applyNumberFormat="1" applyFont="1" applyFill="1" applyProtection="1">
      <protection locked="0"/>
    </xf>
    <xf numFmtId="3" fontId="53" fillId="2" borderId="44" xfId="21" applyNumberFormat="1" applyFont="1" applyFill="1" applyBorder="1" applyProtection="1">
      <protection locked="0"/>
    </xf>
    <xf numFmtId="3" fontId="53" fillId="2" borderId="46" xfId="21" applyNumberFormat="1" applyFont="1" applyFill="1" applyBorder="1" applyProtection="1">
      <protection locked="0"/>
    </xf>
    <xf numFmtId="0" fontId="53" fillId="2" borderId="0" xfId="21" applyFont="1" applyFill="1"/>
    <xf numFmtId="0" fontId="54" fillId="5" borderId="101" xfId="21" applyFont="1" applyFill="1" applyBorder="1" applyAlignment="1" applyProtection="1">
      <alignment horizontal="right" vertical="center"/>
      <protection locked="0"/>
    </xf>
    <xf numFmtId="15" fontId="55" fillId="5" borderId="101" xfId="21" applyNumberFormat="1" applyFont="1" applyFill="1" applyBorder="1" applyAlignment="1" applyProtection="1">
      <alignment horizontal="left" vertical="center"/>
      <protection locked="0"/>
    </xf>
    <xf numFmtId="0" fontId="53" fillId="5" borderId="102" xfId="21" applyFont="1" applyFill="1" applyBorder="1" applyProtection="1">
      <protection locked="0"/>
    </xf>
    <xf numFmtId="0" fontId="53" fillId="5" borderId="103" xfId="21" applyFont="1" applyFill="1" applyBorder="1" applyProtection="1">
      <protection locked="0"/>
    </xf>
    <xf numFmtId="0" fontId="54" fillId="8" borderId="103" xfId="21" applyFont="1" applyFill="1" applyBorder="1" applyAlignment="1" applyProtection="1">
      <alignment horizontal="center" vertical="center"/>
      <protection locked="0"/>
    </xf>
    <xf numFmtId="0" fontId="57" fillId="2" borderId="0" xfId="21" applyFont="1" applyFill="1" applyAlignment="1">
      <alignment horizontal="center" vertical="center"/>
    </xf>
    <xf numFmtId="0" fontId="58" fillId="4" borderId="48" xfId="21" applyFont="1" applyFill="1" applyBorder="1" applyAlignment="1">
      <alignment horizontal="center" vertical="center" wrapText="1"/>
    </xf>
    <xf numFmtId="0" fontId="58" fillId="4" borderId="49" xfId="21" applyFont="1" applyFill="1" applyBorder="1" applyAlignment="1">
      <alignment horizontal="center" vertical="center" wrapText="1"/>
    </xf>
    <xf numFmtId="0" fontId="58" fillId="4" borderId="50" xfId="21" applyFont="1" applyFill="1" applyBorder="1" applyAlignment="1">
      <alignment horizontal="center" vertical="center" wrapText="1"/>
    </xf>
    <xf numFmtId="0" fontId="58" fillId="4" borderId="51" xfId="21" applyFont="1" applyFill="1" applyBorder="1" applyAlignment="1">
      <alignment horizontal="center" vertical="center" wrapText="1"/>
    </xf>
    <xf numFmtId="10" fontId="58" fillId="4" borderId="49" xfId="21" applyNumberFormat="1" applyFont="1" applyFill="1" applyBorder="1" applyAlignment="1">
      <alignment horizontal="center" vertical="center" wrapText="1"/>
    </xf>
    <xf numFmtId="10" fontId="58" fillId="4" borderId="52" xfId="21" applyNumberFormat="1" applyFont="1" applyFill="1" applyBorder="1" applyAlignment="1">
      <alignment horizontal="center" vertical="center" wrapText="1"/>
    </xf>
    <xf numFmtId="3" fontId="58" fillId="4" borderId="53" xfId="21" applyNumberFormat="1" applyFont="1" applyFill="1" applyBorder="1" applyAlignment="1">
      <alignment horizontal="center" vertical="center" wrapText="1"/>
    </xf>
    <xf numFmtId="0" fontId="58" fillId="4" borderId="53" xfId="21" applyFont="1" applyFill="1" applyBorder="1" applyAlignment="1">
      <alignment horizontal="center" vertical="center" wrapText="1"/>
    </xf>
    <xf numFmtId="0" fontId="58" fillId="4" borderId="52" xfId="21" applyFont="1" applyFill="1" applyBorder="1" applyAlignment="1">
      <alignment horizontal="center" vertical="center" wrapText="1"/>
    </xf>
    <xf numFmtId="0" fontId="58" fillId="4" borderId="54" xfId="21" applyFont="1" applyFill="1" applyBorder="1" applyAlignment="1">
      <alignment horizontal="center" vertical="center" wrapText="1"/>
    </xf>
    <xf numFmtId="3" fontId="58" fillId="4" borderId="48" xfId="21" applyNumberFormat="1" applyFont="1" applyFill="1" applyBorder="1" applyAlignment="1">
      <alignment horizontal="center" vertical="center" wrapText="1"/>
    </xf>
    <xf numFmtId="3" fontId="58" fillId="4" borderId="54" xfId="21" applyNumberFormat="1" applyFont="1" applyFill="1" applyBorder="1" applyAlignment="1">
      <alignment horizontal="center" vertical="center" wrapText="1"/>
    </xf>
    <xf numFmtId="3" fontId="58" fillId="4" borderId="49" xfId="21" applyNumberFormat="1" applyFont="1" applyFill="1" applyBorder="1" applyAlignment="1">
      <alignment horizontal="center" vertical="center" wrapText="1"/>
    </xf>
    <xf numFmtId="3" fontId="58" fillId="4" borderId="50" xfId="21" applyNumberFormat="1" applyFont="1" applyFill="1" applyBorder="1" applyAlignment="1">
      <alignment horizontal="center" vertical="center" wrapText="1"/>
    </xf>
    <xf numFmtId="0" fontId="58" fillId="4" borderId="55" xfId="21" applyFont="1" applyFill="1" applyBorder="1" applyAlignment="1">
      <alignment horizontal="center" vertical="center" wrapText="1"/>
    </xf>
    <xf numFmtId="0" fontId="59" fillId="6" borderId="56" xfId="21" applyFont="1" applyFill="1" applyBorder="1" applyAlignment="1" applyProtection="1">
      <alignment horizontal="left" vertical="center" wrapText="1"/>
      <protection locked="0"/>
    </xf>
    <xf numFmtId="0" fontId="53" fillId="6" borderId="57" xfId="21" applyFont="1" applyFill="1" applyBorder="1" applyAlignment="1" applyProtection="1">
      <alignment horizontal="center" vertical="center" wrapText="1"/>
      <protection locked="0"/>
    </xf>
    <xf numFmtId="0" fontId="59" fillId="6" borderId="57" xfId="21" applyFont="1" applyFill="1" applyBorder="1" applyAlignment="1" applyProtection="1">
      <alignment horizontal="center" vertical="center" wrapText="1"/>
      <protection locked="0"/>
    </xf>
    <xf numFmtId="0" fontId="53" fillId="2" borderId="58" xfId="21" applyFont="1" applyFill="1" applyBorder="1" applyAlignment="1" applyProtection="1">
      <alignment horizontal="left" vertical="center" wrapText="1"/>
      <protection locked="0"/>
    </xf>
    <xf numFmtId="14" fontId="53" fillId="2" borderId="56" xfId="21" applyNumberFormat="1" applyFont="1" applyFill="1" applyBorder="1" applyAlignment="1">
      <alignment horizontal="center" vertical="center" wrapText="1"/>
    </xf>
    <xf numFmtId="14" fontId="53" fillId="2" borderId="57" xfId="21" applyNumberFormat="1" applyFont="1" applyFill="1" applyBorder="1" applyAlignment="1">
      <alignment horizontal="center" vertical="center" wrapText="1"/>
    </xf>
    <xf numFmtId="0" fontId="53" fillId="2" borderId="59" xfId="21" applyFont="1" applyFill="1" applyBorder="1" applyAlignment="1" applyProtection="1">
      <alignment horizontal="center" vertical="center" wrapText="1"/>
      <protection locked="0"/>
    </xf>
    <xf numFmtId="0" fontId="53" fillId="2" borderId="58" xfId="21" applyFont="1" applyFill="1" applyBorder="1" applyAlignment="1" applyProtection="1">
      <alignment horizontal="center" vertical="center" wrapText="1"/>
      <protection locked="0"/>
    </xf>
    <xf numFmtId="0" fontId="53" fillId="2" borderId="56" xfId="21" applyFont="1" applyFill="1" applyBorder="1" applyAlignment="1" applyProtection="1">
      <alignment horizontal="center" vertical="center" wrapText="1"/>
      <protection locked="0"/>
    </xf>
    <xf numFmtId="9" fontId="53" fillId="2" borderId="57" xfId="22" applyNumberFormat="1" applyFont="1" applyFill="1" applyBorder="1" applyAlignment="1">
      <alignment horizontal="center" vertical="center"/>
    </xf>
    <xf numFmtId="9" fontId="53" fillId="2" borderId="60" xfId="22" applyNumberFormat="1" applyFont="1" applyFill="1" applyBorder="1" applyAlignment="1">
      <alignment horizontal="center" vertical="center"/>
    </xf>
    <xf numFmtId="9" fontId="53" fillId="2" borderId="61" xfId="21" applyNumberFormat="1" applyFont="1" applyFill="1" applyBorder="1" applyAlignment="1" applyProtection="1">
      <alignment horizontal="center" vertical="center" wrapText="1"/>
      <protection locked="0"/>
    </xf>
    <xf numFmtId="9" fontId="53" fillId="2" borderId="60" xfId="21" applyNumberFormat="1" applyFont="1" applyFill="1" applyBorder="1" applyAlignment="1" applyProtection="1">
      <alignment horizontal="center" vertical="center" wrapText="1"/>
      <protection locked="0"/>
    </xf>
    <xf numFmtId="0" fontId="53" fillId="2" borderId="61" xfId="21" applyFont="1" applyFill="1" applyBorder="1" applyAlignment="1" applyProtection="1">
      <alignment horizontal="center" vertical="center" wrapText="1"/>
      <protection locked="0"/>
    </xf>
    <xf numFmtId="0" fontId="53" fillId="2" borderId="57" xfId="21" applyFont="1" applyFill="1" applyBorder="1" applyAlignment="1" applyProtection="1">
      <alignment horizontal="center" vertical="center" wrapText="1"/>
      <protection locked="0"/>
    </xf>
    <xf numFmtId="0" fontId="53" fillId="2" borderId="60" xfId="21" applyFont="1" applyFill="1" applyBorder="1" applyAlignment="1" applyProtection="1">
      <alignment horizontal="center" vertical="center" wrapText="1"/>
      <protection locked="0"/>
    </xf>
    <xf numFmtId="0" fontId="53" fillId="2" borderId="62" xfId="21" applyFont="1" applyFill="1" applyBorder="1" applyAlignment="1" applyProtection="1">
      <alignment horizontal="center" vertical="center" wrapText="1"/>
      <protection locked="0"/>
    </xf>
    <xf numFmtId="3" fontId="53" fillId="6" borderId="56" xfId="21" applyNumberFormat="1" applyFont="1" applyFill="1" applyBorder="1" applyAlignment="1" applyProtection="1">
      <alignment horizontal="center" vertical="center" wrapText="1"/>
      <protection locked="0"/>
    </xf>
    <xf numFmtId="3" fontId="53" fillId="6" borderId="62" xfId="21" applyNumberFormat="1" applyFont="1" applyFill="1" applyBorder="1" applyAlignment="1" applyProtection="1">
      <alignment horizontal="center" vertical="center" wrapText="1"/>
      <protection locked="0"/>
    </xf>
    <xf numFmtId="9" fontId="53" fillId="2" borderId="57" xfId="21" applyNumberFormat="1" applyFont="1" applyFill="1" applyBorder="1" applyAlignment="1" applyProtection="1">
      <alignment horizontal="center" vertical="center" wrapText="1"/>
      <protection locked="0"/>
    </xf>
    <xf numFmtId="9" fontId="53" fillId="2" borderId="58" xfId="21" applyNumberFormat="1" applyFont="1" applyFill="1" applyBorder="1" applyAlignment="1" applyProtection="1">
      <alignment horizontal="center" vertical="center" wrapText="1"/>
      <protection locked="0"/>
    </xf>
    <xf numFmtId="0" fontId="53" fillId="2" borderId="63" xfId="21" applyFont="1" applyFill="1" applyBorder="1" applyAlignment="1" applyProtection="1">
      <alignment horizontal="center" vertical="center" wrapText="1"/>
      <protection locked="0"/>
    </xf>
    <xf numFmtId="14" fontId="53" fillId="2" borderId="56" xfId="21" applyNumberFormat="1" applyFont="1" applyFill="1" applyBorder="1" applyAlignment="1" applyProtection="1">
      <alignment horizontal="center" vertical="center" wrapText="1"/>
      <protection locked="0"/>
    </xf>
    <xf numFmtId="14" fontId="53" fillId="2" borderId="57" xfId="21" applyNumberFormat="1" applyFont="1" applyFill="1" applyBorder="1" applyAlignment="1" applyProtection="1">
      <alignment horizontal="center" vertical="center" wrapText="1"/>
      <protection locked="0"/>
    </xf>
    <xf numFmtId="9" fontId="53" fillId="2" borderId="61" xfId="22" applyNumberFormat="1" applyFont="1" applyFill="1" applyBorder="1" applyAlignment="1">
      <alignment horizontal="center" vertical="center"/>
    </xf>
    <xf numFmtId="3" fontId="53" fillId="6" borderId="56" xfId="22" applyNumberFormat="1" applyFont="1" applyFill="1" applyBorder="1" applyAlignment="1">
      <alignment horizontal="center" vertical="center"/>
    </xf>
    <xf numFmtId="3" fontId="53" fillId="6" borderId="62" xfId="22" applyNumberFormat="1" applyFont="1" applyFill="1" applyBorder="1" applyAlignment="1">
      <alignment horizontal="center" vertical="center"/>
    </xf>
    <xf numFmtId="9" fontId="53" fillId="2" borderId="58" xfId="22" applyNumberFormat="1" applyFont="1" applyFill="1" applyBorder="1" applyAlignment="1">
      <alignment horizontal="center" vertical="center"/>
    </xf>
    <xf numFmtId="14" fontId="53" fillId="2" borderId="56" xfId="21" applyNumberFormat="1" applyFont="1" applyFill="1" applyBorder="1" applyAlignment="1" applyProtection="1">
      <alignment horizontal="center" vertical="center" wrapText="1"/>
      <protection locked="0"/>
    </xf>
    <xf numFmtId="14" fontId="53" fillId="2" borderId="57" xfId="21" applyNumberFormat="1" applyFont="1" applyFill="1" applyBorder="1" applyAlignment="1" applyProtection="1">
      <alignment horizontal="center" vertical="center" wrapText="1"/>
      <protection locked="0"/>
    </xf>
    <xf numFmtId="3" fontId="53" fillId="2" borderId="56" xfId="21" applyNumberFormat="1" applyFont="1" applyFill="1" applyBorder="1" applyAlignment="1" applyProtection="1">
      <alignment horizontal="center" vertical="center" wrapText="1"/>
      <protection locked="0"/>
    </xf>
    <xf numFmtId="3" fontId="53" fillId="2" borderId="61" xfId="21" applyNumberFormat="1" applyFont="1" applyFill="1" applyBorder="1" applyAlignment="1" applyProtection="1">
      <alignment horizontal="center" vertical="center" wrapText="1"/>
      <protection locked="0"/>
    </xf>
    <xf numFmtId="3" fontId="53" fillId="2" borderId="57" xfId="21" applyNumberFormat="1" applyFont="1" applyFill="1" applyBorder="1" applyAlignment="1" applyProtection="1">
      <alignment horizontal="center" vertical="center" wrapText="1"/>
      <protection locked="0"/>
    </xf>
    <xf numFmtId="3" fontId="53" fillId="2" borderId="60" xfId="21" applyNumberFormat="1" applyFont="1" applyFill="1" applyBorder="1" applyAlignment="1" applyProtection="1">
      <alignment horizontal="center" vertical="center" wrapText="1"/>
      <protection locked="0"/>
    </xf>
    <xf numFmtId="3" fontId="53" fillId="2" borderId="62" xfId="21" applyNumberFormat="1" applyFont="1" applyFill="1" applyBorder="1" applyAlignment="1" applyProtection="1">
      <alignment horizontal="center" vertical="center" wrapText="1"/>
      <protection locked="0"/>
    </xf>
    <xf numFmtId="3" fontId="53" fillId="2" borderId="59" xfId="21" applyNumberFormat="1" applyFont="1" applyFill="1" applyBorder="1" applyAlignment="1" applyProtection="1">
      <alignment horizontal="center" vertical="center" wrapText="1"/>
      <protection locked="0"/>
    </xf>
    <xf numFmtId="0" fontId="60" fillId="6" borderId="57" xfId="21" applyFont="1" applyFill="1" applyBorder="1" applyAlignment="1" applyProtection="1">
      <alignment horizontal="center" vertical="center" wrapText="1"/>
      <protection locked="0"/>
    </xf>
    <xf numFmtId="0" fontId="53" fillId="2" borderId="0" xfId="21" applyFont="1" applyFill="1" applyAlignment="1">
      <alignment wrapText="1"/>
    </xf>
    <xf numFmtId="9" fontId="53" fillId="2" borderId="57" xfId="23" applyNumberFormat="1" applyFont="1" applyFill="1" applyBorder="1" applyAlignment="1" applyProtection="1">
      <alignment horizontal="center" vertical="center" wrapText="1"/>
      <protection locked="0"/>
    </xf>
    <xf numFmtId="9" fontId="53" fillId="2" borderId="60" xfId="23" applyNumberFormat="1" applyFont="1" applyFill="1" applyBorder="1" applyAlignment="1" applyProtection="1">
      <alignment horizontal="center" vertical="center" wrapText="1"/>
      <protection locked="0"/>
    </xf>
    <xf numFmtId="9" fontId="53" fillId="2" borderId="45" xfId="21" applyNumberFormat="1" applyFont="1" applyFill="1" applyBorder="1" applyAlignment="1">
      <alignment horizontal="center" vertical="center" wrapText="1"/>
    </xf>
    <xf numFmtId="9" fontId="53" fillId="2" borderId="64" xfId="21" applyNumberFormat="1" applyFont="1" applyFill="1" applyBorder="1" applyAlignment="1">
      <alignment horizontal="center" vertical="center" wrapText="1"/>
    </xf>
    <xf numFmtId="9" fontId="53" fillId="2" borderId="59" xfId="22" applyNumberFormat="1" applyFont="1" applyFill="1" applyBorder="1" applyAlignment="1">
      <alignment horizontal="center" vertical="center"/>
    </xf>
    <xf numFmtId="0" fontId="53" fillId="2" borderId="65" xfId="21" applyFont="1" applyFill="1" applyBorder="1" applyAlignment="1" applyProtection="1">
      <alignment horizontal="center" vertical="center" wrapText="1"/>
      <protection locked="0"/>
    </xf>
    <xf numFmtId="9" fontId="53" fillId="2" borderId="59" xfId="21" applyNumberFormat="1" applyFont="1" applyFill="1" applyBorder="1" applyAlignment="1" applyProtection="1">
      <alignment horizontal="center" vertical="center" wrapText="1"/>
      <protection locked="0"/>
    </xf>
    <xf numFmtId="9" fontId="53" fillId="2" borderId="66" xfId="21" applyNumberFormat="1" applyFont="1" applyFill="1" applyBorder="1" applyAlignment="1" applyProtection="1">
      <alignment horizontal="center" vertical="center" wrapText="1"/>
      <protection locked="0"/>
    </xf>
    <xf numFmtId="0" fontId="53" fillId="2" borderId="65" xfId="21" applyFont="1" applyFill="1" applyBorder="1" applyAlignment="1" applyProtection="1">
      <alignment horizontal="left" vertical="center" wrapText="1"/>
      <protection locked="0"/>
    </xf>
    <xf numFmtId="1" fontId="53" fillId="2" borderId="62" xfId="21" applyNumberFormat="1" applyFont="1" applyFill="1" applyBorder="1" applyAlignment="1" applyProtection="1">
      <alignment horizontal="center" vertical="center" wrapText="1"/>
      <protection locked="0"/>
    </xf>
    <xf numFmtId="14" fontId="60" fillId="2" borderId="67" xfId="21" applyNumberFormat="1" applyFont="1" applyFill="1" applyBorder="1" applyAlignment="1" applyProtection="1">
      <alignment horizontal="center" vertical="center" wrapText="1"/>
      <protection locked="0"/>
    </xf>
    <xf numFmtId="14" fontId="60" fillId="2" borderId="68" xfId="21" applyNumberFormat="1" applyFont="1" applyFill="1" applyBorder="1" applyAlignment="1" applyProtection="1">
      <alignment horizontal="center" vertical="center" wrapText="1"/>
      <protection locked="0"/>
    </xf>
    <xf numFmtId="0" fontId="60" fillId="2" borderId="69" xfId="21" applyFont="1" applyFill="1" applyBorder="1" applyAlignment="1" applyProtection="1">
      <alignment horizontal="center" vertical="center" wrapText="1"/>
      <protection locked="0"/>
    </xf>
    <xf numFmtId="0" fontId="60" fillId="2" borderId="70" xfId="21" applyFont="1" applyFill="1" applyBorder="1" applyAlignment="1" applyProtection="1">
      <alignment horizontal="center" vertical="center" wrapText="1"/>
      <protection locked="0"/>
    </xf>
    <xf numFmtId="14" fontId="60" fillId="2" borderId="56" xfId="21" applyNumberFormat="1" applyFont="1" applyFill="1" applyBorder="1" applyAlignment="1" applyProtection="1">
      <alignment horizontal="center" vertical="center" wrapText="1"/>
      <protection locked="0"/>
    </xf>
    <xf numFmtId="14" fontId="60" fillId="2" borderId="57" xfId="21" applyNumberFormat="1" applyFont="1" applyFill="1" applyBorder="1" applyAlignment="1" applyProtection="1">
      <alignment horizontal="center" vertical="center" wrapText="1"/>
      <protection locked="0"/>
    </xf>
    <xf numFmtId="0" fontId="60" fillId="2" borderId="59" xfId="21" applyFont="1" applyFill="1" applyBorder="1" applyAlignment="1" applyProtection="1">
      <alignment horizontal="center" vertical="center" wrapText="1"/>
      <protection locked="0"/>
    </xf>
    <xf numFmtId="0" fontId="60" fillId="2" borderId="58" xfId="21" applyFont="1" applyFill="1" applyBorder="1" applyAlignment="1" applyProtection="1">
      <alignment horizontal="center" vertical="center" wrapText="1"/>
      <protection locked="0"/>
    </xf>
    <xf numFmtId="0" fontId="59" fillId="6" borderId="67" xfId="21" applyFont="1" applyFill="1" applyBorder="1" applyAlignment="1" applyProtection="1">
      <alignment horizontal="left" vertical="center" wrapText="1"/>
      <protection locked="0"/>
    </xf>
    <xf numFmtId="0" fontId="53" fillId="6" borderId="68" xfId="21" applyFont="1" applyFill="1" applyBorder="1" applyAlignment="1" applyProtection="1">
      <alignment horizontal="center" vertical="center" wrapText="1"/>
      <protection locked="0"/>
    </xf>
    <xf numFmtId="0" fontId="59" fillId="6" borderId="68" xfId="21" applyFont="1" applyFill="1" applyBorder="1" applyAlignment="1" applyProtection="1">
      <alignment horizontal="center" vertical="center" wrapText="1"/>
      <protection locked="0"/>
    </xf>
    <xf numFmtId="0" fontId="53" fillId="2" borderId="70" xfId="21" applyFont="1" applyFill="1" applyBorder="1" applyAlignment="1" applyProtection="1">
      <alignment horizontal="left" vertical="center" wrapText="1"/>
      <protection locked="0"/>
    </xf>
    <xf numFmtId="14" fontId="53" fillId="2" borderId="67" xfId="21" applyNumberFormat="1" applyFont="1" applyFill="1" applyBorder="1" applyAlignment="1" applyProtection="1">
      <alignment horizontal="center" vertical="center" wrapText="1"/>
      <protection locked="0"/>
    </xf>
    <xf numFmtId="14" fontId="53" fillId="2" borderId="68" xfId="21" applyNumberFormat="1" applyFont="1" applyFill="1" applyBorder="1" applyAlignment="1" applyProtection="1">
      <alignment horizontal="center" vertical="center" wrapText="1"/>
      <protection locked="0"/>
    </xf>
    <xf numFmtId="0" fontId="53" fillId="2" borderId="69" xfId="21" applyFont="1" applyFill="1" applyBorder="1" applyAlignment="1" applyProtection="1">
      <alignment horizontal="center" vertical="center" wrapText="1"/>
      <protection locked="0"/>
    </xf>
    <xf numFmtId="3" fontId="53" fillId="2" borderId="67" xfId="21" applyNumberFormat="1" applyFont="1" applyFill="1" applyBorder="1" applyAlignment="1" applyProtection="1">
      <alignment horizontal="center" vertical="center" wrapText="1"/>
      <protection locked="0"/>
    </xf>
    <xf numFmtId="9" fontId="53" fillId="2" borderId="68" xfId="21" applyNumberFormat="1" applyFont="1" applyFill="1" applyBorder="1" applyAlignment="1" applyProtection="1">
      <alignment horizontal="center" vertical="center" wrapText="1"/>
      <protection locked="0"/>
    </xf>
    <xf numFmtId="9" fontId="53" fillId="2" borderId="85" xfId="21" applyNumberFormat="1" applyFont="1" applyFill="1" applyBorder="1" applyAlignment="1" applyProtection="1">
      <alignment horizontal="center" vertical="center" wrapText="1"/>
      <protection locked="0"/>
    </xf>
    <xf numFmtId="9" fontId="53" fillId="2" borderId="86" xfId="21" applyNumberFormat="1" applyFont="1" applyFill="1" applyBorder="1" applyAlignment="1" applyProtection="1">
      <alignment horizontal="center" vertical="center" wrapText="1"/>
      <protection locked="0"/>
    </xf>
    <xf numFmtId="3" fontId="53" fillId="2" borderId="86" xfId="21" applyNumberFormat="1" applyFont="1" applyFill="1" applyBorder="1" applyAlignment="1" applyProtection="1">
      <alignment horizontal="center" vertical="center" wrapText="1"/>
      <protection locked="0"/>
    </xf>
    <xf numFmtId="3" fontId="53" fillId="2" borderId="68" xfId="21" applyNumberFormat="1" applyFont="1" applyFill="1" applyBorder="1" applyAlignment="1" applyProtection="1">
      <alignment horizontal="center" vertical="center" wrapText="1"/>
      <protection locked="0"/>
    </xf>
    <xf numFmtId="3" fontId="53" fillId="2" borderId="85" xfId="21" applyNumberFormat="1" applyFont="1" applyFill="1" applyBorder="1" applyAlignment="1" applyProtection="1">
      <alignment horizontal="center" vertical="center" wrapText="1"/>
      <protection locked="0"/>
    </xf>
    <xf numFmtId="3" fontId="53" fillId="2" borderId="87" xfId="21" applyNumberFormat="1" applyFont="1" applyFill="1" applyBorder="1" applyAlignment="1" applyProtection="1">
      <alignment horizontal="center" vertical="center" wrapText="1"/>
      <protection locked="0"/>
    </xf>
    <xf numFmtId="3" fontId="53" fillId="2" borderId="69" xfId="21" applyNumberFormat="1" applyFont="1" applyFill="1" applyBorder="1" applyAlignment="1" applyProtection="1">
      <alignment horizontal="center" vertical="center" wrapText="1"/>
      <protection locked="0"/>
    </xf>
    <xf numFmtId="3" fontId="53" fillId="6" borderId="67" xfId="21" applyNumberFormat="1" applyFont="1" applyFill="1" applyBorder="1" applyAlignment="1" applyProtection="1">
      <alignment horizontal="center" vertical="center" wrapText="1"/>
      <protection locked="0"/>
    </xf>
    <xf numFmtId="3" fontId="53" fillId="6" borderId="87" xfId="21" applyNumberFormat="1" applyFont="1" applyFill="1" applyBorder="1" applyAlignment="1" applyProtection="1">
      <alignment horizontal="center" vertical="center" wrapText="1"/>
      <protection locked="0"/>
    </xf>
    <xf numFmtId="9" fontId="53" fillId="2" borderId="69" xfId="21" applyNumberFormat="1" applyFont="1" applyFill="1" applyBorder="1" applyAlignment="1" applyProtection="1">
      <alignment horizontal="center" vertical="center" wrapText="1"/>
      <protection locked="0"/>
    </xf>
    <xf numFmtId="0" fontId="53" fillId="2" borderId="88" xfId="21" applyFont="1" applyFill="1" applyBorder="1" applyAlignment="1" applyProtection="1">
      <alignment horizontal="center" vertical="center" wrapText="1"/>
      <protection locked="0"/>
    </xf>
    <xf numFmtId="0" fontId="59" fillId="9" borderId="48" xfId="21" applyFont="1" applyFill="1" applyBorder="1" applyAlignment="1" applyProtection="1">
      <alignment horizontal="left" vertical="center" wrapText="1"/>
      <protection locked="0"/>
    </xf>
    <xf numFmtId="0" fontId="53" fillId="9" borderId="49" xfId="21" applyFont="1" applyFill="1" applyBorder="1" applyAlignment="1" applyProtection="1">
      <alignment horizontal="center" vertical="center" wrapText="1"/>
      <protection locked="0"/>
    </xf>
    <xf numFmtId="0" fontId="59" fillId="9" borderId="49" xfId="21" applyFont="1" applyFill="1" applyBorder="1" applyAlignment="1" applyProtection="1">
      <alignment horizontal="center" vertical="center" wrapText="1"/>
      <protection locked="0"/>
    </xf>
    <xf numFmtId="0" fontId="53" fillId="9" borderId="50" xfId="21" applyFont="1" applyFill="1" applyBorder="1" applyAlignment="1" applyProtection="1">
      <alignment horizontal="left" vertical="center" wrapText="1"/>
      <protection locked="0"/>
    </xf>
    <xf numFmtId="14" fontId="53" fillId="9" borderId="48" xfId="21" applyNumberFormat="1" applyFont="1" applyFill="1" applyBorder="1" applyAlignment="1" applyProtection="1">
      <alignment horizontal="center" vertical="center" wrapText="1"/>
      <protection locked="0"/>
    </xf>
    <xf numFmtId="14" fontId="53" fillId="9" borderId="49" xfId="21" applyNumberFormat="1" applyFont="1" applyFill="1" applyBorder="1" applyAlignment="1" applyProtection="1">
      <alignment horizontal="center" vertical="center" wrapText="1"/>
      <protection locked="0"/>
    </xf>
    <xf numFmtId="0" fontId="53" fillId="9" borderId="51" xfId="21" applyFont="1" applyFill="1" applyBorder="1" applyAlignment="1" applyProtection="1">
      <alignment horizontal="center" vertical="center" wrapText="1"/>
      <protection locked="0"/>
    </xf>
    <xf numFmtId="0" fontId="53" fillId="9" borderId="50" xfId="21" applyFont="1" applyFill="1" applyBorder="1" applyAlignment="1" applyProtection="1">
      <alignment horizontal="center" vertical="center" wrapText="1"/>
      <protection locked="0"/>
    </xf>
    <xf numFmtId="3" fontId="53" fillId="9" borderId="48" xfId="21" applyNumberFormat="1" applyFont="1" applyFill="1" applyBorder="1" applyAlignment="1" applyProtection="1">
      <alignment horizontal="center" vertical="center" wrapText="1"/>
      <protection locked="0"/>
    </xf>
    <xf numFmtId="9" fontId="53" fillId="9" borderId="49" xfId="21" applyNumberFormat="1" applyFont="1" applyFill="1" applyBorder="1" applyAlignment="1" applyProtection="1">
      <alignment horizontal="center" vertical="center" wrapText="1"/>
      <protection locked="0"/>
    </xf>
    <xf numFmtId="9" fontId="53" fillId="9" borderId="52" xfId="21" applyNumberFormat="1" applyFont="1" applyFill="1" applyBorder="1" applyAlignment="1" applyProtection="1">
      <alignment horizontal="center" vertical="center" wrapText="1"/>
      <protection locked="0"/>
    </xf>
    <xf numFmtId="9" fontId="53" fillId="9" borderId="53" xfId="21" applyNumberFormat="1" applyFont="1" applyFill="1" applyBorder="1" applyAlignment="1" applyProtection="1">
      <alignment horizontal="center" vertical="center" wrapText="1"/>
      <protection locked="0"/>
    </xf>
    <xf numFmtId="3" fontId="53" fillId="6" borderId="48" xfId="21" applyNumberFormat="1" applyFont="1" applyFill="1" applyBorder="1" applyAlignment="1" applyProtection="1">
      <alignment horizontal="center" vertical="center" wrapText="1"/>
      <protection locked="0"/>
    </xf>
    <xf numFmtId="3" fontId="53" fillId="6" borderId="54" xfId="21" applyNumberFormat="1" applyFont="1" applyFill="1" applyBorder="1" applyAlignment="1" applyProtection="1">
      <alignment horizontal="center" vertical="center" wrapText="1"/>
      <protection locked="0"/>
    </xf>
    <xf numFmtId="9" fontId="53" fillId="9" borderId="51" xfId="21" applyNumberFormat="1" applyFont="1" applyFill="1" applyBorder="1" applyAlignment="1" applyProtection="1">
      <alignment horizontal="center" vertical="center" wrapText="1"/>
      <protection locked="0"/>
    </xf>
    <xf numFmtId="0" fontId="53" fillId="9" borderId="89" xfId="21" applyFont="1" applyFill="1" applyBorder="1" applyAlignment="1" applyProtection="1">
      <alignment horizontal="center" vertical="center" wrapText="1"/>
      <protection locked="0"/>
    </xf>
    <xf numFmtId="0" fontId="59" fillId="9" borderId="56" xfId="21" applyFont="1" applyFill="1" applyBorder="1" applyAlignment="1" applyProtection="1">
      <alignment horizontal="left" vertical="center" wrapText="1"/>
      <protection locked="0"/>
    </xf>
    <xf numFmtId="0" fontId="53" fillId="9" borderId="57" xfId="21" applyFont="1" applyFill="1" applyBorder="1" applyAlignment="1" applyProtection="1">
      <alignment horizontal="center" vertical="center" wrapText="1"/>
      <protection locked="0"/>
    </xf>
    <xf numFmtId="0" fontId="59" fillId="9" borderId="57" xfId="21" applyFont="1" applyFill="1" applyBorder="1" applyAlignment="1" applyProtection="1">
      <alignment horizontal="center" vertical="center" wrapText="1"/>
      <protection locked="0"/>
    </xf>
    <xf numFmtId="0" fontId="53" fillId="9" borderId="58" xfId="21" applyFont="1" applyFill="1" applyBorder="1" applyAlignment="1" applyProtection="1">
      <alignment horizontal="left" vertical="center" wrapText="1"/>
      <protection locked="0"/>
    </xf>
    <xf numFmtId="14" fontId="53" fillId="9" borderId="56" xfId="21" applyNumberFormat="1" applyFont="1" applyFill="1" applyBorder="1" applyAlignment="1" applyProtection="1">
      <alignment horizontal="center" vertical="center" wrapText="1"/>
      <protection locked="0"/>
    </xf>
    <xf numFmtId="14" fontId="53" fillId="9" borderId="57" xfId="21" applyNumberFormat="1" applyFont="1" applyFill="1" applyBorder="1" applyAlignment="1" applyProtection="1">
      <alignment horizontal="center" vertical="center" wrapText="1"/>
      <protection locked="0"/>
    </xf>
    <xf numFmtId="0" fontId="53" fillId="9" borderId="59" xfId="21" applyFont="1" applyFill="1" applyBorder="1" applyAlignment="1" applyProtection="1">
      <alignment horizontal="center" vertical="center" wrapText="1"/>
      <protection locked="0"/>
    </xf>
    <xf numFmtId="0" fontId="53" fillId="9" borderId="58" xfId="21" applyFont="1" applyFill="1" applyBorder="1" applyAlignment="1" applyProtection="1">
      <alignment horizontal="center" vertical="center" wrapText="1"/>
      <protection locked="0"/>
    </xf>
    <xf numFmtId="3" fontId="53" fillId="9" borderId="56" xfId="21" applyNumberFormat="1" applyFont="1" applyFill="1" applyBorder="1" applyAlignment="1" applyProtection="1">
      <alignment horizontal="center" vertical="center" wrapText="1"/>
      <protection locked="0"/>
    </xf>
    <xf numFmtId="9" fontId="53" fillId="9" borderId="57" xfId="21" applyNumberFormat="1" applyFont="1" applyFill="1" applyBorder="1" applyAlignment="1" applyProtection="1">
      <alignment horizontal="center" vertical="center" wrapText="1"/>
      <protection locked="0"/>
    </xf>
    <xf numFmtId="9" fontId="53" fillId="9" borderId="60" xfId="21" applyNumberFormat="1" applyFont="1" applyFill="1" applyBorder="1" applyAlignment="1" applyProtection="1">
      <alignment horizontal="center" vertical="center" wrapText="1"/>
      <protection locked="0"/>
    </xf>
    <xf numFmtId="9" fontId="53" fillId="9" borderId="61" xfId="21" applyNumberFormat="1" applyFont="1" applyFill="1" applyBorder="1" applyAlignment="1" applyProtection="1">
      <alignment horizontal="center" vertical="center" wrapText="1"/>
      <protection locked="0"/>
    </xf>
    <xf numFmtId="3" fontId="53" fillId="9" borderId="61" xfId="21" applyNumberFormat="1" applyFont="1" applyFill="1" applyBorder="1" applyAlignment="1" applyProtection="1">
      <alignment horizontal="center" vertical="center" wrapText="1"/>
      <protection locked="0"/>
    </xf>
    <xf numFmtId="3" fontId="53" fillId="9" borderId="57" xfId="21" applyNumberFormat="1" applyFont="1" applyFill="1" applyBorder="1" applyAlignment="1" applyProtection="1">
      <alignment horizontal="center" vertical="center" wrapText="1"/>
      <protection locked="0"/>
    </xf>
    <xf numFmtId="3" fontId="53" fillId="9" borderId="60" xfId="21" applyNumberFormat="1" applyFont="1" applyFill="1" applyBorder="1" applyAlignment="1" applyProtection="1">
      <alignment horizontal="center" vertical="center" wrapText="1"/>
      <protection locked="0"/>
    </xf>
    <xf numFmtId="9" fontId="53" fillId="9" borderId="59" xfId="21" applyNumberFormat="1" applyFont="1" applyFill="1" applyBorder="1" applyAlignment="1" applyProtection="1">
      <alignment horizontal="center" vertical="center" wrapText="1"/>
      <protection locked="0"/>
    </xf>
    <xf numFmtId="0" fontId="53" fillId="9" borderId="65" xfId="21" applyFont="1" applyFill="1" applyBorder="1" applyAlignment="1" applyProtection="1">
      <alignment horizontal="center" vertical="center" wrapText="1"/>
      <protection locked="0"/>
    </xf>
    <xf numFmtId="0" fontId="53" fillId="9" borderId="56" xfId="21" applyFont="1" applyFill="1" applyBorder="1" applyAlignment="1" applyProtection="1">
      <alignment horizontal="center" vertical="center" wrapText="1"/>
      <protection locked="0"/>
    </xf>
    <xf numFmtId="0" fontId="59" fillId="9" borderId="90" xfId="21" applyFont="1" applyFill="1" applyBorder="1" applyAlignment="1" applyProtection="1">
      <alignment horizontal="left" vertical="center" wrapText="1"/>
      <protection locked="0"/>
    </xf>
    <xf numFmtId="0" fontId="53" fillId="9" borderId="91" xfId="21" applyFont="1" applyFill="1" applyBorder="1" applyAlignment="1" applyProtection="1">
      <alignment horizontal="center" vertical="center" wrapText="1"/>
      <protection locked="0"/>
    </xf>
    <xf numFmtId="0" fontId="59" fillId="9" borderId="91" xfId="21" applyFont="1" applyFill="1" applyBorder="1" applyAlignment="1" applyProtection="1">
      <alignment horizontal="center" vertical="center" wrapText="1"/>
      <protection locked="0"/>
    </xf>
    <xf numFmtId="14" fontId="53" fillId="9" borderId="90" xfId="21" applyNumberFormat="1" applyFont="1" applyFill="1" applyBorder="1" applyAlignment="1" applyProtection="1">
      <alignment horizontal="center" vertical="center" wrapText="1"/>
      <protection locked="0"/>
    </xf>
    <xf numFmtId="14" fontId="53" fillId="9" borderId="91" xfId="21" applyNumberFormat="1" applyFont="1" applyFill="1" applyBorder="1" applyAlignment="1" applyProtection="1">
      <alignment horizontal="center" vertical="center" wrapText="1"/>
      <protection locked="0"/>
    </xf>
    <xf numFmtId="0" fontId="53" fillId="9" borderId="93" xfId="21" applyFont="1" applyFill="1" applyBorder="1" applyAlignment="1" applyProtection="1">
      <alignment horizontal="center" vertical="center" wrapText="1"/>
      <protection locked="0"/>
    </xf>
    <xf numFmtId="0" fontId="53" fillId="9" borderId="92" xfId="21" applyFont="1" applyFill="1" applyBorder="1" applyAlignment="1" applyProtection="1">
      <alignment horizontal="center" vertical="center" wrapText="1"/>
      <protection locked="0"/>
    </xf>
    <xf numFmtId="0" fontId="53" fillId="9" borderId="90" xfId="21" applyFont="1" applyFill="1" applyBorder="1" applyAlignment="1" applyProtection="1">
      <alignment horizontal="center" vertical="center" wrapText="1"/>
      <protection locked="0"/>
    </xf>
    <xf numFmtId="9" fontId="53" fillId="9" borderId="91" xfId="21" applyNumberFormat="1" applyFont="1" applyFill="1" applyBorder="1" applyAlignment="1" applyProtection="1">
      <alignment horizontal="center" vertical="center" wrapText="1"/>
      <protection locked="0"/>
    </xf>
    <xf numFmtId="9" fontId="53" fillId="9" borderId="94" xfId="21" applyNumberFormat="1" applyFont="1" applyFill="1" applyBorder="1" applyAlignment="1" applyProtection="1">
      <alignment horizontal="center" vertical="center" wrapText="1"/>
      <protection locked="0"/>
    </xf>
    <xf numFmtId="9" fontId="53" fillId="9" borderId="95" xfId="21" applyNumberFormat="1" applyFont="1" applyFill="1" applyBorder="1" applyAlignment="1" applyProtection="1">
      <alignment horizontal="center" vertical="center" wrapText="1"/>
      <protection locked="0"/>
    </xf>
    <xf numFmtId="3" fontId="53" fillId="6" borderId="90" xfId="21" applyNumberFormat="1" applyFont="1" applyFill="1" applyBorder="1" applyAlignment="1" applyProtection="1">
      <alignment horizontal="center" vertical="center" wrapText="1"/>
      <protection locked="0"/>
    </xf>
    <xf numFmtId="3" fontId="53" fillId="6" borderId="96" xfId="21" applyNumberFormat="1" applyFont="1" applyFill="1" applyBorder="1" applyAlignment="1" applyProtection="1">
      <alignment horizontal="center" vertical="center" wrapText="1"/>
      <protection locked="0"/>
    </xf>
    <xf numFmtId="9" fontId="53" fillId="9" borderId="93" xfId="21" applyNumberFormat="1" applyFont="1" applyFill="1" applyBorder="1" applyAlignment="1" applyProtection="1">
      <alignment horizontal="center" vertical="center" wrapText="1"/>
      <protection locked="0"/>
    </xf>
    <xf numFmtId="0" fontId="53" fillId="9" borderId="97" xfId="21" applyFont="1" applyFill="1" applyBorder="1" applyAlignment="1" applyProtection="1">
      <alignment horizontal="center" vertical="center" wrapText="1"/>
      <protection locked="0"/>
    </xf>
    <xf numFmtId="0" fontId="53" fillId="9" borderId="60" xfId="21" applyFont="1" applyFill="1" applyBorder="1" applyAlignment="1" applyProtection="1">
      <alignment horizontal="center" vertical="center" wrapText="1"/>
      <protection locked="0"/>
    </xf>
    <xf numFmtId="3" fontId="53" fillId="6" borderId="57" xfId="21" applyNumberFormat="1" applyFont="1" applyFill="1" applyBorder="1" applyAlignment="1" applyProtection="1">
      <alignment horizontal="center" vertical="center" wrapText="1"/>
      <protection locked="0"/>
    </xf>
    <xf numFmtId="0" fontId="59" fillId="9" borderId="71" xfId="21" applyFont="1" applyFill="1" applyBorder="1" applyAlignment="1" applyProtection="1">
      <alignment horizontal="left" vertical="center" wrapText="1"/>
      <protection locked="0"/>
    </xf>
    <xf numFmtId="0" fontId="53" fillId="9" borderId="45" xfId="21" applyFont="1" applyFill="1" applyBorder="1" applyAlignment="1" applyProtection="1">
      <alignment horizontal="center" vertical="center" wrapText="1"/>
      <protection locked="0"/>
    </xf>
    <xf numFmtId="0" fontId="59" fillId="9" borderId="45" xfId="21" applyFont="1" applyFill="1" applyBorder="1" applyAlignment="1" applyProtection="1">
      <alignment horizontal="center" vertical="center" wrapText="1"/>
      <protection locked="0"/>
    </xf>
    <xf numFmtId="14" fontId="53" fillId="9" borderId="71" xfId="21" applyNumberFormat="1" applyFont="1" applyFill="1" applyBorder="1" applyAlignment="1" applyProtection="1">
      <alignment horizontal="center" vertical="center" wrapText="1"/>
      <protection locked="0"/>
    </xf>
    <xf numFmtId="14" fontId="53" fillId="9" borderId="45" xfId="21" applyNumberFormat="1" applyFont="1" applyFill="1" applyBorder="1" applyAlignment="1" applyProtection="1">
      <alignment horizontal="center" vertical="center" wrapText="1"/>
      <protection locked="0"/>
    </xf>
    <xf numFmtId="0" fontId="53" fillId="9" borderId="46" xfId="21" applyFont="1" applyFill="1" applyBorder="1" applyAlignment="1" applyProtection="1">
      <alignment horizontal="center" vertical="center" wrapText="1"/>
      <protection locked="0"/>
    </xf>
    <xf numFmtId="0" fontId="53" fillId="9" borderId="72" xfId="21" applyFont="1" applyFill="1" applyBorder="1" applyAlignment="1" applyProtection="1">
      <alignment horizontal="center" vertical="center" wrapText="1"/>
      <protection locked="0"/>
    </xf>
    <xf numFmtId="3" fontId="53" fillId="9" borderId="71" xfId="21" applyNumberFormat="1" applyFont="1" applyFill="1" applyBorder="1" applyAlignment="1" applyProtection="1">
      <alignment horizontal="center" vertical="center" wrapText="1"/>
      <protection locked="0"/>
    </xf>
    <xf numFmtId="9" fontId="53" fillId="9" borderId="45" xfId="21" applyNumberFormat="1" applyFont="1" applyFill="1" applyBorder="1" applyAlignment="1" applyProtection="1">
      <alignment horizontal="center" vertical="center" wrapText="1"/>
      <protection locked="0"/>
    </xf>
    <xf numFmtId="9" fontId="53" fillId="9" borderId="64" xfId="21" applyNumberFormat="1" applyFont="1" applyFill="1" applyBorder="1" applyAlignment="1" applyProtection="1">
      <alignment horizontal="center" vertical="center" wrapText="1"/>
      <protection locked="0"/>
    </xf>
    <xf numFmtId="9" fontId="53" fillId="9" borderId="73" xfId="21" applyNumberFormat="1" applyFont="1" applyFill="1" applyBorder="1" applyAlignment="1" applyProtection="1">
      <alignment horizontal="center" vertical="center" wrapText="1"/>
      <protection locked="0"/>
    </xf>
    <xf numFmtId="9" fontId="53" fillId="9" borderId="46" xfId="21" applyNumberFormat="1" applyFont="1" applyFill="1" applyBorder="1" applyAlignment="1" applyProtection="1">
      <alignment horizontal="center" vertical="center" wrapText="1"/>
      <protection locked="0"/>
    </xf>
    <xf numFmtId="0" fontId="53" fillId="9" borderId="74" xfId="21" applyFont="1" applyFill="1" applyBorder="1" applyAlignment="1" applyProtection="1">
      <alignment horizontal="center" vertical="center" wrapText="1"/>
      <protection locked="0"/>
    </xf>
    <xf numFmtId="0" fontId="59" fillId="9" borderId="75" xfId="21" applyFont="1" applyFill="1" applyBorder="1" applyAlignment="1" applyProtection="1">
      <alignment horizontal="left" vertical="center" wrapText="1"/>
      <protection locked="0"/>
    </xf>
    <xf numFmtId="0" fontId="53" fillId="9" borderId="76" xfId="21" applyFont="1" applyFill="1" applyBorder="1" applyAlignment="1" applyProtection="1">
      <alignment horizontal="center" vertical="center" wrapText="1"/>
      <protection locked="0"/>
    </xf>
    <xf numFmtId="0" fontId="59" fillId="9" borderId="76" xfId="21" applyFont="1" applyFill="1" applyBorder="1" applyAlignment="1" applyProtection="1">
      <alignment horizontal="center" vertical="center" wrapText="1"/>
      <protection locked="0"/>
    </xf>
    <xf numFmtId="14" fontId="53" fillId="9" borderId="75" xfId="21" applyNumberFormat="1" applyFont="1" applyFill="1" applyBorder="1" applyAlignment="1" applyProtection="1">
      <alignment horizontal="center" vertical="center" wrapText="1"/>
      <protection locked="0"/>
    </xf>
    <xf numFmtId="14" fontId="53" fillId="9" borderId="76" xfId="21" applyNumberFormat="1" applyFont="1" applyFill="1" applyBorder="1" applyAlignment="1" applyProtection="1">
      <alignment horizontal="center" vertical="center" wrapText="1"/>
      <protection locked="0"/>
    </xf>
    <xf numFmtId="0" fontId="53" fillId="9" borderId="78" xfId="21" applyFont="1" applyFill="1" applyBorder="1" applyAlignment="1" applyProtection="1">
      <alignment horizontal="center" vertical="center" wrapText="1"/>
      <protection locked="0"/>
    </xf>
    <xf numFmtId="0" fontId="53" fillId="9" borderId="77" xfId="21" applyFont="1" applyFill="1" applyBorder="1" applyAlignment="1" applyProtection="1">
      <alignment horizontal="center" vertical="center" wrapText="1"/>
      <protection locked="0"/>
    </xf>
    <xf numFmtId="3" fontId="53" fillId="9" borderId="75" xfId="21" applyNumberFormat="1" applyFont="1" applyFill="1" applyBorder="1" applyAlignment="1" applyProtection="1">
      <alignment horizontal="center" vertical="center" wrapText="1"/>
      <protection locked="0"/>
    </xf>
    <xf numFmtId="9" fontId="53" fillId="9" borderId="76" xfId="21" applyNumberFormat="1" applyFont="1" applyFill="1" applyBorder="1" applyAlignment="1" applyProtection="1">
      <alignment horizontal="center" vertical="center" wrapText="1"/>
      <protection locked="0"/>
    </xf>
    <xf numFmtId="9" fontId="53" fillId="9" borderId="79" xfId="21" applyNumberFormat="1" applyFont="1" applyFill="1" applyBorder="1" applyAlignment="1" applyProtection="1">
      <alignment horizontal="center" vertical="center" wrapText="1"/>
      <protection locked="0"/>
    </xf>
    <xf numFmtId="9" fontId="53" fillId="9" borderId="80" xfId="21" applyNumberFormat="1" applyFont="1" applyFill="1" applyBorder="1" applyAlignment="1" applyProtection="1">
      <alignment horizontal="center" vertical="center" wrapText="1"/>
      <protection locked="0"/>
    </xf>
    <xf numFmtId="3" fontId="53" fillId="9" borderId="80" xfId="21" applyNumberFormat="1" applyFont="1" applyFill="1" applyBorder="1" applyAlignment="1" applyProtection="1">
      <alignment horizontal="center" vertical="center" wrapText="1"/>
      <protection locked="0"/>
    </xf>
    <xf numFmtId="9" fontId="53" fillId="9" borderId="78" xfId="21" applyNumberFormat="1" applyFont="1" applyFill="1" applyBorder="1" applyAlignment="1" applyProtection="1">
      <alignment horizontal="center" vertical="center" wrapText="1"/>
      <protection locked="0"/>
    </xf>
    <xf numFmtId="0" fontId="53" fillId="9" borderId="82" xfId="21" applyFont="1" applyFill="1" applyBorder="1" applyAlignment="1" applyProtection="1">
      <alignment horizontal="center" vertical="center" wrapText="1"/>
      <protection locked="0"/>
    </xf>
    <xf numFmtId="0" fontId="53" fillId="2" borderId="0" xfId="21" applyFont="1" applyFill="1" applyBorder="1" applyAlignment="1" applyProtection="1">
      <alignment horizontal="center" vertical="center" wrapText="1"/>
      <protection locked="0"/>
    </xf>
    <xf numFmtId="3" fontId="53" fillId="2" borderId="0" xfId="21" applyNumberFormat="1" applyFont="1" applyFill="1" applyBorder="1" applyAlignment="1" applyProtection="1">
      <alignment horizontal="center" vertical="center" wrapText="1"/>
      <protection locked="0"/>
    </xf>
    <xf numFmtId="3" fontId="53" fillId="2" borderId="44" xfId="21" applyNumberFormat="1" applyFont="1" applyFill="1" applyBorder="1" applyAlignment="1" applyProtection="1">
      <alignment horizontal="center" vertical="center" wrapText="1"/>
      <protection locked="0"/>
    </xf>
    <xf numFmtId="3" fontId="53" fillId="2" borderId="46" xfId="21" applyNumberFormat="1" applyFont="1" applyFill="1" applyBorder="1" applyAlignment="1" applyProtection="1">
      <alignment horizontal="center" vertical="center" wrapText="1"/>
      <protection locked="0"/>
    </xf>
    <xf numFmtId="0" fontId="53" fillId="2" borderId="0" xfId="21" applyFont="1" applyFill="1" applyBorder="1"/>
    <xf numFmtId="9" fontId="53" fillId="2" borderId="0" xfId="23" applyFont="1" applyFill="1" applyBorder="1" applyAlignment="1" applyProtection="1">
      <alignment horizontal="center" vertical="center" wrapText="1"/>
      <protection locked="0"/>
    </xf>
    <xf numFmtId="0" fontId="53" fillId="2" borderId="0" xfId="21" applyFont="1" applyFill="1" applyBorder="1" applyAlignment="1" applyProtection="1">
      <alignment horizontal="left" vertical="center"/>
      <protection locked="0"/>
    </xf>
    <xf numFmtId="0" fontId="61" fillId="2" borderId="0" xfId="21" applyFont="1" applyFill="1" applyBorder="1" applyAlignment="1" applyProtection="1">
      <alignment horizontal="center" vertical="center" wrapText="1"/>
      <protection locked="0"/>
    </xf>
    <xf numFmtId="3" fontId="61" fillId="2" borderId="0" xfId="21" applyNumberFormat="1" applyFont="1" applyFill="1" applyBorder="1" applyAlignment="1" applyProtection="1">
      <alignment horizontal="center" vertical="center" wrapText="1"/>
      <protection locked="0"/>
    </xf>
    <xf numFmtId="3" fontId="61" fillId="2" borderId="44" xfId="21" applyNumberFormat="1" applyFont="1" applyFill="1" applyBorder="1" applyAlignment="1" applyProtection="1">
      <alignment horizontal="center" vertical="center" wrapText="1"/>
      <protection locked="0"/>
    </xf>
    <xf numFmtId="3" fontId="61" fillId="2" borderId="46" xfId="21" applyNumberFormat="1" applyFont="1" applyFill="1" applyBorder="1" applyAlignment="1" applyProtection="1">
      <alignment horizontal="center" vertical="center" wrapText="1"/>
      <protection locked="0"/>
    </xf>
    <xf numFmtId="0" fontId="53" fillId="2" borderId="0" xfId="21" applyFont="1" applyFill="1" applyBorder="1" applyProtection="1">
      <protection locked="0"/>
    </xf>
    <xf numFmtId="3" fontId="53" fillId="2" borderId="0" xfId="21" applyNumberFormat="1" applyFont="1" applyFill="1" applyBorder="1" applyProtection="1">
      <protection locked="0"/>
    </xf>
    <xf numFmtId="3" fontId="58" fillId="4" borderId="51" xfId="21" applyNumberFormat="1" applyFont="1" applyFill="1" applyBorder="1" applyAlignment="1">
      <alignment horizontal="center" vertical="center" wrapText="1"/>
    </xf>
    <xf numFmtId="3" fontId="53" fillId="9" borderId="76" xfId="21" applyNumberFormat="1" applyFont="1" applyFill="1" applyBorder="1" applyAlignment="1" applyProtection="1">
      <alignment horizontal="center" vertical="center" wrapText="1"/>
      <protection locked="0"/>
    </xf>
    <xf numFmtId="3" fontId="53" fillId="9" borderId="79" xfId="21" applyNumberFormat="1" applyFont="1" applyFill="1" applyBorder="1" applyAlignment="1" applyProtection="1">
      <alignment horizontal="center" vertical="center" wrapText="1"/>
      <protection locked="0"/>
    </xf>
    <xf numFmtId="0" fontId="6" fillId="2" borderId="0" xfId="20" applyFill="1"/>
    <xf numFmtId="0" fontId="0" fillId="0" borderId="35" xfId="0" applyBorder="1"/>
    <xf numFmtId="0" fontId="0" fillId="0" borderId="36" xfId="0" applyBorder="1" applyAlignment="1">
      <alignment horizontal="center" vertical="center"/>
    </xf>
    <xf numFmtId="0" fontId="6" fillId="0" borderId="0" xfId="20"/>
    <xf numFmtId="0" fontId="0" fillId="0" borderId="36" xfId="0" applyBorder="1"/>
    <xf numFmtId="0" fontId="0" fillId="0" borderId="30" xfId="0" applyBorder="1"/>
    <xf numFmtId="3" fontId="0" fillId="0" borderId="36" xfId="0" applyNumberFormat="1" applyBorder="1" applyAlignment="1">
      <alignment horizontal="right" vertical="center"/>
    </xf>
    <xf numFmtId="0" fontId="0" fillId="0" borderId="34" xfId="0" applyBorder="1"/>
    <xf numFmtId="3" fontId="0" fillId="0" borderId="37" xfId="0" applyNumberFormat="1" applyBorder="1" applyAlignment="1">
      <alignment horizontal="right" vertical="center"/>
    </xf>
    <xf numFmtId="0" fontId="0" fillId="0" borderId="38" xfId="0" applyBorder="1" applyAlignment="1">
      <alignment wrapText="1"/>
    </xf>
    <xf numFmtId="3" fontId="0" fillId="0" borderId="35" xfId="0" applyNumberFormat="1" applyBorder="1" applyAlignment="1">
      <alignment horizontal="right" vertical="center"/>
    </xf>
    <xf numFmtId="0" fontId="0" fillId="0" borderId="35" xfId="0" pivotButton="1" applyBorder="1"/>
    <xf numFmtId="0" fontId="0" fillId="0" borderId="30" xfId="0" pivotButton="1" applyBorder="1" applyAlignment="1">
      <alignment wrapText="1"/>
    </xf>
    <xf numFmtId="0" fontId="0" fillId="0" borderId="0" xfId="0" applyBorder="1" applyAlignment="1">
      <alignment wrapText="1"/>
    </xf>
    <xf numFmtId="3" fontId="0" fillId="0" borderId="0" xfId="0" applyNumberFormat="1" applyBorder="1" applyAlignment="1">
      <alignment horizontal="right" vertical="center"/>
    </xf>
    <xf numFmtId="9" fontId="66" fillId="2" borderId="91" xfId="4" applyNumberFormat="1" applyFont="1" applyFill="1" applyBorder="1" applyAlignment="1">
      <alignment horizontal="center" vertical="center"/>
    </xf>
    <xf numFmtId="166" fontId="66" fillId="2" borderId="91" xfId="4" applyFont="1" applyFill="1" applyBorder="1" applyAlignment="1">
      <alignment horizontal="center" vertical="center"/>
    </xf>
    <xf numFmtId="0" fontId="28" fillId="5" borderId="27" xfId="0" applyFont="1" applyFill="1" applyBorder="1" applyAlignment="1">
      <alignment horizontal="left" vertical="center"/>
    </xf>
    <xf numFmtId="9" fontId="0" fillId="0" borderId="0" xfId="0" applyNumberFormat="1" applyAlignment="1">
      <alignment horizontal="center"/>
    </xf>
    <xf numFmtId="3" fontId="0" fillId="0" borderId="0" xfId="0" applyNumberFormat="1" applyAlignment="1">
      <alignment horizontal="center"/>
    </xf>
    <xf numFmtId="0" fontId="0" fillId="0" borderId="0" xfId="0" applyAlignment="1">
      <alignment horizontal="right"/>
    </xf>
    <xf numFmtId="0" fontId="23" fillId="3" borderId="102" xfId="0" applyFont="1" applyFill="1" applyBorder="1" applyAlignment="1" applyProtection="1">
      <alignment vertical="center"/>
      <protection locked="0"/>
    </xf>
    <xf numFmtId="1" fontId="0" fillId="0" borderId="0" xfId="0" applyNumberFormat="1" applyAlignment="1">
      <alignment horizontal="center"/>
    </xf>
    <xf numFmtId="0" fontId="0" fillId="0" borderId="0" xfId="0" pivotButton="1" applyAlignment="1">
      <alignment wrapText="1"/>
    </xf>
    <xf numFmtId="0" fontId="0" fillId="0" borderId="0" xfId="0" pivotButton="1" applyAlignment="1">
      <alignment vertical="center"/>
    </xf>
    <xf numFmtId="0" fontId="0" fillId="0" borderId="0" xfId="0" applyAlignment="1">
      <alignment vertical="center"/>
    </xf>
    <xf numFmtId="0" fontId="0" fillId="0" borderId="0" xfId="0" applyAlignment="1">
      <alignment horizontal="left" vertical="center"/>
    </xf>
    <xf numFmtId="0" fontId="0" fillId="0" borderId="0" xfId="0" pivotButton="1" applyAlignment="1">
      <alignment horizontal="center" vertical="center" wrapText="1"/>
    </xf>
    <xf numFmtId="0" fontId="0" fillId="0" borderId="0" xfId="0" applyAlignment="1">
      <alignment horizontal="center" vertical="center" wrapText="1"/>
    </xf>
    <xf numFmtId="9" fontId="0" fillId="0" borderId="0" xfId="0" applyNumberFormat="1" applyAlignment="1">
      <alignment horizontal="center" vertical="center"/>
    </xf>
    <xf numFmtId="0" fontId="0" fillId="0" borderId="0" xfId="0" applyAlignment="1">
      <alignment horizontal="center" wrapText="1"/>
    </xf>
    <xf numFmtId="1" fontId="0" fillId="0" borderId="0" xfId="0" applyNumberFormat="1" applyAlignment="1">
      <alignment horizontal="center" vertical="center"/>
    </xf>
    <xf numFmtId="0" fontId="0" fillId="0" borderId="0" xfId="0" applyAlignment="1">
      <alignment horizontal="center"/>
    </xf>
    <xf numFmtId="0" fontId="0" fillId="0" borderId="0" xfId="0" applyAlignment="1">
      <alignment wrapText="1"/>
    </xf>
    <xf numFmtId="0" fontId="0" fillId="2" borderId="0" xfId="0" applyFill="1" applyBorder="1"/>
    <xf numFmtId="0" fontId="28" fillId="5" borderId="21" xfId="0" applyFont="1" applyFill="1" applyBorder="1" applyAlignment="1">
      <alignment horizontal="left" vertical="center"/>
    </xf>
    <xf numFmtId="0" fontId="67" fillId="2" borderId="0" xfId="0" applyFont="1" applyFill="1" applyAlignment="1">
      <alignment vertical="center" wrapText="1"/>
    </xf>
    <xf numFmtId="0" fontId="28" fillId="2" borderId="0" xfId="0" applyFont="1" applyFill="1" applyBorder="1" applyAlignment="1">
      <alignment horizontal="left" vertical="center"/>
    </xf>
    <xf numFmtId="0" fontId="31" fillId="2" borderId="0" xfId="0" applyFont="1" applyFill="1" applyBorder="1" applyAlignment="1">
      <alignment horizontal="left" vertical="center"/>
    </xf>
    <xf numFmtId="0" fontId="0" fillId="2" borderId="0" xfId="0" applyFill="1" applyAlignment="1">
      <alignment vertical="center"/>
    </xf>
    <xf numFmtId="0" fontId="43" fillId="11" borderId="0" xfId="0" applyFont="1" applyFill="1" applyAlignment="1">
      <alignment vertical="center"/>
    </xf>
    <xf numFmtId="0" fontId="44" fillId="11" borderId="0" xfId="0" applyFont="1" applyFill="1" applyAlignment="1">
      <alignment vertical="center"/>
    </xf>
    <xf numFmtId="0" fontId="44" fillId="2" borderId="0" xfId="0" applyFont="1" applyFill="1" applyAlignment="1">
      <alignment vertical="center"/>
    </xf>
    <xf numFmtId="0" fontId="18" fillId="8" borderId="98" xfId="0" applyFont="1" applyFill="1" applyBorder="1" applyAlignment="1">
      <alignment vertical="center"/>
    </xf>
    <xf numFmtId="0" fontId="0" fillId="2" borderId="0" xfId="0" applyNumberFormat="1" applyFill="1" applyAlignment="1">
      <alignment vertical="center"/>
    </xf>
    <xf numFmtId="0" fontId="68" fillId="2" borderId="108" xfId="0" applyFont="1" applyFill="1" applyBorder="1" applyAlignment="1">
      <alignment horizontal="center" vertical="center"/>
    </xf>
    <xf numFmtId="0" fontId="0" fillId="2" borderId="109" xfId="0" applyFill="1" applyBorder="1" applyAlignment="1">
      <alignment vertical="center"/>
    </xf>
    <xf numFmtId="9" fontId="0" fillId="2" borderId="110" xfId="0" applyNumberFormat="1" applyFill="1" applyBorder="1" applyAlignment="1">
      <alignment vertical="center"/>
    </xf>
    <xf numFmtId="9" fontId="68" fillId="2" borderId="111" xfId="0" applyNumberFormat="1" applyFont="1" applyFill="1" applyBorder="1" applyAlignment="1">
      <alignment vertical="center"/>
    </xf>
    <xf numFmtId="0" fontId="0" fillId="2" borderId="112" xfId="0" applyFill="1" applyBorder="1" applyAlignment="1">
      <alignment vertical="center"/>
    </xf>
    <xf numFmtId="9" fontId="0" fillId="2" borderId="113" xfId="0" applyNumberFormat="1" applyFill="1" applyBorder="1" applyAlignment="1">
      <alignment vertical="center"/>
    </xf>
    <xf numFmtId="9" fontId="68" fillId="2" borderId="114" xfId="0" applyNumberFormat="1" applyFont="1" applyFill="1" applyBorder="1" applyAlignment="1">
      <alignment vertical="center"/>
    </xf>
    <xf numFmtId="0" fontId="0" fillId="2" borderId="115" xfId="0" applyFill="1" applyBorder="1" applyAlignment="1">
      <alignment vertical="center"/>
    </xf>
    <xf numFmtId="9" fontId="0" fillId="2" borderId="116" xfId="0" applyNumberFormat="1" applyFill="1" applyBorder="1" applyAlignment="1">
      <alignment vertical="center"/>
    </xf>
    <xf numFmtId="9" fontId="68" fillId="2" borderId="117" xfId="0" applyNumberFormat="1" applyFont="1" applyFill="1" applyBorder="1" applyAlignment="1">
      <alignment vertical="center"/>
    </xf>
    <xf numFmtId="9" fontId="0" fillId="2" borderId="109" xfId="0" applyNumberFormat="1" applyFill="1" applyBorder="1" applyAlignment="1">
      <alignment vertical="center"/>
    </xf>
    <xf numFmtId="9" fontId="0" fillId="2" borderId="112" xfId="0" applyNumberFormat="1" applyFill="1" applyBorder="1" applyAlignment="1">
      <alignment vertical="center"/>
    </xf>
    <xf numFmtId="9" fontId="0" fillId="2" borderId="115" xfId="0" applyNumberFormat="1" applyFill="1" applyBorder="1" applyAlignment="1">
      <alignment vertical="center"/>
    </xf>
    <xf numFmtId="166" fontId="65" fillId="2" borderId="0" xfId="4" applyFont="1" applyFill="1" applyAlignment="1">
      <alignment horizontal="center" vertical="center"/>
    </xf>
    <xf numFmtId="166" fontId="65" fillId="2" borderId="119" xfId="4" applyFont="1" applyFill="1" applyBorder="1" applyAlignment="1">
      <alignment horizontal="center" vertical="center"/>
    </xf>
    <xf numFmtId="166" fontId="65" fillId="2" borderId="120" xfId="4" applyFont="1" applyFill="1" applyBorder="1" applyAlignment="1">
      <alignment horizontal="center" vertical="center"/>
    </xf>
    <xf numFmtId="3" fontId="65" fillId="2" borderId="121" xfId="4" applyNumberFormat="1" applyFont="1" applyFill="1" applyBorder="1" applyAlignment="1">
      <alignment horizontal="center" vertical="center"/>
    </xf>
    <xf numFmtId="166" fontId="65" fillId="2" borderId="118" xfId="4" applyFont="1" applyFill="1" applyBorder="1" applyAlignment="1">
      <alignment horizontal="center" vertical="center"/>
    </xf>
    <xf numFmtId="9" fontId="53" fillId="12" borderId="57" xfId="21" applyNumberFormat="1" applyFont="1" applyFill="1" applyBorder="1" applyAlignment="1" applyProtection="1">
      <alignment horizontal="center" vertical="center" wrapText="1"/>
      <protection locked="0"/>
    </xf>
    <xf numFmtId="9" fontId="53" fillId="12" borderId="59" xfId="21" applyNumberFormat="1" applyFont="1" applyFill="1" applyBorder="1" applyAlignment="1" applyProtection="1">
      <alignment horizontal="center" vertical="center" wrapText="1"/>
      <protection locked="0"/>
    </xf>
    <xf numFmtId="0" fontId="53" fillId="2" borderId="66" xfId="21" applyFont="1" applyFill="1" applyBorder="1" applyAlignment="1" applyProtection="1">
      <alignment horizontal="center" vertical="center" wrapText="1"/>
      <protection locked="0"/>
    </xf>
    <xf numFmtId="9" fontId="53" fillId="2" borderId="62" xfId="21" applyNumberFormat="1" applyFont="1" applyFill="1" applyBorder="1" applyAlignment="1" applyProtection="1">
      <alignment horizontal="center" vertical="center" wrapText="1"/>
      <protection locked="0"/>
    </xf>
    <xf numFmtId="0" fontId="0" fillId="0" borderId="0" xfId="0" applyAlignment="1">
      <alignment horizontal="left" indent="1"/>
    </xf>
    <xf numFmtId="0" fontId="0" fillId="0" borderId="0" xfId="0" applyAlignment="1">
      <alignment horizontal="left" indent="2"/>
    </xf>
    <xf numFmtId="168" fontId="56" fillId="2" borderId="0" xfId="21" applyNumberFormat="1" applyFont="1" applyFill="1" applyProtection="1">
      <protection locked="0"/>
    </xf>
    <xf numFmtId="168" fontId="53" fillId="2" borderId="0" xfId="21" applyNumberFormat="1" applyFont="1" applyFill="1" applyProtection="1">
      <protection locked="0"/>
    </xf>
    <xf numFmtId="0" fontId="18" fillId="0" borderId="0" xfId="0" pivotButton="1" applyFont="1" applyAlignment="1">
      <alignment horizontal="center" vertical="center" wrapText="1"/>
    </xf>
    <xf numFmtId="0" fontId="18" fillId="2" borderId="0" xfId="0" applyFont="1" applyFill="1" applyAlignment="1">
      <alignment horizontal="center" vertical="center" wrapText="1"/>
    </xf>
    <xf numFmtId="0" fontId="69" fillId="0" borderId="0" xfId="0" applyFont="1" applyAlignment="1">
      <alignment horizontal="center" vertical="center" wrapText="1"/>
    </xf>
    <xf numFmtId="0" fontId="22" fillId="2" borderId="0" xfId="0" applyFont="1" applyFill="1" applyBorder="1" applyAlignment="1" applyProtection="1">
      <alignment horizontal="center" vertical="center"/>
      <protection locked="0"/>
    </xf>
    <xf numFmtId="165" fontId="21" fillId="2" borderId="0" xfId="1" applyNumberFormat="1" applyFont="1" applyFill="1" applyBorder="1" applyAlignment="1" applyProtection="1">
      <alignment horizontal="center" vertical="center"/>
      <protection locked="0"/>
    </xf>
    <xf numFmtId="0" fontId="0" fillId="2" borderId="0" xfId="0" applyFill="1" applyAlignment="1">
      <alignment horizontal="left"/>
    </xf>
    <xf numFmtId="0" fontId="70" fillId="2" borderId="0" xfId="0" applyFont="1" applyFill="1" applyBorder="1" applyAlignment="1" applyProtection="1">
      <alignment horizontal="left"/>
      <protection locked="0"/>
    </xf>
    <xf numFmtId="165" fontId="72" fillId="5" borderId="29" xfId="1" applyNumberFormat="1" applyFont="1" applyFill="1" applyBorder="1" applyAlignment="1" applyProtection="1">
      <alignment horizontal="center" vertical="center"/>
      <protection locked="0"/>
    </xf>
    <xf numFmtId="165" fontId="72" fillId="5" borderId="26" xfId="1" applyNumberFormat="1" applyFont="1" applyFill="1" applyBorder="1" applyAlignment="1" applyProtection="1">
      <alignment horizontal="center" vertical="center"/>
      <protection locked="0"/>
    </xf>
    <xf numFmtId="0" fontId="19" fillId="2" borderId="0" xfId="0" applyFont="1" applyFill="1" applyBorder="1" applyAlignment="1" applyProtection="1">
      <alignment horizontal="center" vertical="center"/>
      <protection locked="0"/>
    </xf>
    <xf numFmtId="9" fontId="19" fillId="2" borderId="0" xfId="0" applyNumberFormat="1" applyFont="1" applyFill="1" applyBorder="1" applyAlignment="1" applyProtection="1">
      <alignment horizontal="center"/>
      <protection locked="0"/>
    </xf>
    <xf numFmtId="0" fontId="19" fillId="2" borderId="0" xfId="0" applyFont="1" applyFill="1" applyBorder="1" applyAlignment="1" applyProtection="1">
      <alignment horizontal="left" wrapText="1"/>
      <protection locked="0"/>
    </xf>
    <xf numFmtId="0" fontId="23" fillId="3" borderId="6" xfId="0" applyFont="1" applyFill="1" applyBorder="1" applyAlignment="1" applyProtection="1">
      <alignment vertical="center" wrapText="1"/>
      <protection locked="0"/>
    </xf>
    <xf numFmtId="0" fontId="19" fillId="2" borderId="0" xfId="0" applyFont="1" applyFill="1" applyBorder="1" applyAlignment="1" applyProtection="1">
      <alignment horizontal="center" wrapText="1"/>
      <protection locked="0"/>
    </xf>
    <xf numFmtId="0" fontId="20" fillId="6" borderId="99" xfId="0" applyFont="1" applyFill="1" applyBorder="1" applyAlignment="1" applyProtection="1">
      <alignment vertical="center" wrapText="1"/>
      <protection locked="0"/>
    </xf>
    <xf numFmtId="0" fontId="21" fillId="3" borderId="99" xfId="0" applyFont="1" applyFill="1" applyBorder="1" applyAlignment="1" applyProtection="1">
      <alignment vertical="center" wrapText="1"/>
    </xf>
    <xf numFmtId="0" fontId="21" fillId="7" borderId="47" xfId="0" applyFont="1" applyFill="1" applyBorder="1" applyAlignment="1" applyProtection="1">
      <alignment horizontal="center" vertical="center" wrapText="1"/>
    </xf>
    <xf numFmtId="0" fontId="37" fillId="7" borderId="47" xfId="0" applyFont="1" applyFill="1" applyBorder="1" applyAlignment="1" applyProtection="1">
      <alignment horizontal="center" vertical="center" wrapText="1"/>
    </xf>
    <xf numFmtId="0" fontId="21" fillId="13" borderId="47" xfId="0" applyFont="1" applyFill="1" applyBorder="1" applyAlignment="1" applyProtection="1">
      <alignment horizontal="center" vertical="center" wrapText="1"/>
    </xf>
    <xf numFmtId="0" fontId="29" fillId="4" borderId="47" xfId="0" applyFont="1" applyFill="1" applyBorder="1" applyAlignment="1" applyProtection="1">
      <alignment horizontal="center" vertical="center" wrapText="1"/>
    </xf>
    <xf numFmtId="0" fontId="21" fillId="4" borderId="47" xfId="0" applyFont="1" applyFill="1" applyBorder="1" applyAlignment="1" applyProtection="1">
      <alignment horizontal="center" vertical="center" wrapText="1"/>
    </xf>
    <xf numFmtId="0" fontId="14" fillId="4" borderId="47" xfId="0" applyFont="1" applyFill="1" applyBorder="1" applyAlignment="1" applyProtection="1">
      <alignment horizontal="center" vertical="center" wrapText="1"/>
    </xf>
    <xf numFmtId="9" fontId="21" fillId="4" borderId="47" xfId="0" applyNumberFormat="1" applyFont="1" applyFill="1" applyBorder="1" applyAlignment="1" applyProtection="1">
      <alignment horizontal="center" vertical="center" wrapText="1"/>
    </xf>
    <xf numFmtId="0" fontId="37" fillId="13" borderId="47" xfId="0" applyFont="1" applyFill="1" applyBorder="1" applyAlignment="1" applyProtection="1">
      <alignment horizontal="center" vertical="center" wrapText="1"/>
    </xf>
    <xf numFmtId="9" fontId="29" fillId="4" borderId="47" xfId="0" applyNumberFormat="1" applyFont="1" applyFill="1" applyBorder="1" applyAlignment="1" applyProtection="1">
      <alignment horizontal="center" vertical="center" wrapText="1"/>
    </xf>
    <xf numFmtId="0" fontId="29" fillId="13" borderId="47" xfId="0" applyFont="1" applyFill="1" applyBorder="1" applyAlignment="1" applyProtection="1">
      <alignment horizontal="center" vertical="center" wrapText="1"/>
    </xf>
    <xf numFmtId="0" fontId="29" fillId="6" borderId="47" xfId="0" applyFont="1" applyFill="1" applyBorder="1" applyAlignment="1" applyProtection="1">
      <alignment horizontal="center" vertical="center" wrapText="1"/>
    </xf>
    <xf numFmtId="0" fontId="29" fillId="3" borderId="47" xfId="0" applyFont="1" applyFill="1" applyBorder="1" applyAlignment="1" applyProtection="1">
      <alignment horizontal="center" vertical="center" wrapText="1"/>
    </xf>
    <xf numFmtId="0" fontId="21" fillId="3" borderId="47" xfId="0" applyFont="1" applyFill="1" applyBorder="1" applyAlignment="1" applyProtection="1">
      <alignment horizontal="center" vertical="center" wrapText="1"/>
    </xf>
    <xf numFmtId="0" fontId="37" fillId="3" borderId="47" xfId="0" applyFont="1" applyFill="1" applyBorder="1" applyAlignment="1" applyProtection="1">
      <alignment horizontal="center" vertical="center" wrapText="1"/>
    </xf>
    <xf numFmtId="0" fontId="26" fillId="5" borderId="123" xfId="0" applyFont="1" applyFill="1" applyBorder="1" applyAlignment="1" applyProtection="1">
      <alignment horizontal="center" vertical="center" wrapText="1"/>
    </xf>
    <xf numFmtId="9" fontId="37" fillId="4" borderId="123" xfId="3" applyFont="1" applyFill="1" applyBorder="1" applyAlignment="1" applyProtection="1">
      <alignment horizontal="center" vertical="center" wrapText="1"/>
    </xf>
    <xf numFmtId="1" fontId="26" fillId="13" borderId="123" xfId="3" applyNumberFormat="1" applyFont="1" applyFill="1" applyBorder="1" applyAlignment="1" applyProtection="1">
      <alignment horizontal="center" vertical="center" wrapText="1"/>
    </xf>
    <xf numFmtId="9" fontId="37" fillId="4" borderId="123" xfId="0" applyNumberFormat="1" applyFont="1" applyFill="1" applyBorder="1" applyAlignment="1" applyProtection="1">
      <alignment horizontal="center" vertical="center" wrapText="1"/>
    </xf>
    <xf numFmtId="1" fontId="26" fillId="13" borderId="123" xfId="0" applyNumberFormat="1" applyFont="1" applyFill="1" applyBorder="1" applyAlignment="1" applyProtection="1">
      <alignment horizontal="center" vertical="center" wrapText="1"/>
    </xf>
    <xf numFmtId="0" fontId="37" fillId="4" borderId="123" xfId="0" applyFont="1" applyFill="1" applyBorder="1" applyAlignment="1" applyProtection="1">
      <alignment horizontal="center" vertical="center" wrapText="1"/>
    </xf>
    <xf numFmtId="1" fontId="37" fillId="13" borderId="123" xfId="3" applyNumberFormat="1" applyFont="1" applyFill="1" applyBorder="1" applyAlignment="1" applyProtection="1">
      <alignment horizontal="center" vertical="center" wrapText="1"/>
    </xf>
    <xf numFmtId="9" fontId="26" fillId="6" borderId="123" xfId="0" applyNumberFormat="1" applyFont="1" applyFill="1" applyBorder="1" applyAlignment="1" applyProtection="1">
      <alignment horizontal="center" vertical="center" wrapText="1"/>
    </xf>
    <xf numFmtId="1" fontId="26" fillId="13" borderId="123" xfId="0" applyNumberFormat="1" applyFont="1" applyFill="1" applyBorder="1" applyAlignment="1" applyProtection="1">
      <alignment horizontal="center" vertical="center" wrapText="1"/>
      <protection locked="0"/>
    </xf>
    <xf numFmtId="1" fontId="26" fillId="6" borderId="123" xfId="0" applyNumberFormat="1" applyFont="1" applyFill="1" applyBorder="1" applyAlignment="1" applyProtection="1">
      <alignment horizontal="center" vertical="center" wrapText="1"/>
    </xf>
    <xf numFmtId="168" fontId="26" fillId="3" borderId="123" xfId="0" applyNumberFormat="1" applyFont="1" applyFill="1" applyBorder="1" applyAlignment="1" applyProtection="1">
      <alignment horizontal="center" vertical="center" wrapText="1"/>
      <protection locked="0"/>
    </xf>
    <xf numFmtId="3" fontId="26" fillId="3" borderId="123" xfId="0" applyNumberFormat="1" applyFont="1" applyFill="1" applyBorder="1" applyAlignment="1" applyProtection="1">
      <alignment horizontal="center" vertical="center" wrapText="1"/>
    </xf>
    <xf numFmtId="9" fontId="26" fillId="3" borderId="123" xfId="0" applyNumberFormat="1" applyFont="1" applyFill="1" applyBorder="1" applyAlignment="1" applyProtection="1">
      <alignment horizontal="center" vertical="center" wrapText="1"/>
    </xf>
    <xf numFmtId="0" fontId="26" fillId="3" borderId="123" xfId="0" applyFont="1" applyFill="1" applyBorder="1" applyAlignment="1" applyProtection="1">
      <alignment horizontal="center" vertical="center" wrapText="1"/>
    </xf>
    <xf numFmtId="0" fontId="26" fillId="5" borderId="84" xfId="0" applyFont="1" applyFill="1" applyBorder="1" applyAlignment="1" applyProtection="1">
      <alignment horizontal="center" vertical="center" wrapText="1"/>
    </xf>
    <xf numFmtId="9" fontId="37" fillId="4" borderId="84" xfId="3" applyFont="1" applyFill="1" applyBorder="1" applyAlignment="1" applyProtection="1">
      <alignment horizontal="center" vertical="center" wrapText="1"/>
    </xf>
    <xf numFmtId="1" fontId="26" fillId="13" borderId="84" xfId="3" applyNumberFormat="1" applyFont="1" applyFill="1" applyBorder="1" applyAlignment="1" applyProtection="1">
      <alignment horizontal="center" vertical="center" wrapText="1"/>
    </xf>
    <xf numFmtId="9" fontId="37" fillId="4" borderId="84" xfId="0" applyNumberFormat="1" applyFont="1" applyFill="1" applyBorder="1" applyAlignment="1" applyProtection="1">
      <alignment horizontal="center" vertical="center" wrapText="1"/>
    </xf>
    <xf numFmtId="1" fontId="26" fillId="13" borderId="84" xfId="0" applyNumberFormat="1" applyFont="1" applyFill="1" applyBorder="1" applyAlignment="1" applyProtection="1">
      <alignment horizontal="center" vertical="center" wrapText="1"/>
    </xf>
    <xf numFmtId="0" fontId="37" fillId="4" borderId="84" xfId="0" applyFont="1" applyFill="1" applyBorder="1" applyAlignment="1" applyProtection="1">
      <alignment horizontal="center" vertical="center" wrapText="1"/>
    </xf>
    <xf numFmtId="1" fontId="37" fillId="13" borderId="84" xfId="3" applyNumberFormat="1" applyFont="1" applyFill="1" applyBorder="1" applyAlignment="1" applyProtection="1">
      <alignment horizontal="center" vertical="center" wrapText="1"/>
    </xf>
    <xf numFmtId="9" fontId="26" fillId="6" borderId="84" xfId="0" applyNumberFormat="1" applyFont="1" applyFill="1" applyBorder="1" applyAlignment="1" applyProtection="1">
      <alignment horizontal="center" vertical="center" wrapText="1"/>
    </xf>
    <xf numFmtId="1" fontId="26" fillId="13" borderId="84" xfId="0" applyNumberFormat="1" applyFont="1" applyFill="1" applyBorder="1" applyAlignment="1" applyProtection="1">
      <alignment horizontal="center" vertical="center" wrapText="1"/>
      <protection locked="0"/>
    </xf>
    <xf numFmtId="1" fontId="26" fillId="6" borderId="84" xfId="0" applyNumberFormat="1" applyFont="1" applyFill="1" applyBorder="1" applyAlignment="1" applyProtection="1">
      <alignment horizontal="center" vertical="center" wrapText="1"/>
    </xf>
    <xf numFmtId="168" fontId="26" fillId="3" borderId="84" xfId="0" applyNumberFormat="1" applyFont="1" applyFill="1" applyBorder="1" applyAlignment="1" applyProtection="1">
      <alignment horizontal="center" vertical="center" wrapText="1"/>
      <protection locked="0"/>
    </xf>
    <xf numFmtId="3" fontId="26" fillId="3" borderId="84" xfId="0" applyNumberFormat="1" applyFont="1" applyFill="1" applyBorder="1" applyAlignment="1" applyProtection="1">
      <alignment horizontal="center" vertical="center" wrapText="1"/>
    </xf>
    <xf numFmtId="9" fontId="26" fillId="3" borderId="84" xfId="0" applyNumberFormat="1" applyFont="1" applyFill="1" applyBorder="1" applyAlignment="1" applyProtection="1">
      <alignment horizontal="center" vertical="center" wrapText="1"/>
    </xf>
    <xf numFmtId="0" fontId="26" fillId="3" borderId="84" xfId="0" applyFont="1" applyFill="1" applyBorder="1" applyAlignment="1" applyProtection="1">
      <alignment horizontal="center" vertical="center" wrapText="1"/>
    </xf>
    <xf numFmtId="3" fontId="26" fillId="3" borderId="84" xfId="0" applyNumberFormat="1" applyFont="1" applyFill="1" applyBorder="1" applyAlignment="1" applyProtection="1">
      <alignment horizontal="center" vertical="center" wrapText="1"/>
      <protection locked="0"/>
    </xf>
    <xf numFmtId="9" fontId="26" fillId="3" borderId="84" xfId="0" applyNumberFormat="1" applyFont="1" applyFill="1" applyBorder="1" applyAlignment="1" applyProtection="1">
      <alignment horizontal="center" vertical="center" wrapText="1"/>
      <protection locked="0"/>
    </xf>
    <xf numFmtId="0" fontId="35" fillId="5" borderId="104" xfId="0" applyFont="1" applyFill="1" applyBorder="1" applyAlignment="1" applyProtection="1">
      <alignment horizontal="center" vertical="center"/>
      <protection locked="0"/>
    </xf>
    <xf numFmtId="0" fontId="21" fillId="13" borderId="102" xfId="0" applyFont="1" applyFill="1" applyBorder="1" applyAlignment="1" applyProtection="1">
      <alignment horizontal="center" vertical="center" wrapText="1"/>
    </xf>
    <xf numFmtId="15" fontId="26" fillId="13" borderId="127" xfId="0" applyNumberFormat="1" applyFont="1" applyFill="1" applyBorder="1" applyAlignment="1" applyProtection="1">
      <alignment horizontal="center" vertical="center" wrapText="1"/>
      <protection locked="0"/>
    </xf>
    <xf numFmtId="15" fontId="26" fillId="13" borderId="21" xfId="0" applyNumberFormat="1" applyFont="1" applyFill="1" applyBorder="1" applyAlignment="1" applyProtection="1">
      <alignment horizontal="center" vertical="center" wrapText="1"/>
      <protection locked="0"/>
    </xf>
    <xf numFmtId="15" fontId="26" fillId="13" borderId="128" xfId="0" applyNumberFormat="1" applyFont="1" applyFill="1" applyBorder="1" applyAlignment="1" applyProtection="1">
      <alignment horizontal="center" vertical="center" wrapText="1"/>
      <protection locked="0"/>
    </xf>
    <xf numFmtId="0" fontId="29" fillId="3" borderId="103" xfId="0" applyFont="1" applyFill="1" applyBorder="1" applyAlignment="1" applyProtection="1">
      <alignment horizontal="center" vertical="center" wrapText="1"/>
    </xf>
    <xf numFmtId="0" fontId="26" fillId="13" borderId="84" xfId="0" applyFont="1" applyFill="1" applyBorder="1" applyAlignment="1" applyProtection="1">
      <alignment horizontal="center" vertical="center" wrapText="1"/>
      <protection locked="0"/>
    </xf>
    <xf numFmtId="0" fontId="26" fillId="13" borderId="123" xfId="0" applyFont="1" applyFill="1" applyBorder="1" applyAlignment="1" applyProtection="1">
      <alignment horizontal="center" vertical="center" wrapText="1"/>
      <protection locked="0"/>
    </xf>
    <xf numFmtId="9" fontId="37" fillId="4" borderId="125" xfId="3" applyFont="1" applyFill="1" applyBorder="1" applyAlignment="1" applyProtection="1">
      <alignment horizontal="center" vertical="center" wrapText="1"/>
    </xf>
    <xf numFmtId="9" fontId="37" fillId="4" borderId="126" xfId="3" applyFont="1" applyFill="1" applyBorder="1" applyAlignment="1" applyProtection="1">
      <alignment horizontal="center" vertical="center" wrapText="1"/>
    </xf>
    <xf numFmtId="3" fontId="26" fillId="3" borderId="124" xfId="0" applyNumberFormat="1" applyFont="1" applyFill="1" applyBorder="1" applyAlignment="1" applyProtection="1">
      <alignment horizontal="center" vertical="center" wrapText="1"/>
    </xf>
    <xf numFmtId="3" fontId="26" fillId="3" borderId="122" xfId="0" applyNumberFormat="1" applyFont="1" applyFill="1" applyBorder="1" applyAlignment="1" applyProtection="1">
      <alignment horizontal="center" vertical="center" wrapText="1"/>
    </xf>
    <xf numFmtId="3" fontId="26" fillId="13" borderId="127" xfId="0" applyNumberFormat="1" applyFont="1" applyFill="1" applyBorder="1" applyAlignment="1" applyProtection="1">
      <alignment horizontal="center" vertical="center" wrapText="1"/>
      <protection locked="0"/>
    </xf>
    <xf numFmtId="3" fontId="26" fillId="13" borderId="21" xfId="0" applyNumberFormat="1" applyFont="1" applyFill="1" applyBorder="1" applyAlignment="1" applyProtection="1">
      <alignment horizontal="center" vertical="center" wrapText="1"/>
      <protection locked="0"/>
    </xf>
    <xf numFmtId="0" fontId="53" fillId="2" borderId="68" xfId="32" applyFont="1" applyFill="1" applyBorder="1" applyAlignment="1" applyProtection="1">
      <alignment horizontal="center" vertical="center" wrapText="1"/>
      <protection locked="0"/>
    </xf>
    <xf numFmtId="0" fontId="53" fillId="2" borderId="67" xfId="32" applyFont="1" applyFill="1" applyBorder="1" applyAlignment="1" applyProtection="1">
      <alignment horizontal="center" vertical="center" wrapText="1"/>
      <protection locked="0"/>
    </xf>
    <xf numFmtId="0" fontId="53" fillId="2" borderId="87" xfId="32" applyFont="1" applyFill="1" applyBorder="1" applyAlignment="1" applyProtection="1">
      <alignment horizontal="center" vertical="center" wrapText="1"/>
      <protection locked="0"/>
    </xf>
    <xf numFmtId="0" fontId="53" fillId="6" borderId="57" xfId="32" applyFont="1" applyFill="1" applyBorder="1" applyAlignment="1" applyProtection="1">
      <alignment horizontal="center" vertical="center" wrapText="1"/>
      <protection locked="0"/>
    </xf>
    <xf numFmtId="0" fontId="59" fillId="6" borderId="57" xfId="32" applyFont="1" applyFill="1" applyBorder="1" applyAlignment="1" applyProtection="1">
      <alignment horizontal="center" vertical="center" wrapText="1"/>
      <protection locked="0"/>
    </xf>
    <xf numFmtId="0" fontId="53" fillId="2" borderId="58" xfId="32" applyFont="1" applyFill="1" applyBorder="1" applyAlignment="1" applyProtection="1">
      <alignment horizontal="left" vertical="center" wrapText="1"/>
      <protection locked="0"/>
    </xf>
    <xf numFmtId="14" fontId="60" fillId="2" borderId="56" xfId="32" applyNumberFormat="1" applyFont="1" applyFill="1" applyBorder="1" applyAlignment="1" applyProtection="1">
      <alignment horizontal="center" vertical="center" wrapText="1"/>
      <protection locked="0"/>
    </xf>
    <xf numFmtId="14" fontId="60" fillId="2" borderId="57" xfId="32" applyNumberFormat="1" applyFont="1" applyFill="1" applyBorder="1" applyAlignment="1" applyProtection="1">
      <alignment horizontal="center" vertical="center" wrapText="1"/>
      <protection locked="0"/>
    </xf>
    <xf numFmtId="0" fontId="60" fillId="2" borderId="59" xfId="32" applyFont="1" applyFill="1" applyBorder="1" applyAlignment="1" applyProtection="1">
      <alignment horizontal="center" vertical="center" wrapText="1"/>
      <protection locked="0"/>
    </xf>
    <xf numFmtId="0" fontId="53" fillId="6" borderId="68" xfId="32" applyFont="1" applyFill="1" applyBorder="1" applyAlignment="1" applyProtection="1">
      <alignment horizontal="center" vertical="center" wrapText="1"/>
      <protection locked="0"/>
    </xf>
    <xf numFmtId="0" fontId="53" fillId="2" borderId="58" xfId="32" applyFont="1" applyFill="1" applyBorder="1" applyAlignment="1" applyProtection="1">
      <alignment horizontal="left" vertical="center" wrapText="1"/>
      <protection locked="0"/>
    </xf>
    <xf numFmtId="0" fontId="53" fillId="2" borderId="61" xfId="32" applyFont="1" applyFill="1" applyBorder="1" applyAlignment="1" applyProtection="1">
      <alignment horizontal="center" vertical="center" wrapText="1"/>
      <protection locked="0"/>
    </xf>
    <xf numFmtId="0" fontId="53" fillId="2" borderId="57" xfId="32" applyFont="1" applyFill="1" applyBorder="1" applyAlignment="1" applyProtection="1">
      <alignment horizontal="center" vertical="center" wrapText="1"/>
      <protection locked="0"/>
    </xf>
    <xf numFmtId="0" fontId="53" fillId="2" borderId="60" xfId="32" applyFont="1" applyFill="1" applyBorder="1" applyAlignment="1" applyProtection="1">
      <alignment horizontal="center" vertical="center" wrapText="1"/>
      <protection locked="0"/>
    </xf>
    <xf numFmtId="14" fontId="60" fillId="2" borderId="67" xfId="32" applyNumberFormat="1" applyFont="1" applyFill="1" applyBorder="1" applyAlignment="1" applyProtection="1">
      <alignment horizontal="center" vertical="center" wrapText="1"/>
      <protection locked="0"/>
    </xf>
    <xf numFmtId="14" fontId="60" fillId="2" borderId="68" xfId="32" applyNumberFormat="1" applyFont="1" applyFill="1" applyBorder="1" applyAlignment="1" applyProtection="1">
      <alignment horizontal="center" vertical="center" wrapText="1"/>
      <protection locked="0"/>
    </xf>
    <xf numFmtId="0" fontId="60" fillId="2" borderId="69" xfId="32" applyFont="1" applyFill="1" applyBorder="1" applyAlignment="1" applyProtection="1">
      <alignment horizontal="center" vertical="center" wrapText="1"/>
      <protection locked="0"/>
    </xf>
    <xf numFmtId="0" fontId="53" fillId="6" borderId="68" xfId="32" applyFont="1" applyFill="1" applyBorder="1" applyAlignment="1" applyProtection="1">
      <alignment horizontal="center" vertical="center" wrapText="1"/>
      <protection locked="0"/>
    </xf>
    <xf numFmtId="0" fontId="59" fillId="6" borderId="68" xfId="32" applyFont="1" applyFill="1" applyBorder="1" applyAlignment="1" applyProtection="1">
      <alignment horizontal="center" vertical="center" wrapText="1"/>
      <protection locked="0"/>
    </xf>
    <xf numFmtId="0" fontId="53" fillId="2" borderId="69" xfId="32" applyFont="1" applyFill="1" applyBorder="1" applyAlignment="1" applyProtection="1">
      <alignment horizontal="center" vertical="center" wrapText="1"/>
      <protection locked="0"/>
    </xf>
    <xf numFmtId="9" fontId="53" fillId="2" borderId="68" xfId="32" applyNumberFormat="1" applyFont="1" applyFill="1" applyBorder="1" applyAlignment="1" applyProtection="1">
      <alignment horizontal="center" vertical="center" wrapText="1"/>
      <protection locked="0"/>
    </xf>
    <xf numFmtId="9" fontId="53" fillId="2" borderId="85" xfId="32" applyNumberFormat="1" applyFont="1" applyFill="1" applyBorder="1" applyAlignment="1" applyProtection="1">
      <alignment horizontal="center" vertical="center" wrapText="1"/>
      <protection locked="0"/>
    </xf>
    <xf numFmtId="9" fontId="53" fillId="2" borderId="86" xfId="32" applyNumberFormat="1" applyFont="1" applyFill="1" applyBorder="1" applyAlignment="1" applyProtection="1">
      <alignment horizontal="center" vertical="center" wrapText="1"/>
      <protection locked="0"/>
    </xf>
    <xf numFmtId="9" fontId="53" fillId="2" borderId="69" xfId="32" applyNumberFormat="1" applyFont="1" applyFill="1" applyBorder="1" applyAlignment="1" applyProtection="1">
      <alignment horizontal="center" vertical="center" wrapText="1"/>
      <protection locked="0"/>
    </xf>
    <xf numFmtId="0" fontId="59" fillId="6" borderId="56" xfId="37" applyFont="1" applyFill="1" applyBorder="1" applyAlignment="1" applyProtection="1">
      <alignment horizontal="left" vertical="center" wrapText="1"/>
      <protection locked="0"/>
    </xf>
    <xf numFmtId="3" fontId="53" fillId="14" borderId="56" xfId="21" applyNumberFormat="1" applyFont="1" applyFill="1" applyBorder="1" applyAlignment="1" applyProtection="1">
      <alignment horizontal="center" vertical="center" wrapText="1"/>
      <protection locked="0"/>
    </xf>
    <xf numFmtId="0" fontId="53" fillId="2" borderId="56" xfId="37" applyFont="1" applyFill="1" applyBorder="1" applyAlignment="1" applyProtection="1">
      <alignment horizontal="center" vertical="center" wrapText="1"/>
      <protection locked="0"/>
    </xf>
    <xf numFmtId="9" fontId="53" fillId="2" borderId="61" xfId="37" applyNumberFormat="1" applyFont="1" applyFill="1" applyBorder="1" applyAlignment="1" applyProtection="1">
      <alignment horizontal="center" vertical="center" wrapText="1"/>
      <protection locked="0"/>
    </xf>
    <xf numFmtId="9" fontId="53" fillId="2" borderId="59" xfId="37" applyNumberFormat="1" applyFont="1" applyFill="1" applyBorder="1" applyAlignment="1" applyProtection="1">
      <alignment horizontal="center" vertical="center" wrapText="1"/>
      <protection locked="0"/>
    </xf>
    <xf numFmtId="0" fontId="53" fillId="2" borderId="61" xfId="37" applyFont="1" applyFill="1" applyBorder="1" applyAlignment="1" applyProtection="1">
      <alignment horizontal="center" vertical="center" wrapText="1"/>
      <protection locked="0"/>
    </xf>
    <xf numFmtId="0" fontId="53" fillId="2" borderId="57" xfId="37" applyFont="1" applyFill="1" applyBorder="1" applyAlignment="1" applyProtection="1">
      <alignment horizontal="center" vertical="center" wrapText="1"/>
      <protection locked="0"/>
    </xf>
    <xf numFmtId="0" fontId="53" fillId="2" borderId="60" xfId="37" applyFont="1" applyFill="1" applyBorder="1" applyAlignment="1" applyProtection="1">
      <alignment horizontal="center" vertical="center" wrapText="1"/>
      <protection locked="0"/>
    </xf>
    <xf numFmtId="9" fontId="53" fillId="2" borderId="57" xfId="37" applyNumberFormat="1" applyFont="1" applyFill="1" applyBorder="1" applyAlignment="1" applyProtection="1">
      <alignment horizontal="center" vertical="center" wrapText="1"/>
      <protection locked="0"/>
    </xf>
    <xf numFmtId="9" fontId="53" fillId="2" borderId="60" xfId="37" applyNumberFormat="1" applyFont="1" applyFill="1" applyBorder="1" applyAlignment="1" applyProtection="1">
      <alignment horizontal="center" vertical="center" wrapText="1"/>
      <protection locked="0"/>
    </xf>
    <xf numFmtId="0" fontId="53" fillId="2" borderId="67" xfId="37" applyFont="1" applyFill="1" applyBorder="1" applyAlignment="1" applyProtection="1">
      <alignment horizontal="center" vertical="center" wrapText="1"/>
      <protection locked="0"/>
    </xf>
    <xf numFmtId="0" fontId="53" fillId="2" borderId="87" xfId="37" applyFont="1" applyFill="1" applyBorder="1" applyAlignment="1" applyProtection="1">
      <alignment horizontal="center" vertical="center" wrapText="1"/>
      <protection locked="0"/>
    </xf>
    <xf numFmtId="0" fontId="53" fillId="2" borderId="68" xfId="37" applyFont="1" applyFill="1" applyBorder="1" applyAlignment="1" applyProtection="1">
      <alignment horizontal="center" vertical="center" wrapText="1"/>
      <protection locked="0"/>
    </xf>
    <xf numFmtId="0" fontId="53" fillId="2" borderId="61" xfId="37" applyFont="1" applyFill="1" applyBorder="1" applyAlignment="1" applyProtection="1">
      <alignment horizontal="center" vertical="center" wrapText="1"/>
      <protection locked="0"/>
    </xf>
    <xf numFmtId="0" fontId="53" fillId="2" borderId="57" xfId="37" applyFont="1" applyFill="1" applyBorder="1" applyAlignment="1" applyProtection="1">
      <alignment horizontal="center" vertical="center" wrapText="1"/>
      <protection locked="0"/>
    </xf>
    <xf numFmtId="0" fontId="53" fillId="2" borderId="60" xfId="37" applyFont="1" applyFill="1" applyBorder="1" applyAlignment="1" applyProtection="1">
      <alignment horizontal="center" vertical="center" wrapText="1"/>
      <protection locked="0"/>
    </xf>
    <xf numFmtId="0" fontId="53" fillId="2" borderId="69" xfId="37" applyFont="1" applyFill="1" applyBorder="1" applyAlignment="1" applyProtection="1">
      <alignment horizontal="center" vertical="center" wrapText="1"/>
      <protection locked="0"/>
    </xf>
    <xf numFmtId="9" fontId="53" fillId="2" borderId="68" xfId="37" applyNumberFormat="1" applyFont="1" applyFill="1" applyBorder="1" applyAlignment="1" applyProtection="1">
      <alignment horizontal="center" vertical="center" wrapText="1"/>
      <protection locked="0"/>
    </xf>
    <xf numFmtId="9" fontId="53" fillId="2" borderId="85" xfId="37" applyNumberFormat="1" applyFont="1" applyFill="1" applyBorder="1" applyAlignment="1" applyProtection="1">
      <alignment horizontal="center" vertical="center" wrapText="1"/>
      <protection locked="0"/>
    </xf>
    <xf numFmtId="9" fontId="53" fillId="2" borderId="86" xfId="37" applyNumberFormat="1" applyFont="1" applyFill="1" applyBorder="1" applyAlignment="1" applyProtection="1">
      <alignment horizontal="center" vertical="center" wrapText="1"/>
      <protection locked="0"/>
    </xf>
    <xf numFmtId="9" fontId="53" fillId="2" borderId="69" xfId="37" applyNumberFormat="1" applyFont="1" applyFill="1" applyBorder="1" applyAlignment="1" applyProtection="1">
      <alignment horizontal="center" vertical="center" wrapText="1"/>
      <protection locked="0"/>
    </xf>
    <xf numFmtId="9" fontId="53" fillId="14" borderId="57" xfId="21" applyNumberFormat="1" applyFont="1" applyFill="1" applyBorder="1" applyAlignment="1" applyProtection="1">
      <alignment horizontal="center" vertical="center" wrapText="1"/>
      <protection locked="0"/>
    </xf>
    <xf numFmtId="9" fontId="53" fillId="14" borderId="60" xfId="21" applyNumberFormat="1" applyFont="1" applyFill="1" applyBorder="1" applyAlignment="1" applyProtection="1">
      <alignment horizontal="center" vertical="center" wrapText="1"/>
      <protection locked="0"/>
    </xf>
    <xf numFmtId="9" fontId="53" fillId="14" borderId="61" xfId="21" applyNumberFormat="1" applyFont="1" applyFill="1" applyBorder="1" applyAlignment="1" applyProtection="1">
      <alignment horizontal="center" vertical="center" wrapText="1"/>
      <protection locked="0"/>
    </xf>
    <xf numFmtId="9" fontId="53" fillId="14" borderId="59" xfId="21" applyNumberFormat="1" applyFont="1" applyFill="1" applyBorder="1" applyAlignment="1" applyProtection="1">
      <alignment horizontal="center" vertical="center" wrapText="1"/>
      <protection locked="0"/>
    </xf>
    <xf numFmtId="3" fontId="53" fillId="14" borderId="61" xfId="21" applyNumberFormat="1" applyFont="1" applyFill="1" applyBorder="1" applyAlignment="1" applyProtection="1">
      <alignment horizontal="center" vertical="center" wrapText="1"/>
      <protection locked="0"/>
    </xf>
    <xf numFmtId="3" fontId="53" fillId="14" borderId="57" xfId="21" applyNumberFormat="1" applyFont="1" applyFill="1" applyBorder="1" applyAlignment="1" applyProtection="1">
      <alignment horizontal="center" vertical="center" wrapText="1"/>
      <protection locked="0"/>
    </xf>
    <xf numFmtId="0" fontId="53" fillId="14" borderId="57" xfId="21" applyFont="1" applyFill="1" applyBorder="1" applyAlignment="1" applyProtection="1">
      <alignment horizontal="center" vertical="center" wrapText="1"/>
      <protection locked="0"/>
    </xf>
    <xf numFmtId="0" fontId="53" fillId="14" borderId="59" xfId="21" applyFont="1" applyFill="1" applyBorder="1" applyAlignment="1" applyProtection="1">
      <alignment horizontal="center" vertical="center" wrapText="1"/>
      <protection locked="0"/>
    </xf>
    <xf numFmtId="0" fontId="53" fillId="14" borderId="58" xfId="21" applyFont="1" applyFill="1" applyBorder="1" applyAlignment="1" applyProtection="1">
      <alignment horizontal="left" vertical="center" wrapText="1"/>
      <protection locked="0"/>
    </xf>
    <xf numFmtId="0" fontId="74" fillId="5" borderId="125" xfId="0" applyFont="1" applyFill="1" applyBorder="1" applyAlignment="1" applyProtection="1">
      <alignment horizontal="left" vertical="center" wrapText="1"/>
      <protection locked="0"/>
    </xf>
    <xf numFmtId="0" fontId="74" fillId="5" borderId="123" xfId="0" applyFont="1" applyFill="1" applyBorder="1" applyAlignment="1" applyProtection="1">
      <alignment horizontal="left" vertical="center" wrapText="1"/>
      <protection locked="0"/>
    </xf>
    <xf numFmtId="0" fontId="74" fillId="5" borderId="123" xfId="0" applyFont="1" applyFill="1" applyBorder="1" applyAlignment="1" applyProtection="1">
      <alignment horizontal="center" vertical="center" wrapText="1"/>
      <protection locked="0"/>
    </xf>
    <xf numFmtId="0" fontId="48" fillId="0" borderId="123" xfId="0" applyFont="1" applyFill="1" applyBorder="1" applyAlignment="1">
      <alignment horizontal="center" vertical="center"/>
    </xf>
    <xf numFmtId="0" fontId="48" fillId="5" borderId="124" xfId="0" applyFont="1" applyFill="1" applyBorder="1" applyAlignment="1">
      <alignment horizontal="center" vertical="center"/>
    </xf>
    <xf numFmtId="0" fontId="74" fillId="5" borderId="126" xfId="0" applyFont="1" applyFill="1" applyBorder="1" applyAlignment="1" applyProtection="1">
      <alignment horizontal="left" vertical="center" wrapText="1"/>
      <protection locked="0"/>
    </xf>
    <xf numFmtId="0" fontId="74" fillId="5" borderId="84" xfId="0" applyFont="1" applyFill="1" applyBorder="1" applyAlignment="1" applyProtection="1">
      <alignment horizontal="left" vertical="center" wrapText="1"/>
      <protection locked="0"/>
    </xf>
    <xf numFmtId="0" fontId="74" fillId="5" borderId="84" xfId="0" applyFont="1" applyFill="1" applyBorder="1" applyAlignment="1" applyProtection="1">
      <alignment horizontal="center" vertical="center" wrapText="1"/>
      <protection locked="0"/>
    </xf>
    <xf numFmtId="0" fontId="48" fillId="0" borderId="84" xfId="0" applyFont="1" applyFill="1" applyBorder="1" applyAlignment="1">
      <alignment horizontal="center" vertical="center"/>
    </xf>
    <xf numFmtId="0" fontId="48" fillId="5" borderId="122" xfId="0" applyFont="1" applyFill="1" applyBorder="1" applyAlignment="1">
      <alignment horizontal="center" vertical="center"/>
    </xf>
    <xf numFmtId="0" fontId="48" fillId="5" borderId="84" xfId="0" applyFont="1" applyFill="1" applyBorder="1" applyAlignment="1">
      <alignment horizontal="left" vertical="center"/>
    </xf>
    <xf numFmtId="0" fontId="74" fillId="0" borderId="84" xfId="0" applyFont="1" applyFill="1" applyBorder="1" applyAlignment="1" applyProtection="1">
      <alignment horizontal="center" vertical="center" wrapText="1"/>
      <protection locked="0"/>
    </xf>
    <xf numFmtId="0" fontId="74" fillId="5" borderId="122" xfId="0" applyFont="1" applyFill="1" applyBorder="1" applyAlignment="1" applyProtection="1">
      <alignment horizontal="center" vertical="center" wrapText="1"/>
      <protection locked="0"/>
    </xf>
    <xf numFmtId="0" fontId="74" fillId="0" borderId="84" xfId="0" applyFont="1" applyFill="1" applyBorder="1" applyAlignment="1">
      <alignment horizontal="center" vertical="center"/>
    </xf>
    <xf numFmtId="0" fontId="74" fillId="5" borderId="84" xfId="0" applyFont="1" applyFill="1" applyBorder="1" applyAlignment="1" applyProtection="1">
      <alignment horizontal="left" vertical="top" wrapText="1"/>
      <protection locked="0"/>
    </xf>
    <xf numFmtId="0" fontId="48" fillId="5" borderId="125" xfId="0" applyFont="1" applyFill="1" applyBorder="1" applyAlignment="1">
      <alignment horizontal="center" vertical="center"/>
    </xf>
    <xf numFmtId="168" fontId="48" fillId="5" borderId="123" xfId="0" applyNumberFormat="1" applyFont="1" applyFill="1" applyBorder="1" applyAlignment="1">
      <alignment horizontal="center" vertical="center"/>
    </xf>
    <xf numFmtId="0" fontId="48" fillId="5" borderId="126" xfId="0" applyFont="1" applyFill="1" applyBorder="1" applyAlignment="1">
      <alignment horizontal="center" vertical="center"/>
    </xf>
    <xf numFmtId="168" fontId="48" fillId="5" borderId="84" xfId="0" applyNumberFormat="1" applyFont="1" applyFill="1" applyBorder="1" applyAlignment="1">
      <alignment horizontal="center" vertical="center"/>
    </xf>
    <xf numFmtId="0" fontId="74" fillId="5" borderId="126" xfId="0" applyFont="1" applyFill="1" applyBorder="1" applyAlignment="1" applyProtection="1">
      <alignment horizontal="center" vertical="center" wrapText="1"/>
      <protection locked="0"/>
    </xf>
    <xf numFmtId="15" fontId="74" fillId="5" borderId="84" xfId="0" applyNumberFormat="1" applyFont="1" applyFill="1" applyBorder="1" applyAlignment="1" applyProtection="1">
      <alignment horizontal="center" vertical="center" wrapText="1"/>
      <protection locked="0"/>
    </xf>
    <xf numFmtId="15" fontId="74" fillId="5" borderId="122" xfId="0" applyNumberFormat="1" applyFont="1" applyFill="1" applyBorder="1" applyAlignment="1" applyProtection="1">
      <alignment horizontal="center" vertical="center" wrapText="1"/>
      <protection locked="0"/>
    </xf>
    <xf numFmtId="0" fontId="48" fillId="0" borderId="125" xfId="0" applyFont="1" applyBorder="1" applyAlignment="1">
      <alignment horizontal="center" vertical="center"/>
    </xf>
    <xf numFmtId="0" fontId="48" fillId="0" borderId="124" xfId="0" applyFont="1" applyFill="1" applyBorder="1" applyAlignment="1">
      <alignment horizontal="center" vertical="center"/>
    </xf>
    <xf numFmtId="0" fontId="48" fillId="0" borderId="126" xfId="0" applyFont="1" applyBorder="1" applyAlignment="1">
      <alignment horizontal="center" vertical="center"/>
    </xf>
    <xf numFmtId="0" fontId="48" fillId="0" borderId="122" xfId="0" applyFont="1" applyFill="1" applyBorder="1" applyAlignment="1">
      <alignment horizontal="center" vertical="center"/>
    </xf>
    <xf numFmtId="0" fontId="74" fillId="0" borderId="126" xfId="0" applyFont="1" applyFill="1" applyBorder="1" applyAlignment="1" applyProtection="1">
      <alignment horizontal="center" vertical="center" wrapText="1"/>
      <protection locked="0"/>
    </xf>
    <xf numFmtId="0" fontId="74" fillId="0" borderId="122" xfId="0" applyFont="1" applyFill="1" applyBorder="1" applyAlignment="1" applyProtection="1">
      <alignment horizontal="center" vertical="center" wrapText="1"/>
      <protection locked="0"/>
    </xf>
    <xf numFmtId="0" fontId="48" fillId="0" borderId="123" xfId="0" applyFont="1" applyBorder="1" applyAlignment="1">
      <alignment horizontal="center" vertical="center"/>
    </xf>
    <xf numFmtId="0" fontId="48" fillId="0" borderId="124" xfId="0" applyFont="1" applyBorder="1" applyAlignment="1">
      <alignment horizontal="center" vertical="center"/>
    </xf>
    <xf numFmtId="0" fontId="48" fillId="0" borderId="84" xfId="0" applyFont="1" applyBorder="1" applyAlignment="1">
      <alignment horizontal="center" vertical="center"/>
    </xf>
    <xf numFmtId="0" fontId="48" fillId="0" borderId="122" xfId="0" applyFont="1" applyBorder="1" applyAlignment="1">
      <alignment horizontal="center" vertical="center"/>
    </xf>
    <xf numFmtId="0" fontId="48" fillId="0" borderId="126" xfId="0" applyFont="1" applyFill="1" applyBorder="1" applyAlignment="1">
      <alignment horizontal="center" vertical="center"/>
    </xf>
    <xf numFmtId="9" fontId="48" fillId="0" borderId="124" xfId="0" applyNumberFormat="1" applyFont="1" applyBorder="1" applyAlignment="1">
      <alignment horizontal="center" vertical="center"/>
    </xf>
    <xf numFmtId="9" fontId="48" fillId="0" borderId="122" xfId="0" applyNumberFormat="1" applyFont="1" applyBorder="1" applyAlignment="1">
      <alignment horizontal="center" vertical="center"/>
    </xf>
    <xf numFmtId="9" fontId="74" fillId="0" borderId="126" xfId="3" applyFont="1" applyFill="1" applyBorder="1" applyAlignment="1" applyProtection="1">
      <alignment horizontal="center" vertical="center" wrapText="1"/>
      <protection locked="0"/>
    </xf>
    <xf numFmtId="9" fontId="74" fillId="0" borderId="122" xfId="0" applyNumberFormat="1" applyFont="1" applyFill="1" applyBorder="1" applyAlignment="1" applyProtection="1">
      <alignment horizontal="center" vertical="center" wrapText="1"/>
      <protection locked="0"/>
    </xf>
    <xf numFmtId="9" fontId="48" fillId="0" borderId="126" xfId="0" applyNumberFormat="1" applyFont="1" applyFill="1" applyBorder="1" applyAlignment="1">
      <alignment horizontal="center" vertical="center"/>
    </xf>
    <xf numFmtId="9" fontId="48" fillId="0" borderId="122" xfId="0" applyNumberFormat="1" applyFont="1" applyFill="1" applyBorder="1" applyAlignment="1">
      <alignment horizontal="center" vertical="center"/>
    </xf>
    <xf numFmtId="9" fontId="48" fillId="0" borderId="123" xfId="0" applyNumberFormat="1" applyFont="1" applyBorder="1" applyAlignment="1">
      <alignment horizontal="center" vertical="center"/>
    </xf>
    <xf numFmtId="0" fontId="26" fillId="13" borderId="123" xfId="0" applyNumberFormat="1" applyFont="1" applyFill="1" applyBorder="1" applyAlignment="1" applyProtection="1">
      <alignment horizontal="center" vertical="center" wrapText="1"/>
    </xf>
    <xf numFmtId="9" fontId="48" fillId="0" borderId="84" xfId="0" applyNumberFormat="1" applyFont="1" applyBorder="1" applyAlignment="1">
      <alignment horizontal="center" vertical="center"/>
    </xf>
    <xf numFmtId="0" fontId="26" fillId="13" borderId="84" xfId="0" applyNumberFormat="1" applyFont="1" applyFill="1" applyBorder="1" applyAlignment="1" applyProtection="1">
      <alignment horizontal="center" vertical="center" wrapText="1"/>
    </xf>
    <xf numFmtId="0" fontId="48" fillId="0" borderId="122" xfId="0" applyFont="1" applyBorder="1" applyAlignment="1">
      <alignment horizontal="center" vertical="center" wrapText="1"/>
    </xf>
    <xf numFmtId="9" fontId="74" fillId="0" borderId="84" xfId="0" applyNumberFormat="1" applyFont="1" applyFill="1" applyBorder="1" applyAlignment="1" applyProtection="1">
      <alignment horizontal="center" vertical="center" wrapText="1"/>
      <protection locked="0"/>
    </xf>
    <xf numFmtId="0" fontId="48" fillId="0" borderId="122" xfId="0" applyFont="1" applyBorder="1" applyAlignment="1">
      <alignment horizontal="left" vertical="center" wrapText="1"/>
    </xf>
    <xf numFmtId="9" fontId="48" fillId="0" borderId="84" xfId="0" applyNumberFormat="1" applyFont="1" applyFill="1" applyBorder="1" applyAlignment="1">
      <alignment horizontal="center" vertical="center"/>
    </xf>
    <xf numFmtId="0" fontId="19" fillId="2" borderId="122" xfId="0" applyFont="1" applyFill="1" applyBorder="1" applyAlignment="1" applyProtection="1">
      <alignment horizontal="center"/>
      <protection locked="0"/>
    </xf>
    <xf numFmtId="9" fontId="48" fillId="0" borderId="123" xfId="0" applyNumberFormat="1" applyFont="1" applyFill="1" applyBorder="1" applyAlignment="1">
      <alignment horizontal="center" vertical="center"/>
    </xf>
    <xf numFmtId="1" fontId="74" fillId="0" borderId="84" xfId="0" applyNumberFormat="1" applyFont="1" applyFill="1" applyBorder="1" applyAlignment="1" applyProtection="1">
      <alignment horizontal="center" vertical="center" wrapText="1"/>
      <protection locked="0"/>
    </xf>
    <xf numFmtId="9" fontId="74" fillId="0" borderId="84" xfId="3" applyFont="1" applyFill="1" applyBorder="1" applyAlignment="1" applyProtection="1">
      <alignment horizontal="center" vertical="center" wrapText="1"/>
      <protection locked="0"/>
    </xf>
    <xf numFmtId="9" fontId="74" fillId="2" borderId="122" xfId="3" applyFont="1" applyFill="1" applyBorder="1" applyAlignment="1" applyProtection="1">
      <alignment horizontal="center" vertical="center" wrapText="1"/>
    </xf>
    <xf numFmtId="1" fontId="74" fillId="2" borderId="84" xfId="0" applyNumberFormat="1" applyFont="1" applyFill="1" applyBorder="1" applyAlignment="1" applyProtection="1">
      <alignment horizontal="center" vertical="center" wrapText="1"/>
    </xf>
    <xf numFmtId="1" fontId="74" fillId="0" borderId="84" xfId="0" applyNumberFormat="1" applyFont="1" applyFill="1" applyBorder="1" applyAlignment="1" applyProtection="1">
      <alignment horizontal="center" vertical="center" wrapText="1"/>
    </xf>
    <xf numFmtId="9" fontId="74" fillId="2" borderId="84" xfId="3" applyFont="1" applyFill="1" applyBorder="1" applyAlignment="1" applyProtection="1">
      <alignment horizontal="center" vertical="center" wrapText="1"/>
    </xf>
    <xf numFmtId="0" fontId="48" fillId="0" borderId="129" xfId="0" applyFont="1" applyBorder="1" applyAlignment="1">
      <alignment horizontal="center" vertical="center" wrapText="1"/>
    </xf>
    <xf numFmtId="0" fontId="48" fillId="0" borderId="130" xfId="0" applyFont="1" applyBorder="1" applyAlignment="1">
      <alignment horizontal="center" vertical="center" wrapText="1"/>
    </xf>
    <xf numFmtId="9" fontId="74" fillId="0" borderId="130" xfId="0" applyNumberFormat="1" applyFont="1" applyFill="1" applyBorder="1" applyAlignment="1" applyProtection="1">
      <alignment horizontal="center" vertical="center" wrapText="1"/>
      <protection locked="0"/>
    </xf>
    <xf numFmtId="168" fontId="48" fillId="0" borderId="126" xfId="0" applyNumberFormat="1" applyFont="1" applyFill="1" applyBorder="1" applyAlignment="1">
      <alignment horizontal="center" vertical="center"/>
    </xf>
    <xf numFmtId="168" fontId="74" fillId="0" borderId="126" xfId="0" applyNumberFormat="1" applyFont="1" applyFill="1" applyBorder="1" applyAlignment="1" applyProtection="1">
      <alignment horizontal="center" vertical="center" wrapText="1"/>
      <protection locked="0"/>
    </xf>
    <xf numFmtId="0" fontId="75" fillId="2" borderId="126" xfId="0" applyFont="1" applyFill="1" applyBorder="1" applyAlignment="1" applyProtection="1">
      <alignment horizontal="center"/>
      <protection locked="0"/>
    </xf>
    <xf numFmtId="1" fontId="74" fillId="0" borderId="126" xfId="0" applyNumberFormat="1" applyFont="1" applyFill="1" applyBorder="1" applyAlignment="1" applyProtection="1">
      <alignment horizontal="center" vertical="center" wrapText="1"/>
      <protection locked="0"/>
    </xf>
    <xf numFmtId="0" fontId="48" fillId="0" borderId="126" xfId="0" applyFont="1" applyFill="1" applyBorder="1" applyAlignment="1">
      <alignment horizontal="center" vertical="center" wrapText="1"/>
    </xf>
    <xf numFmtId="0" fontId="48" fillId="0" borderId="126" xfId="0" applyFont="1" applyBorder="1" applyAlignment="1">
      <alignment horizontal="center" vertical="center" wrapText="1"/>
    </xf>
    <xf numFmtId="0" fontId="48" fillId="0" borderId="131" xfId="0" applyFont="1" applyBorder="1" applyAlignment="1">
      <alignment horizontal="center" vertical="center" wrapText="1"/>
    </xf>
    <xf numFmtId="0" fontId="48" fillId="0" borderId="132" xfId="0" applyFont="1" applyBorder="1" applyAlignment="1">
      <alignment horizontal="center" vertical="center" wrapText="1"/>
    </xf>
    <xf numFmtId="0" fontId="76" fillId="2" borderId="132" xfId="0" applyFont="1" applyFill="1" applyBorder="1" applyAlignment="1" applyProtection="1">
      <alignment horizontal="left"/>
      <protection locked="0"/>
    </xf>
    <xf numFmtId="0" fontId="74" fillId="0" borderId="132" xfId="0" applyFont="1" applyFill="1" applyBorder="1" applyAlignment="1" applyProtection="1">
      <alignment horizontal="center" vertical="center" wrapText="1"/>
      <protection locked="0"/>
    </xf>
    <xf numFmtId="0" fontId="74" fillId="0" borderId="132" xfId="0" applyFont="1" applyFill="1" applyBorder="1" applyAlignment="1" applyProtection="1">
      <alignment horizontal="left" wrapText="1"/>
      <protection locked="0"/>
    </xf>
    <xf numFmtId="1" fontId="74" fillId="0" borderId="122" xfId="0" applyNumberFormat="1" applyFont="1" applyFill="1" applyBorder="1" applyAlignment="1" applyProtection="1">
      <alignment horizontal="center" vertical="center" wrapText="1"/>
      <protection locked="0"/>
    </xf>
    <xf numFmtId="0" fontId="53" fillId="14" borderId="60" xfId="21" applyFont="1" applyFill="1" applyBorder="1" applyAlignment="1" applyProtection="1">
      <alignment horizontal="center" vertical="center" wrapText="1"/>
      <protection locked="0"/>
    </xf>
    <xf numFmtId="0" fontId="53" fillId="0" borderId="58" xfId="21" applyFont="1" applyFill="1" applyBorder="1" applyAlignment="1" applyProtection="1">
      <alignment horizontal="left" vertical="center" wrapText="1"/>
      <protection locked="0"/>
    </xf>
    <xf numFmtId="14" fontId="53" fillId="0" borderId="56" xfId="21" applyNumberFormat="1" applyFont="1" applyFill="1" applyBorder="1" applyAlignment="1">
      <alignment horizontal="center" vertical="center" wrapText="1"/>
    </xf>
    <xf numFmtId="14" fontId="53" fillId="0" borderId="57" xfId="21" applyNumberFormat="1" applyFont="1" applyFill="1" applyBorder="1" applyAlignment="1">
      <alignment horizontal="center" vertical="center" wrapText="1"/>
    </xf>
    <xf numFmtId="0" fontId="53" fillId="0" borderId="59" xfId="21" applyFont="1" applyFill="1" applyBorder="1" applyAlignment="1" applyProtection="1">
      <alignment horizontal="center" vertical="center" wrapText="1"/>
      <protection locked="0"/>
    </xf>
    <xf numFmtId="0" fontId="53" fillId="0" borderId="58" xfId="21" applyFont="1" applyFill="1" applyBorder="1" applyAlignment="1" applyProtection="1">
      <alignment horizontal="center" vertical="center" wrapText="1"/>
      <protection locked="0"/>
    </xf>
    <xf numFmtId="3" fontId="53" fillId="6" borderId="76" xfId="21" applyNumberFormat="1" applyFont="1" applyFill="1" applyBorder="1" applyAlignment="1" applyProtection="1">
      <alignment horizontal="center" vertical="center" wrapText="1"/>
      <protection locked="0"/>
    </xf>
    <xf numFmtId="3" fontId="53" fillId="6" borderId="75" xfId="21" applyNumberFormat="1" applyFont="1" applyFill="1" applyBorder="1" applyAlignment="1" applyProtection="1">
      <alignment horizontal="center" vertical="center" wrapText="1"/>
      <protection locked="0"/>
    </xf>
    <xf numFmtId="14" fontId="53" fillId="14" borderId="90" xfId="21" applyNumberFormat="1" applyFont="1" applyFill="1" applyBorder="1" applyAlignment="1" applyProtection="1">
      <alignment horizontal="center" vertical="center" wrapText="1"/>
      <protection locked="0"/>
    </xf>
    <xf numFmtId="14" fontId="53" fillId="14" borderId="91" xfId="21" applyNumberFormat="1" applyFont="1" applyFill="1" applyBorder="1" applyAlignment="1" applyProtection="1">
      <alignment horizontal="center" vertical="center" wrapText="1"/>
      <protection locked="0"/>
    </xf>
    <xf numFmtId="0" fontId="53" fillId="14" borderId="93" xfId="21" applyFont="1" applyFill="1" applyBorder="1" applyAlignment="1" applyProtection="1">
      <alignment horizontal="center" vertical="center" wrapText="1"/>
      <protection locked="0"/>
    </xf>
    <xf numFmtId="0" fontId="53" fillId="14" borderId="92" xfId="21" applyFont="1" applyFill="1" applyBorder="1" applyAlignment="1" applyProtection="1">
      <alignment horizontal="center" vertical="center" wrapText="1"/>
      <protection locked="0"/>
    </xf>
    <xf numFmtId="0" fontId="53" fillId="14" borderId="90" xfId="21" applyFont="1" applyFill="1" applyBorder="1" applyAlignment="1" applyProtection="1">
      <alignment horizontal="center" vertical="center" wrapText="1"/>
      <protection locked="0"/>
    </xf>
    <xf numFmtId="9" fontId="53" fillId="14" borderId="91" xfId="21" applyNumberFormat="1" applyFont="1" applyFill="1" applyBorder="1" applyAlignment="1" applyProtection="1">
      <alignment horizontal="center" vertical="center" wrapText="1"/>
      <protection locked="0"/>
    </xf>
    <xf numFmtId="9" fontId="53" fillId="14" borderId="94" xfId="21" applyNumberFormat="1" applyFont="1" applyFill="1" applyBorder="1" applyAlignment="1" applyProtection="1">
      <alignment horizontal="center" vertical="center" wrapText="1"/>
      <protection locked="0"/>
    </xf>
    <xf numFmtId="9" fontId="53" fillId="14" borderId="95" xfId="21" applyNumberFormat="1" applyFont="1" applyFill="1" applyBorder="1" applyAlignment="1" applyProtection="1">
      <alignment horizontal="center" vertical="center" wrapText="1"/>
      <protection locked="0"/>
    </xf>
    <xf numFmtId="9" fontId="53" fillId="14" borderId="93" xfId="21" applyNumberFormat="1" applyFont="1" applyFill="1" applyBorder="1" applyAlignment="1" applyProtection="1">
      <alignment horizontal="center" vertical="center" wrapText="1"/>
      <protection locked="0"/>
    </xf>
    <xf numFmtId="0" fontId="53" fillId="14" borderId="96" xfId="21" applyFont="1" applyFill="1" applyBorder="1" applyAlignment="1" applyProtection="1">
      <alignment horizontal="center" vertical="center" wrapText="1"/>
      <protection locked="0"/>
    </xf>
    <xf numFmtId="0" fontId="53" fillId="14" borderId="91" xfId="21" applyFont="1" applyFill="1" applyBorder="1" applyAlignment="1" applyProtection="1">
      <alignment horizontal="center" vertical="center" wrapText="1"/>
      <protection locked="0"/>
    </xf>
    <xf numFmtId="3" fontId="53" fillId="14" borderId="53" xfId="21" applyNumberFormat="1" applyFont="1" applyFill="1" applyBorder="1" applyAlignment="1" applyProtection="1">
      <alignment horizontal="center" vertical="center" wrapText="1"/>
      <protection locked="0"/>
    </xf>
    <xf numFmtId="3" fontId="53" fillId="14" borderId="49" xfId="21" applyNumberFormat="1" applyFont="1" applyFill="1" applyBorder="1" applyAlignment="1" applyProtection="1">
      <alignment horizontal="center" vertical="center" wrapText="1"/>
      <protection locked="0"/>
    </xf>
    <xf numFmtId="3" fontId="53" fillId="14" borderId="52" xfId="21" applyNumberFormat="1" applyFont="1" applyFill="1" applyBorder="1" applyAlignment="1" applyProtection="1">
      <alignment horizontal="center" vertical="center" wrapText="1"/>
      <protection locked="0"/>
    </xf>
    <xf numFmtId="3" fontId="53" fillId="14" borderId="54" xfId="21" applyNumberFormat="1" applyFont="1" applyFill="1" applyBorder="1" applyAlignment="1" applyProtection="1">
      <alignment horizontal="center" vertical="center" wrapText="1"/>
      <protection locked="0"/>
    </xf>
    <xf numFmtId="3" fontId="53" fillId="14" borderId="51" xfId="21" applyNumberFormat="1" applyFont="1" applyFill="1" applyBorder="1" applyAlignment="1" applyProtection="1">
      <alignment horizontal="center" vertical="center" wrapText="1"/>
      <protection locked="0"/>
    </xf>
    <xf numFmtId="3" fontId="53" fillId="14" borderId="86" xfId="21" applyNumberFormat="1" applyFont="1" applyFill="1" applyBorder="1" applyAlignment="1" applyProtection="1">
      <alignment horizontal="center" vertical="center" wrapText="1"/>
      <protection locked="0"/>
    </xf>
    <xf numFmtId="3" fontId="53" fillId="14" borderId="68" xfId="21" applyNumberFormat="1" applyFont="1" applyFill="1" applyBorder="1" applyAlignment="1" applyProtection="1">
      <alignment horizontal="center" vertical="center" wrapText="1"/>
      <protection locked="0"/>
    </xf>
    <xf numFmtId="3" fontId="53" fillId="14" borderId="85" xfId="21" applyNumberFormat="1" applyFont="1" applyFill="1" applyBorder="1" applyAlignment="1" applyProtection="1">
      <alignment horizontal="center" vertical="center" wrapText="1"/>
      <protection locked="0"/>
    </xf>
    <xf numFmtId="3" fontId="53" fillId="14" borderId="62" xfId="21" applyNumberFormat="1" applyFont="1" applyFill="1" applyBorder="1" applyAlignment="1" applyProtection="1">
      <alignment horizontal="center" vertical="center" wrapText="1"/>
      <protection locked="0"/>
    </xf>
    <xf numFmtId="3" fontId="53" fillId="14" borderId="59" xfId="21" applyNumberFormat="1" applyFont="1" applyFill="1" applyBorder="1" applyAlignment="1" applyProtection="1">
      <alignment horizontal="center" vertical="center" wrapText="1"/>
      <protection locked="0"/>
    </xf>
    <xf numFmtId="0" fontId="53" fillId="14" borderId="62" xfId="21" applyFont="1" applyFill="1" applyBorder="1" applyAlignment="1" applyProtection="1">
      <alignment horizontal="center" vertical="center" wrapText="1"/>
      <protection locked="0"/>
    </xf>
    <xf numFmtId="0" fontId="53" fillId="14" borderId="56" xfId="21" applyFont="1" applyFill="1" applyBorder="1" applyAlignment="1" applyProtection="1">
      <alignment horizontal="center" vertical="center" wrapText="1"/>
      <protection locked="0"/>
    </xf>
    <xf numFmtId="0" fontId="53" fillId="14" borderId="44" xfId="21" applyFont="1" applyFill="1" applyBorder="1" applyAlignment="1" applyProtection="1">
      <alignment horizontal="center" vertical="center" wrapText="1"/>
      <protection locked="0"/>
    </xf>
    <xf numFmtId="0" fontId="53" fillId="14" borderId="45" xfId="21" applyFont="1" applyFill="1" applyBorder="1" applyAlignment="1" applyProtection="1">
      <alignment horizontal="center" vertical="center" wrapText="1"/>
      <protection locked="0"/>
    </xf>
    <xf numFmtId="0" fontId="53" fillId="14" borderId="46" xfId="21" applyFont="1" applyFill="1" applyBorder="1" applyAlignment="1" applyProtection="1">
      <alignment horizontal="center" vertical="center" wrapText="1"/>
      <protection locked="0"/>
    </xf>
    <xf numFmtId="0" fontId="53" fillId="14" borderId="81" xfId="21" applyFont="1" applyFill="1" applyBorder="1" applyAlignment="1" applyProtection="1">
      <alignment horizontal="center" vertical="center" wrapText="1"/>
      <protection locked="0"/>
    </xf>
    <xf numFmtId="0" fontId="53" fillId="14" borderId="76" xfId="21" applyFont="1" applyFill="1" applyBorder="1" applyAlignment="1" applyProtection="1">
      <alignment horizontal="center" vertical="center" wrapText="1"/>
      <protection locked="0"/>
    </xf>
    <xf numFmtId="0" fontId="53" fillId="14" borderId="78" xfId="21" applyFont="1" applyFill="1" applyBorder="1" applyAlignment="1" applyProtection="1">
      <alignment horizontal="center" vertical="center" wrapText="1"/>
      <protection locked="0"/>
    </xf>
    <xf numFmtId="0" fontId="53" fillId="14" borderId="92" xfId="21" applyFont="1" applyFill="1" applyBorder="1" applyAlignment="1" applyProtection="1">
      <alignment horizontal="left" vertical="center" wrapText="1"/>
      <protection locked="0"/>
    </xf>
    <xf numFmtId="0" fontId="53" fillId="14" borderId="72" xfId="21" applyFont="1" applyFill="1" applyBorder="1" applyAlignment="1" applyProtection="1">
      <alignment horizontal="left" vertical="center" wrapText="1"/>
      <protection locked="0"/>
    </xf>
    <xf numFmtId="0" fontId="53" fillId="14" borderId="77" xfId="21" applyFont="1" applyFill="1" applyBorder="1" applyAlignment="1" applyProtection="1">
      <alignment horizontal="left" vertical="center" wrapText="1"/>
      <protection locked="0"/>
    </xf>
    <xf numFmtId="0" fontId="53" fillId="2" borderId="59" xfId="46" applyFont="1" applyFill="1" applyBorder="1" applyAlignment="1" applyProtection="1">
      <alignment horizontal="center" vertical="center" wrapText="1"/>
      <protection locked="0"/>
    </xf>
    <xf numFmtId="9" fontId="53" fillId="2" borderId="61" xfId="46" applyNumberFormat="1" applyFont="1" applyFill="1" applyBorder="1" applyAlignment="1" applyProtection="1">
      <alignment horizontal="center" vertical="center" wrapText="1"/>
      <protection locked="0"/>
    </xf>
    <xf numFmtId="9" fontId="53" fillId="2" borderId="59" xfId="46" applyNumberFormat="1" applyFont="1" applyFill="1" applyBorder="1" applyAlignment="1" applyProtection="1">
      <alignment horizontal="center" vertical="center" wrapText="1"/>
      <protection locked="0"/>
    </xf>
    <xf numFmtId="3" fontId="53" fillId="6" borderId="56" xfId="46" applyNumberFormat="1" applyFont="1" applyFill="1" applyBorder="1" applyAlignment="1" applyProtection="1">
      <alignment horizontal="center" vertical="center" wrapText="1"/>
      <protection locked="0"/>
    </xf>
    <xf numFmtId="9" fontId="53" fillId="2" borderId="57" xfId="46" applyNumberFormat="1" applyFont="1" applyFill="1" applyBorder="1" applyAlignment="1" applyProtection="1">
      <alignment horizontal="center" vertical="center" wrapText="1"/>
      <protection locked="0"/>
    </xf>
    <xf numFmtId="9" fontId="53" fillId="2" borderId="60" xfId="46" applyNumberFormat="1" applyFont="1" applyFill="1" applyBorder="1" applyAlignment="1" applyProtection="1">
      <alignment horizontal="center" vertical="center" wrapText="1"/>
      <protection locked="0"/>
    </xf>
    <xf numFmtId="3" fontId="53" fillId="2" borderId="61" xfId="46" applyNumberFormat="1" applyFont="1" applyFill="1" applyBorder="1" applyAlignment="1" applyProtection="1">
      <alignment horizontal="center" vertical="center" wrapText="1"/>
      <protection locked="0"/>
    </xf>
    <xf numFmtId="3" fontId="53" fillId="2" borderId="57" xfId="46" applyNumberFormat="1" applyFont="1" applyFill="1" applyBorder="1" applyAlignment="1" applyProtection="1">
      <alignment horizontal="center" vertical="center" wrapText="1"/>
      <protection locked="0"/>
    </xf>
    <xf numFmtId="3" fontId="53" fillId="2" borderId="60" xfId="46" applyNumberFormat="1" applyFont="1" applyFill="1" applyBorder="1" applyAlignment="1" applyProtection="1">
      <alignment horizontal="center" vertical="center" wrapText="1"/>
      <protection locked="0"/>
    </xf>
    <xf numFmtId="1" fontId="53" fillId="2" borderId="62" xfId="46" applyNumberFormat="1" applyFont="1" applyFill="1" applyBorder="1" applyAlignment="1" applyProtection="1">
      <alignment horizontal="center" vertical="center" wrapText="1"/>
      <protection locked="0"/>
    </xf>
    <xf numFmtId="0" fontId="53" fillId="2" borderId="57" xfId="46" applyFont="1" applyFill="1" applyBorder="1" applyAlignment="1" applyProtection="1">
      <alignment horizontal="center" vertical="center" wrapText="1"/>
      <protection locked="0"/>
    </xf>
    <xf numFmtId="0" fontId="53" fillId="2" borderId="59" xfId="46" applyFont="1" applyFill="1" applyBorder="1" applyAlignment="1" applyProtection="1">
      <alignment horizontal="center" vertical="center" wrapText="1"/>
      <protection locked="0"/>
    </xf>
    <xf numFmtId="9" fontId="53" fillId="2" borderId="61" xfId="46" applyNumberFormat="1" applyFont="1" applyFill="1" applyBorder="1" applyAlignment="1" applyProtection="1">
      <alignment horizontal="center" vertical="center" wrapText="1"/>
      <protection locked="0"/>
    </xf>
    <xf numFmtId="9" fontId="53" fillId="2" borderId="59" xfId="46" applyNumberFormat="1" applyFont="1" applyFill="1" applyBorder="1" applyAlignment="1" applyProtection="1">
      <alignment horizontal="center" vertical="center" wrapText="1"/>
      <protection locked="0"/>
    </xf>
    <xf numFmtId="3" fontId="53" fillId="6" borderId="56" xfId="46" applyNumberFormat="1" applyFont="1" applyFill="1" applyBorder="1" applyAlignment="1" applyProtection="1">
      <alignment horizontal="center" vertical="center" wrapText="1"/>
      <protection locked="0"/>
    </xf>
    <xf numFmtId="9" fontId="53" fillId="2" borderId="57" xfId="46" applyNumberFormat="1" applyFont="1" applyFill="1" applyBorder="1" applyAlignment="1" applyProtection="1">
      <alignment horizontal="center" vertical="center" wrapText="1"/>
      <protection locked="0"/>
    </xf>
    <xf numFmtId="14" fontId="53" fillId="2" borderId="56" xfId="46" applyNumberFormat="1" applyFont="1" applyFill="1" applyBorder="1" applyAlignment="1" applyProtection="1">
      <alignment horizontal="center" vertical="center" wrapText="1"/>
      <protection locked="0"/>
    </xf>
    <xf numFmtId="14" fontId="53" fillId="2" borderId="57" xfId="46" applyNumberFormat="1" applyFont="1" applyFill="1" applyBorder="1" applyAlignment="1" applyProtection="1">
      <alignment horizontal="center" vertical="center" wrapText="1"/>
      <protection locked="0"/>
    </xf>
    <xf numFmtId="3" fontId="53" fillId="2" borderId="56" xfId="46" applyNumberFormat="1" applyFont="1" applyFill="1" applyBorder="1" applyAlignment="1" applyProtection="1">
      <alignment horizontal="center" vertical="center" wrapText="1"/>
      <protection locked="0"/>
    </xf>
    <xf numFmtId="9" fontId="53" fillId="2" borderId="60" xfId="46" applyNumberFormat="1" applyFont="1" applyFill="1" applyBorder="1" applyAlignment="1" applyProtection="1">
      <alignment horizontal="center" vertical="center" wrapText="1"/>
      <protection locked="0"/>
    </xf>
    <xf numFmtId="3" fontId="53" fillId="2" borderId="61" xfId="46" applyNumberFormat="1" applyFont="1" applyFill="1" applyBorder="1" applyAlignment="1" applyProtection="1">
      <alignment horizontal="center" vertical="center" wrapText="1"/>
      <protection locked="0"/>
    </xf>
    <xf numFmtId="3" fontId="53" fillId="2" borderId="57" xfId="46" applyNumberFormat="1" applyFont="1" applyFill="1" applyBorder="1" applyAlignment="1" applyProtection="1">
      <alignment horizontal="center" vertical="center" wrapText="1"/>
      <protection locked="0"/>
    </xf>
    <xf numFmtId="3" fontId="53" fillId="2" borderId="60" xfId="46" applyNumberFormat="1" applyFont="1" applyFill="1" applyBorder="1" applyAlignment="1" applyProtection="1">
      <alignment horizontal="center" vertical="center" wrapText="1"/>
      <protection locked="0"/>
    </xf>
    <xf numFmtId="1" fontId="53" fillId="2" borderId="62" xfId="46" applyNumberFormat="1" applyFont="1" applyFill="1" applyBorder="1" applyAlignment="1" applyProtection="1">
      <alignment horizontal="center" vertical="center" wrapText="1"/>
      <protection locked="0"/>
    </xf>
    <xf numFmtId="0" fontId="53" fillId="2" borderId="58" xfId="46" applyFont="1" applyFill="1" applyBorder="1" applyAlignment="1" applyProtection="1">
      <alignment horizontal="left" vertical="center" wrapText="1"/>
      <protection locked="0"/>
    </xf>
    <xf numFmtId="0" fontId="53" fillId="2" borderId="57" xfId="46" applyFont="1" applyFill="1" applyBorder="1" applyAlignment="1" applyProtection="1">
      <alignment horizontal="center" vertical="center" wrapText="1"/>
      <protection locked="0"/>
    </xf>
    <xf numFmtId="14" fontId="53" fillId="2" borderId="56" xfId="46" applyNumberFormat="1" applyFont="1" applyFill="1" applyBorder="1" applyAlignment="1" applyProtection="1">
      <alignment horizontal="center" vertical="center" wrapText="1"/>
      <protection locked="0"/>
    </xf>
    <xf numFmtId="0" fontId="53" fillId="2" borderId="59" xfId="46" applyFont="1" applyFill="1" applyBorder="1" applyAlignment="1" applyProtection="1">
      <alignment horizontal="center" vertical="center" wrapText="1"/>
      <protection locked="0"/>
    </xf>
    <xf numFmtId="9" fontId="53" fillId="2" borderId="61" xfId="46" applyNumberFormat="1" applyFont="1" applyFill="1" applyBorder="1" applyAlignment="1" applyProtection="1">
      <alignment horizontal="center" vertical="center" wrapText="1"/>
      <protection locked="0"/>
    </xf>
    <xf numFmtId="9" fontId="53" fillId="2" borderId="59" xfId="46" applyNumberFormat="1" applyFont="1" applyFill="1" applyBorder="1" applyAlignment="1" applyProtection="1">
      <alignment horizontal="center" vertical="center" wrapText="1"/>
      <protection locked="0"/>
    </xf>
    <xf numFmtId="9" fontId="53" fillId="2" borderId="57" xfId="46" applyNumberFormat="1" applyFont="1" applyFill="1" applyBorder="1" applyAlignment="1" applyProtection="1">
      <alignment horizontal="center" vertical="center" wrapText="1"/>
      <protection locked="0"/>
    </xf>
    <xf numFmtId="3" fontId="53" fillId="2" borderId="56" xfId="46" applyNumberFormat="1" applyFont="1" applyFill="1" applyBorder="1" applyAlignment="1" applyProtection="1">
      <alignment horizontal="center" vertical="center" wrapText="1"/>
      <protection locked="0"/>
    </xf>
    <xf numFmtId="9" fontId="53" fillId="2" borderId="60" xfId="46" applyNumberFormat="1" applyFont="1" applyFill="1" applyBorder="1" applyAlignment="1" applyProtection="1">
      <alignment horizontal="center" vertical="center" wrapText="1"/>
      <protection locked="0"/>
    </xf>
    <xf numFmtId="3" fontId="53" fillId="2" borderId="61" xfId="46" applyNumberFormat="1" applyFont="1" applyFill="1" applyBorder="1" applyAlignment="1" applyProtection="1">
      <alignment horizontal="center" vertical="center" wrapText="1"/>
      <protection locked="0"/>
    </xf>
    <xf numFmtId="3" fontId="53" fillId="2" borderId="57" xfId="46" applyNumberFormat="1" applyFont="1" applyFill="1" applyBorder="1" applyAlignment="1" applyProtection="1">
      <alignment horizontal="center" vertical="center" wrapText="1"/>
      <protection locked="0"/>
    </xf>
    <xf numFmtId="3" fontId="53" fillId="2" borderId="60" xfId="46" applyNumberFormat="1" applyFont="1" applyFill="1" applyBorder="1" applyAlignment="1" applyProtection="1">
      <alignment horizontal="center" vertical="center" wrapText="1"/>
      <protection locked="0"/>
    </xf>
    <xf numFmtId="1" fontId="53" fillId="2" borderId="62" xfId="46" applyNumberFormat="1" applyFont="1" applyFill="1" applyBorder="1" applyAlignment="1" applyProtection="1">
      <alignment horizontal="center" vertical="center" wrapText="1"/>
      <protection locked="0"/>
    </xf>
    <xf numFmtId="0" fontId="53" fillId="2" borderId="57" xfId="46" applyFont="1" applyFill="1" applyBorder="1" applyAlignment="1" applyProtection="1">
      <alignment horizontal="center" vertical="center" wrapText="1"/>
      <protection locked="0"/>
    </xf>
    <xf numFmtId="0" fontId="53" fillId="2" borderId="93" xfId="21" applyFont="1" applyFill="1" applyBorder="1" applyAlignment="1" applyProtection="1">
      <alignment horizontal="center" vertical="center" wrapText="1"/>
      <protection locked="0"/>
    </xf>
    <xf numFmtId="166" fontId="18" fillId="5" borderId="51" xfId="4" applyFont="1" applyFill="1" applyBorder="1" applyAlignment="1">
      <alignment horizontal="center" vertical="center"/>
    </xf>
    <xf numFmtId="166" fontId="18" fillId="5" borderId="50" xfId="4" applyFont="1" applyFill="1" applyBorder="1" applyAlignment="1">
      <alignment horizontal="center" vertical="center"/>
    </xf>
    <xf numFmtId="166" fontId="0" fillId="2" borderId="56" xfId="4" applyFont="1" applyFill="1" applyBorder="1" applyAlignment="1">
      <alignment vertical="center"/>
    </xf>
    <xf numFmtId="9" fontId="17" fillId="2" borderId="58" xfId="4" applyNumberFormat="1" applyFill="1" applyBorder="1" applyAlignment="1">
      <alignment horizontal="left" vertical="center"/>
    </xf>
    <xf numFmtId="9" fontId="0" fillId="2" borderId="58" xfId="4" applyNumberFormat="1" applyFont="1" applyFill="1" applyBorder="1" applyAlignment="1">
      <alignment horizontal="left" vertical="center"/>
    </xf>
    <xf numFmtId="9" fontId="17" fillId="2" borderId="58" xfId="4" applyNumberFormat="1" applyFill="1" applyBorder="1" applyAlignment="1">
      <alignment horizontal="left" vertical="center" wrapText="1"/>
    </xf>
    <xf numFmtId="9" fontId="17" fillId="5" borderId="77" xfId="4" applyNumberFormat="1" applyFill="1" applyBorder="1" applyAlignment="1">
      <alignment horizontal="left" vertical="center" wrapText="1"/>
    </xf>
    <xf numFmtId="166" fontId="0" fillId="2" borderId="90" xfId="4" applyFont="1" applyFill="1" applyBorder="1" applyAlignment="1">
      <alignment vertical="center"/>
    </xf>
    <xf numFmtId="3" fontId="17" fillId="2" borderId="91" xfId="4" applyNumberFormat="1" applyFill="1" applyBorder="1" applyAlignment="1">
      <alignment horizontal="center" vertical="center"/>
    </xf>
    <xf numFmtId="9" fontId="17" fillId="2" borderId="93" xfId="4" applyNumberFormat="1" applyFill="1" applyBorder="1" applyAlignment="1">
      <alignment horizontal="center" vertical="center"/>
    </xf>
    <xf numFmtId="9" fontId="17" fillId="2" borderId="92" xfId="4" applyNumberFormat="1" applyFill="1" applyBorder="1" applyAlignment="1">
      <alignment horizontal="left" vertical="center"/>
    </xf>
    <xf numFmtId="166" fontId="18" fillId="5" borderId="123" xfId="4" applyFont="1" applyFill="1" applyBorder="1" applyAlignment="1">
      <alignment horizontal="center" vertical="center"/>
    </xf>
    <xf numFmtId="166" fontId="18" fillId="5" borderId="133" xfId="4" applyFont="1" applyFill="1" applyBorder="1" applyAlignment="1">
      <alignment horizontal="center" vertical="center"/>
    </xf>
    <xf numFmtId="166" fontId="18" fillId="5" borderId="124" xfId="4" applyFont="1" applyFill="1" applyBorder="1" applyAlignment="1">
      <alignment horizontal="center" vertical="center"/>
    </xf>
    <xf numFmtId="166" fontId="18" fillId="5" borderId="49" xfId="4" applyFont="1" applyFill="1" applyBorder="1" applyAlignment="1">
      <alignment horizontal="center" vertical="center" wrapText="1"/>
    </xf>
    <xf numFmtId="166" fontId="65" fillId="2" borderId="92" xfId="4" applyFont="1" applyFill="1" applyBorder="1" applyAlignment="1">
      <alignment vertical="center" wrapText="1"/>
    </xf>
    <xf numFmtId="9" fontId="66" fillId="2" borderId="76" xfId="4" applyNumberFormat="1" applyFont="1" applyFill="1" applyBorder="1" applyAlignment="1">
      <alignment horizontal="center" vertical="center"/>
    </xf>
    <xf numFmtId="166" fontId="66" fillId="2" borderId="76" xfId="4" applyFont="1" applyFill="1" applyBorder="1" applyAlignment="1">
      <alignment horizontal="center" vertical="center"/>
    </xf>
    <xf numFmtId="166" fontId="38" fillId="5" borderId="125" xfId="4" applyFont="1" applyFill="1" applyBorder="1" applyAlignment="1">
      <alignment horizontal="center" vertical="center"/>
    </xf>
    <xf numFmtId="3" fontId="18" fillId="5" borderId="123" xfId="4" applyNumberFormat="1" applyFont="1" applyFill="1" applyBorder="1" applyAlignment="1">
      <alignment horizontal="center" vertical="center"/>
    </xf>
    <xf numFmtId="166" fontId="18" fillId="5" borderId="123" xfId="4" applyFont="1" applyFill="1" applyBorder="1" applyAlignment="1">
      <alignment horizontal="center" vertical="center" wrapText="1"/>
    </xf>
    <xf numFmtId="0" fontId="9" fillId="2" borderId="135" xfId="0" applyFont="1" applyFill="1" applyBorder="1" applyAlignment="1">
      <alignment vertical="center" wrapText="1"/>
    </xf>
    <xf numFmtId="9" fontId="17" fillId="2" borderId="84" xfId="4" applyNumberFormat="1" applyFill="1" applyBorder="1" applyAlignment="1">
      <alignment horizontal="center" vertical="center"/>
    </xf>
    <xf numFmtId="166" fontId="17" fillId="2" borderId="84" xfId="4" applyFill="1" applyBorder="1" applyAlignment="1">
      <alignment horizontal="center" vertical="center"/>
    </xf>
    <xf numFmtId="166" fontId="17" fillId="2" borderId="122" xfId="4" applyFill="1" applyBorder="1" applyAlignment="1">
      <alignment vertical="center" wrapText="1"/>
    </xf>
    <xf numFmtId="166" fontId="66" fillId="2" borderId="90" xfId="4" applyFont="1" applyFill="1" applyBorder="1" applyAlignment="1">
      <alignment horizontal="right" vertical="center" wrapText="1"/>
    </xf>
    <xf numFmtId="166" fontId="66" fillId="2" borderId="75" xfId="4" applyFont="1" applyFill="1" applyBorder="1" applyAlignment="1">
      <alignment horizontal="right" vertical="center" wrapText="1"/>
    </xf>
    <xf numFmtId="166" fontId="38" fillId="5" borderId="138" xfId="4" applyFont="1" applyFill="1" applyBorder="1" applyAlignment="1">
      <alignment horizontal="center" vertical="center"/>
    </xf>
    <xf numFmtId="3" fontId="18" fillId="5" borderId="139" xfId="4" applyNumberFormat="1" applyFont="1" applyFill="1" applyBorder="1" applyAlignment="1">
      <alignment horizontal="center" vertical="center"/>
    </xf>
    <xf numFmtId="166" fontId="18" fillId="5" borderId="139" xfId="4" applyFont="1" applyFill="1" applyBorder="1" applyAlignment="1">
      <alignment horizontal="center" vertical="center"/>
    </xf>
    <xf numFmtId="166" fontId="18" fillId="5" borderId="139" xfId="4" applyFont="1" applyFill="1" applyBorder="1" applyAlignment="1">
      <alignment horizontal="center" vertical="center" wrapText="1"/>
    </xf>
    <xf numFmtId="166" fontId="18" fillId="5" borderId="140" xfId="4" applyFont="1" applyFill="1" applyBorder="1" applyAlignment="1">
      <alignment horizontal="center" vertical="center"/>
    </xf>
    <xf numFmtId="3" fontId="17" fillId="2" borderId="84" xfId="4" applyNumberFormat="1" applyFill="1" applyBorder="1" applyAlignment="1">
      <alignment horizontal="center" vertical="center"/>
    </xf>
    <xf numFmtId="3" fontId="66" fillId="2" borderId="91" xfId="4" applyNumberFormat="1" applyFont="1" applyFill="1" applyBorder="1" applyAlignment="1">
      <alignment horizontal="center" vertical="center"/>
    </xf>
    <xf numFmtId="3" fontId="66" fillId="2" borderId="76" xfId="4" applyNumberFormat="1" applyFont="1" applyFill="1" applyBorder="1" applyAlignment="1">
      <alignment horizontal="center" vertical="center"/>
    </xf>
    <xf numFmtId="166" fontId="66" fillId="2" borderId="141" xfId="4" applyFont="1" applyFill="1" applyBorder="1" applyAlignment="1">
      <alignment horizontal="right" vertical="center" wrapText="1"/>
    </xf>
    <xf numFmtId="3" fontId="66" fillId="2" borderId="136" xfId="4" applyNumberFormat="1" applyFont="1" applyFill="1" applyBorder="1" applyAlignment="1">
      <alignment horizontal="center" vertical="center"/>
    </xf>
    <xf numFmtId="9" fontId="66" fillId="2" borderId="136" xfId="4" applyNumberFormat="1" applyFont="1" applyFill="1" applyBorder="1" applyAlignment="1">
      <alignment horizontal="center" vertical="center"/>
    </xf>
    <xf numFmtId="166" fontId="66" fillId="2" borderId="136" xfId="4" applyFont="1" applyFill="1" applyBorder="1" applyAlignment="1">
      <alignment horizontal="center" vertical="center"/>
    </xf>
    <xf numFmtId="166" fontId="65" fillId="2" borderId="137" xfId="4" applyFont="1" applyFill="1" applyBorder="1" applyAlignment="1">
      <alignment vertical="center" wrapText="1"/>
    </xf>
    <xf numFmtId="166" fontId="66" fillId="2" borderId="56" xfId="4" applyFont="1" applyFill="1" applyBorder="1" applyAlignment="1">
      <alignment horizontal="right" vertical="center" wrapText="1"/>
    </xf>
    <xf numFmtId="3" fontId="66" fillId="2" borderId="57" xfId="4" applyNumberFormat="1" applyFont="1" applyFill="1" applyBorder="1" applyAlignment="1">
      <alignment horizontal="center" vertical="center"/>
    </xf>
    <xf numFmtId="9" fontId="66" fillId="2" borderId="57" xfId="4" applyNumberFormat="1" applyFont="1" applyFill="1" applyBorder="1" applyAlignment="1">
      <alignment horizontal="center" vertical="center"/>
    </xf>
    <xf numFmtId="166" fontId="66" fillId="2" borderId="57" xfId="4" applyFont="1" applyFill="1" applyBorder="1" applyAlignment="1">
      <alignment horizontal="center" vertical="center"/>
    </xf>
    <xf numFmtId="166" fontId="65" fillId="2" borderId="58" xfId="4" applyFont="1" applyFill="1" applyBorder="1" applyAlignment="1">
      <alignment vertical="center" wrapText="1"/>
    </xf>
    <xf numFmtId="166" fontId="18" fillId="5" borderId="75" xfId="4" applyFont="1" applyFill="1" applyBorder="1" applyAlignment="1">
      <alignment vertical="center"/>
    </xf>
    <xf numFmtId="3" fontId="18" fillId="5" borderId="76" xfId="4" applyNumberFormat="1" applyFont="1" applyFill="1" applyBorder="1" applyAlignment="1">
      <alignment horizontal="center" vertical="center"/>
    </xf>
    <xf numFmtId="3" fontId="77" fillId="5" borderId="76" xfId="4" applyNumberFormat="1" applyFont="1" applyFill="1" applyBorder="1" applyAlignment="1">
      <alignment horizontal="center" vertical="center"/>
    </xf>
    <xf numFmtId="9" fontId="18" fillId="5" borderId="76" xfId="4" applyNumberFormat="1" applyFont="1" applyFill="1" applyBorder="1" applyAlignment="1">
      <alignment horizontal="center" vertical="center"/>
    </xf>
    <xf numFmtId="3" fontId="0" fillId="2" borderId="57" xfId="4" applyNumberFormat="1" applyFont="1" applyFill="1" applyBorder="1" applyAlignment="1">
      <alignment horizontal="center" vertical="center"/>
    </xf>
    <xf numFmtId="3" fontId="17" fillId="2" borderId="59" xfId="4" applyNumberFormat="1" applyFill="1" applyBorder="1" applyAlignment="1">
      <alignment horizontal="center" vertical="center"/>
    </xf>
    <xf numFmtId="3" fontId="45" fillId="2" borderId="59" xfId="4" applyNumberFormat="1" applyFont="1" applyFill="1" applyBorder="1" applyAlignment="1">
      <alignment horizontal="center" vertical="center"/>
    </xf>
    <xf numFmtId="3" fontId="46" fillId="2" borderId="59" xfId="4" applyNumberFormat="1" applyFont="1" applyFill="1" applyBorder="1" applyAlignment="1">
      <alignment horizontal="center" vertical="center"/>
    </xf>
    <xf numFmtId="9" fontId="0" fillId="2" borderId="59" xfId="4" applyNumberFormat="1" applyFont="1" applyFill="1" applyBorder="1" applyAlignment="1">
      <alignment horizontal="center" vertical="center"/>
    </xf>
    <xf numFmtId="166" fontId="17" fillId="2" borderId="63" xfId="4" applyFill="1" applyBorder="1" applyAlignment="1">
      <alignment vertical="center"/>
    </xf>
    <xf numFmtId="3" fontId="66" fillId="2" borderId="83" xfId="4" applyNumberFormat="1" applyFont="1" applyFill="1" applyBorder="1" applyAlignment="1">
      <alignment horizontal="center" vertical="center"/>
    </xf>
    <xf numFmtId="9" fontId="66" fillId="2" borderId="83" xfId="4" applyNumberFormat="1" applyFont="1" applyFill="1" applyBorder="1" applyAlignment="1">
      <alignment horizontal="center" vertical="center"/>
    </xf>
    <xf numFmtId="166" fontId="66" fillId="2" borderId="83" xfId="4" applyFont="1" applyFill="1" applyBorder="1" applyAlignment="1">
      <alignment horizontal="center" vertical="center"/>
    </xf>
    <xf numFmtId="166" fontId="17" fillId="2" borderId="143" xfId="4" applyFill="1" applyBorder="1" applyAlignment="1">
      <alignment vertical="center"/>
    </xf>
    <xf numFmtId="166" fontId="17" fillId="2" borderId="144" xfId="4" applyFill="1" applyBorder="1" applyAlignment="1">
      <alignment vertical="center"/>
    </xf>
    <xf numFmtId="166" fontId="66" fillId="2" borderId="145" xfId="4" applyFont="1" applyFill="1" applyBorder="1" applyAlignment="1">
      <alignment horizontal="right" vertical="center" wrapText="1"/>
    </xf>
    <xf numFmtId="166" fontId="17" fillId="2" borderId="142" xfId="4" applyFill="1" applyBorder="1" applyAlignment="1">
      <alignment vertical="center"/>
    </xf>
    <xf numFmtId="166" fontId="17" fillId="2" borderId="58" xfId="4" applyFill="1" applyBorder="1" applyAlignment="1">
      <alignment vertical="center"/>
    </xf>
    <xf numFmtId="166" fontId="17" fillId="2" borderId="77" xfId="4" applyFill="1" applyBorder="1" applyAlignment="1">
      <alignment vertical="center"/>
    </xf>
    <xf numFmtId="166" fontId="18" fillId="5" borderId="51" xfId="4" applyFont="1" applyFill="1" applyBorder="1" applyAlignment="1">
      <alignment horizontal="center" vertical="center" wrapText="1"/>
    </xf>
    <xf numFmtId="9" fontId="18" fillId="5" borderId="77" xfId="4" applyNumberFormat="1" applyFont="1" applyFill="1" applyBorder="1" applyAlignment="1">
      <alignment horizontal="left" vertical="center" wrapText="1"/>
    </xf>
    <xf numFmtId="0" fontId="53" fillId="2" borderId="67" xfId="21" applyFont="1" applyFill="1" applyBorder="1" applyAlignment="1" applyProtection="1">
      <alignment horizontal="center" vertical="center" wrapText="1"/>
      <protection locked="0"/>
    </xf>
    <xf numFmtId="0" fontId="53" fillId="2" borderId="86" xfId="21" applyFont="1" applyFill="1" applyBorder="1" applyAlignment="1" applyProtection="1">
      <alignment horizontal="center" vertical="center" wrapText="1"/>
      <protection locked="0"/>
    </xf>
    <xf numFmtId="0" fontId="53" fillId="2" borderId="68" xfId="21" applyFont="1" applyFill="1" applyBorder="1" applyAlignment="1" applyProtection="1">
      <alignment horizontal="center" vertical="center" wrapText="1"/>
      <protection locked="0"/>
    </xf>
    <xf numFmtId="0" fontId="53" fillId="2" borderId="85" xfId="21" applyFont="1" applyFill="1" applyBorder="1" applyAlignment="1" applyProtection="1">
      <alignment horizontal="center" vertical="center" wrapText="1"/>
      <protection locked="0"/>
    </xf>
    <xf numFmtId="0" fontId="53" fillId="2" borderId="87" xfId="21" applyFont="1" applyFill="1" applyBorder="1" applyAlignment="1" applyProtection="1">
      <alignment horizontal="center" vertical="center" wrapText="1"/>
      <protection locked="0"/>
    </xf>
    <xf numFmtId="9" fontId="53" fillId="2" borderId="59" xfId="23" applyNumberFormat="1" applyFont="1" applyFill="1" applyBorder="1" applyAlignment="1" applyProtection="1">
      <alignment horizontal="center" vertical="center" wrapText="1"/>
      <protection locked="0"/>
    </xf>
    <xf numFmtId="0" fontId="0" fillId="0" borderId="0" xfId="0" applyNumberFormat="1"/>
    <xf numFmtId="0" fontId="53" fillId="2" borderId="59" xfId="49" applyFont="1" applyFill="1" applyBorder="1" applyAlignment="1" applyProtection="1">
      <alignment horizontal="center" vertical="center" wrapText="1"/>
      <protection locked="0"/>
    </xf>
    <xf numFmtId="0" fontId="53" fillId="2" borderId="56" xfId="49" applyFont="1" applyFill="1" applyBorder="1" applyAlignment="1" applyProtection="1">
      <alignment horizontal="center" vertical="center" wrapText="1"/>
      <protection locked="0"/>
    </xf>
    <xf numFmtId="9" fontId="53" fillId="2" borderId="61" xfId="49" applyNumberFormat="1" applyFont="1" applyFill="1" applyBorder="1" applyAlignment="1" applyProtection="1">
      <alignment horizontal="center" vertical="center" wrapText="1"/>
      <protection locked="0"/>
    </xf>
    <xf numFmtId="9" fontId="53" fillId="2" borderId="59" xfId="49" applyNumberFormat="1" applyFont="1" applyFill="1" applyBorder="1" applyAlignment="1" applyProtection="1">
      <alignment horizontal="center" vertical="center" wrapText="1"/>
      <protection locked="0"/>
    </xf>
    <xf numFmtId="0" fontId="53" fillId="2" borderId="61" xfId="49" applyFont="1" applyFill="1" applyBorder="1" applyAlignment="1" applyProtection="1">
      <alignment horizontal="center" vertical="center" wrapText="1"/>
      <protection locked="0"/>
    </xf>
    <xf numFmtId="0" fontId="53" fillId="2" borderId="57" xfId="49" applyFont="1" applyFill="1" applyBorder="1" applyAlignment="1" applyProtection="1">
      <alignment horizontal="center" vertical="center" wrapText="1"/>
      <protection locked="0"/>
    </xf>
    <xf numFmtId="0" fontId="53" fillId="2" borderId="60" xfId="49" applyFont="1" applyFill="1" applyBorder="1" applyAlignment="1" applyProtection="1">
      <alignment horizontal="center" vertical="center" wrapText="1"/>
      <protection locked="0"/>
    </xf>
    <xf numFmtId="0" fontId="53" fillId="2" borderId="62" xfId="49" applyFont="1" applyFill="1" applyBorder="1" applyAlignment="1" applyProtection="1">
      <alignment horizontal="center" vertical="center" wrapText="1"/>
      <protection locked="0"/>
    </xf>
    <xf numFmtId="3" fontId="53" fillId="6" borderId="56" xfId="49" applyNumberFormat="1" applyFont="1" applyFill="1" applyBorder="1" applyAlignment="1" applyProtection="1">
      <alignment horizontal="center" vertical="center" wrapText="1"/>
      <protection locked="0"/>
    </xf>
    <xf numFmtId="9" fontId="53" fillId="2" borderId="57" xfId="49" applyNumberFormat="1" applyFont="1" applyFill="1" applyBorder="1" applyAlignment="1" applyProtection="1">
      <alignment horizontal="center" vertical="center" wrapText="1"/>
      <protection locked="0"/>
    </xf>
    <xf numFmtId="9" fontId="53" fillId="2" borderId="60" xfId="49" applyNumberFormat="1" applyFont="1" applyFill="1" applyBorder="1" applyAlignment="1" applyProtection="1">
      <alignment horizontal="center" vertical="center" wrapText="1"/>
      <protection locked="0"/>
    </xf>
    <xf numFmtId="14" fontId="53" fillId="2" borderId="67" xfId="49" applyNumberFormat="1" applyFont="1" applyFill="1" applyBorder="1" applyAlignment="1" applyProtection="1">
      <alignment horizontal="center" vertical="center" wrapText="1"/>
      <protection locked="0"/>
    </xf>
    <xf numFmtId="14" fontId="53" fillId="2" borderId="68" xfId="49" applyNumberFormat="1" applyFont="1" applyFill="1" applyBorder="1" applyAlignment="1" applyProtection="1">
      <alignment horizontal="center" vertical="center" wrapText="1"/>
      <protection locked="0"/>
    </xf>
    <xf numFmtId="0" fontId="53" fillId="2" borderId="69" xfId="49" applyFont="1" applyFill="1" applyBorder="1" applyAlignment="1" applyProtection="1">
      <alignment horizontal="center" vertical="center" wrapText="1"/>
      <protection locked="0"/>
    </xf>
    <xf numFmtId="0" fontId="53" fillId="2" borderId="59" xfId="49" applyFont="1" applyFill="1" applyBorder="1" applyAlignment="1" applyProtection="1">
      <alignment horizontal="left" vertical="center" wrapText="1"/>
      <protection locked="0"/>
    </xf>
    <xf numFmtId="9" fontId="53" fillId="2" borderId="57" xfId="52" applyNumberFormat="1" applyFont="1" applyFill="1" applyBorder="1" applyAlignment="1" applyProtection="1">
      <alignment horizontal="center" vertical="center" wrapText="1"/>
      <protection locked="0"/>
    </xf>
    <xf numFmtId="9" fontId="53" fillId="2" borderId="59" xfId="52" applyNumberFormat="1" applyFont="1" applyFill="1" applyBorder="1" applyAlignment="1" applyProtection="1">
      <alignment horizontal="center" vertical="center" wrapText="1"/>
      <protection locked="0"/>
    </xf>
    <xf numFmtId="0" fontId="59" fillId="6" borderId="56" xfId="52" applyFont="1" applyFill="1" applyBorder="1" applyAlignment="1" applyProtection="1">
      <alignment horizontal="left" vertical="center" wrapText="1"/>
      <protection locked="0"/>
    </xf>
    <xf numFmtId="0" fontId="53" fillId="2" borderId="62" xfId="52" applyFont="1" applyFill="1" applyBorder="1" applyAlignment="1" applyProtection="1">
      <alignment horizontal="center" vertical="center" wrapText="1"/>
      <protection locked="0"/>
    </xf>
    <xf numFmtId="0" fontId="53" fillId="2" borderId="63" xfId="52" applyFont="1" applyFill="1" applyBorder="1" applyAlignment="1" applyProtection="1">
      <alignment horizontal="center" vertical="center" wrapText="1"/>
      <protection locked="0"/>
    </xf>
    <xf numFmtId="9" fontId="53" fillId="2" borderId="57" xfId="52" applyNumberFormat="1" applyFont="1" applyFill="1" applyBorder="1" applyAlignment="1" applyProtection="1">
      <alignment horizontal="center" vertical="center" wrapText="1"/>
      <protection locked="0"/>
    </xf>
    <xf numFmtId="9" fontId="53" fillId="2" borderId="60" xfId="52" applyNumberFormat="1" applyFont="1" applyFill="1" applyBorder="1" applyAlignment="1" applyProtection="1">
      <alignment horizontal="center" vertical="center" wrapText="1"/>
      <protection locked="0"/>
    </xf>
    <xf numFmtId="9" fontId="53" fillId="2" borderId="61" xfId="52" applyNumberFormat="1" applyFont="1" applyFill="1" applyBorder="1" applyAlignment="1" applyProtection="1">
      <alignment horizontal="center" vertical="center" wrapText="1"/>
      <protection locked="0"/>
    </xf>
    <xf numFmtId="9" fontId="53" fillId="2" borderId="59" xfId="52" applyNumberFormat="1" applyFont="1" applyFill="1" applyBorder="1" applyAlignment="1" applyProtection="1">
      <alignment horizontal="center" vertical="center" wrapText="1"/>
      <protection locked="0"/>
    </xf>
    <xf numFmtId="0" fontId="53" fillId="2" borderId="57" xfId="52" applyFont="1" applyFill="1" applyBorder="1" applyAlignment="1" applyProtection="1">
      <alignment horizontal="center" vertical="center" wrapText="1"/>
      <protection locked="0"/>
    </xf>
    <xf numFmtId="0" fontId="53" fillId="2" borderId="59" xfId="52" applyFont="1" applyFill="1" applyBorder="1" applyAlignment="1" applyProtection="1">
      <alignment horizontal="center" vertical="center" wrapText="1"/>
      <protection locked="0"/>
    </xf>
    <xf numFmtId="3" fontId="53" fillId="6" borderId="56" xfId="52" applyNumberFormat="1" applyFont="1" applyFill="1" applyBorder="1" applyAlignment="1" applyProtection="1">
      <alignment horizontal="center" vertical="center" wrapText="1"/>
      <protection locked="0"/>
    </xf>
    <xf numFmtId="0" fontId="53" fillId="6" borderId="57" xfId="52" applyFont="1" applyFill="1" applyBorder="1" applyAlignment="1" applyProtection="1">
      <alignment horizontal="center" vertical="center" wrapText="1"/>
      <protection locked="0"/>
    </xf>
    <xf numFmtId="0" fontId="59" fillId="6" borderId="57" xfId="52" applyFont="1" applyFill="1" applyBorder="1" applyAlignment="1" applyProtection="1">
      <alignment horizontal="center" vertical="center" wrapText="1"/>
      <protection locked="0"/>
    </xf>
    <xf numFmtId="0" fontId="53" fillId="2" borderId="61" xfId="52" applyFont="1" applyFill="1" applyBorder="1" applyAlignment="1" applyProtection="1">
      <alignment horizontal="center" vertical="center" wrapText="1"/>
      <protection locked="0"/>
    </xf>
    <xf numFmtId="0" fontId="53" fillId="2" borderId="60" xfId="52" applyFont="1" applyFill="1" applyBorder="1" applyAlignment="1" applyProtection="1">
      <alignment horizontal="center" vertical="center" wrapText="1"/>
      <protection locked="0"/>
    </xf>
    <xf numFmtId="14" fontId="53" fillId="2" borderId="67" xfId="52" applyNumberFormat="1" applyFont="1" applyFill="1" applyBorder="1" applyAlignment="1" applyProtection="1">
      <alignment horizontal="center" vertical="center" wrapText="1"/>
      <protection locked="0"/>
    </xf>
    <xf numFmtId="14" fontId="53" fillId="2" borderId="68" xfId="52" applyNumberFormat="1" applyFont="1" applyFill="1" applyBorder="1" applyAlignment="1" applyProtection="1">
      <alignment horizontal="center" vertical="center" wrapText="1"/>
      <protection locked="0"/>
    </xf>
    <xf numFmtId="0" fontId="53" fillId="2" borderId="59" xfId="52" applyFont="1" applyFill="1" applyBorder="1" applyAlignment="1" applyProtection="1">
      <alignment horizontal="left" vertical="center" wrapText="1"/>
      <protection locked="0"/>
    </xf>
    <xf numFmtId="0" fontId="74" fillId="0" borderId="133" xfId="0" applyFont="1" applyFill="1" applyBorder="1" applyAlignment="1" applyProtection="1">
      <alignment horizontal="center" vertical="center" wrapText="1"/>
    </xf>
    <xf numFmtId="0" fontId="74" fillId="0" borderId="134" xfId="0" applyFont="1" applyFill="1" applyBorder="1" applyAlignment="1" applyProtection="1">
      <alignment horizontal="center" vertical="center" wrapText="1"/>
    </xf>
    <xf numFmtId="0" fontId="48" fillId="0" borderId="84" xfId="0" applyFont="1" applyFill="1" applyBorder="1" applyAlignment="1" applyProtection="1">
      <alignment horizontal="center" vertical="center" wrapText="1"/>
      <protection locked="0"/>
    </xf>
    <xf numFmtId="0" fontId="48" fillId="0" borderId="122" xfId="0" applyFont="1" applyFill="1" applyBorder="1" applyAlignment="1">
      <alignment horizontal="center" vertical="center" wrapText="1"/>
    </xf>
    <xf numFmtId="0" fontId="74" fillId="0" borderId="130" xfId="0" applyFont="1" applyFill="1" applyBorder="1" applyAlignment="1" applyProtection="1">
      <alignment horizontal="center" vertical="center" wrapText="1"/>
      <protection locked="0"/>
    </xf>
    <xf numFmtId="3" fontId="26" fillId="13" borderId="132" xfId="0" applyNumberFormat="1" applyFont="1" applyFill="1" applyBorder="1" applyAlignment="1" applyProtection="1">
      <alignment horizontal="center" vertical="center" wrapText="1"/>
      <protection locked="0"/>
    </xf>
    <xf numFmtId="3" fontId="26" fillId="3" borderId="134" xfId="0" applyNumberFormat="1" applyFont="1" applyFill="1" applyBorder="1" applyAlignment="1" applyProtection="1">
      <alignment horizontal="center" vertical="center" wrapText="1"/>
    </xf>
    <xf numFmtId="0" fontId="26" fillId="5" borderId="84" xfId="0" applyFont="1" applyFill="1" applyBorder="1" applyAlignment="1" applyProtection="1">
      <alignment horizontal="center" vertical="center" wrapText="1"/>
      <protection locked="0"/>
    </xf>
    <xf numFmtId="9" fontId="48" fillId="0" borderId="125" xfId="0" applyNumberFormat="1" applyFont="1" applyFill="1" applyBorder="1" applyAlignment="1">
      <alignment horizontal="center" vertical="center"/>
    </xf>
    <xf numFmtId="9" fontId="48" fillId="0" borderId="124" xfId="0" applyNumberFormat="1" applyFont="1" applyFill="1" applyBorder="1" applyAlignment="1">
      <alignment horizontal="center" vertical="center"/>
    </xf>
    <xf numFmtId="168" fontId="48" fillId="0" borderId="125" xfId="0" applyNumberFormat="1" applyFont="1" applyFill="1" applyBorder="1" applyAlignment="1">
      <alignment horizontal="center" vertical="center"/>
    </xf>
    <xf numFmtId="14" fontId="60" fillId="0" borderId="68" xfId="21" applyNumberFormat="1" applyFont="1" applyFill="1" applyBorder="1" applyAlignment="1" applyProtection="1">
      <alignment horizontal="center" vertical="center" wrapText="1"/>
      <protection locked="0"/>
    </xf>
    <xf numFmtId="0" fontId="60" fillId="0" borderId="69" xfId="21" applyFont="1" applyFill="1" applyBorder="1" applyAlignment="1" applyProtection="1">
      <alignment horizontal="center" vertical="center" wrapText="1"/>
      <protection locked="0"/>
    </xf>
    <xf numFmtId="14" fontId="60" fillId="0" borderId="67" xfId="21" applyNumberFormat="1" applyFont="1" applyFill="1" applyBorder="1" applyAlignment="1" applyProtection="1">
      <alignment horizontal="center" vertical="center" wrapText="1"/>
      <protection locked="0"/>
    </xf>
    <xf numFmtId="14" fontId="53" fillId="0" borderId="57" xfId="21" applyNumberFormat="1" applyFont="1" applyFill="1" applyBorder="1" applyAlignment="1" applyProtection="1">
      <alignment horizontal="center" vertical="center" wrapText="1"/>
      <protection locked="0"/>
    </xf>
    <xf numFmtId="9" fontId="53" fillId="0" borderId="57" xfId="21" applyNumberFormat="1" applyFont="1" applyFill="1" applyBorder="1" applyAlignment="1" applyProtection="1">
      <alignment horizontal="center" vertical="center" wrapText="1"/>
      <protection locked="0"/>
    </xf>
    <xf numFmtId="9" fontId="53" fillId="0" borderId="59" xfId="21" applyNumberFormat="1" applyFont="1" applyFill="1" applyBorder="1" applyAlignment="1" applyProtection="1">
      <alignment horizontal="center" vertical="center" wrapText="1"/>
      <protection locked="0"/>
    </xf>
    <xf numFmtId="0" fontId="53" fillId="0" borderId="57" xfId="21" applyFont="1" applyFill="1" applyBorder="1" applyAlignment="1" applyProtection="1">
      <alignment horizontal="center" vertical="center" wrapText="1"/>
      <protection locked="0"/>
    </xf>
    <xf numFmtId="0" fontId="53" fillId="0" borderId="91" xfId="21" applyFont="1" applyFill="1" applyBorder="1" applyAlignment="1" applyProtection="1">
      <alignment horizontal="center" vertical="center" wrapText="1"/>
      <protection locked="0"/>
    </xf>
    <xf numFmtId="9" fontId="53" fillId="0" borderId="91" xfId="21" applyNumberFormat="1" applyFont="1" applyFill="1" applyBorder="1" applyAlignment="1" applyProtection="1">
      <alignment horizontal="center" vertical="center" wrapText="1"/>
      <protection locked="0"/>
    </xf>
    <xf numFmtId="9" fontId="53" fillId="0" borderId="93" xfId="21" applyNumberFormat="1" applyFont="1" applyFill="1" applyBorder="1" applyAlignment="1" applyProtection="1">
      <alignment horizontal="center" vertical="center" wrapText="1"/>
      <protection locked="0"/>
    </xf>
    <xf numFmtId="0" fontId="53" fillId="0" borderId="45" xfId="21" applyFont="1" applyFill="1" applyBorder="1" applyAlignment="1" applyProtection="1">
      <alignment horizontal="center" vertical="center" wrapText="1"/>
      <protection locked="0"/>
    </xf>
    <xf numFmtId="9" fontId="53" fillId="0" borderId="45" xfId="21" applyNumberFormat="1" applyFont="1" applyFill="1" applyBorder="1" applyAlignment="1" applyProtection="1">
      <alignment horizontal="center" vertical="center" wrapText="1"/>
      <protection locked="0"/>
    </xf>
    <xf numFmtId="9" fontId="53" fillId="0" borderId="46" xfId="21" applyNumberFormat="1" applyFont="1" applyFill="1" applyBorder="1" applyAlignment="1" applyProtection="1">
      <alignment horizontal="center" vertical="center" wrapText="1"/>
      <protection locked="0"/>
    </xf>
    <xf numFmtId="0" fontId="53" fillId="0" borderId="76" xfId="21" applyFont="1" applyFill="1" applyBorder="1" applyAlignment="1" applyProtection="1">
      <alignment horizontal="center" vertical="center" wrapText="1"/>
      <protection locked="0"/>
    </xf>
    <xf numFmtId="9" fontId="53" fillId="0" borderId="76" xfId="21" applyNumberFormat="1" applyFont="1" applyFill="1" applyBorder="1" applyAlignment="1" applyProtection="1">
      <alignment horizontal="center" vertical="center" wrapText="1"/>
      <protection locked="0"/>
    </xf>
    <xf numFmtId="9" fontId="53" fillId="0" borderId="78" xfId="21" applyNumberFormat="1" applyFont="1" applyFill="1" applyBorder="1" applyAlignment="1" applyProtection="1">
      <alignment horizontal="center" vertical="center" wrapText="1"/>
      <protection locked="0"/>
    </xf>
    <xf numFmtId="0" fontId="25" fillId="2" borderId="0" xfId="0" applyFont="1" applyFill="1" applyBorder="1" applyAlignment="1" applyProtection="1">
      <alignment horizontal="center" vertical="center"/>
      <protection locked="0"/>
    </xf>
    <xf numFmtId="0" fontId="19" fillId="14" borderId="0" xfId="0" applyFont="1" applyFill="1" applyBorder="1" applyAlignment="1" applyProtection="1">
      <alignment horizontal="center"/>
      <protection locked="0"/>
    </xf>
    <xf numFmtId="0" fontId="29" fillId="14" borderId="47" xfId="0" applyFont="1" applyFill="1" applyBorder="1" applyAlignment="1" applyProtection="1">
      <alignment horizontal="center" vertical="center" wrapText="1"/>
    </xf>
    <xf numFmtId="0" fontId="48" fillId="14" borderId="125" xfId="0" applyFont="1" applyFill="1" applyBorder="1" applyAlignment="1">
      <alignment horizontal="center" vertical="center"/>
    </xf>
    <xf numFmtId="0" fontId="48" fillId="14" borderId="126" xfId="0" applyFont="1" applyFill="1" applyBorder="1" applyAlignment="1">
      <alignment horizontal="center" vertical="center"/>
    </xf>
    <xf numFmtId="0" fontId="74" fillId="14" borderId="126" xfId="0" applyFont="1" applyFill="1" applyBorder="1" applyAlignment="1" applyProtection="1">
      <alignment horizontal="center" vertical="center" wrapText="1"/>
      <protection locked="0"/>
    </xf>
    <xf numFmtId="0" fontId="80" fillId="0" borderId="35" xfId="0" pivotButton="1" applyFont="1" applyBorder="1" applyAlignment="1">
      <alignment wrapText="1"/>
    </xf>
    <xf numFmtId="0" fontId="80" fillId="0" borderId="35" xfId="0" applyFont="1" applyBorder="1" applyAlignment="1">
      <alignment horizontal="center" vertical="center"/>
    </xf>
    <xf numFmtId="0" fontId="80" fillId="0" borderId="30" xfId="0" applyFont="1" applyBorder="1"/>
    <xf numFmtId="0" fontId="80" fillId="0" borderId="30" xfId="0" pivotButton="1" applyFont="1" applyBorder="1"/>
    <xf numFmtId="0" fontId="80" fillId="0" borderId="31" xfId="0" applyFont="1" applyBorder="1"/>
    <xf numFmtId="0" fontId="80" fillId="0" borderId="32" xfId="0" applyFont="1" applyBorder="1"/>
    <xf numFmtId="0" fontId="80" fillId="0" borderId="30" xfId="0" pivotButton="1" applyFont="1" applyBorder="1" applyAlignment="1">
      <alignment wrapText="1"/>
    </xf>
    <xf numFmtId="0" fontId="80" fillId="0" borderId="33" xfId="0" applyFont="1" applyBorder="1"/>
    <xf numFmtId="0" fontId="80" fillId="0" borderId="36" xfId="0" applyFont="1" applyBorder="1"/>
    <xf numFmtId="1" fontId="80" fillId="0" borderId="30" xfId="0" applyNumberFormat="1" applyFont="1" applyBorder="1" applyAlignment="1">
      <alignment horizontal="center" vertical="center"/>
    </xf>
    <xf numFmtId="1" fontId="80" fillId="0" borderId="33" xfId="0" applyNumberFormat="1" applyFont="1" applyBorder="1" applyAlignment="1">
      <alignment horizontal="center" vertical="center"/>
    </xf>
    <xf numFmtId="1" fontId="80" fillId="0" borderId="36" xfId="0" applyNumberFormat="1" applyFont="1" applyBorder="1" applyAlignment="1">
      <alignment horizontal="center" vertical="center"/>
    </xf>
    <xf numFmtId="0" fontId="80" fillId="0" borderId="34" xfId="0" applyFont="1" applyBorder="1"/>
    <xf numFmtId="1" fontId="80" fillId="0" borderId="34" xfId="0" applyNumberFormat="1" applyFont="1" applyBorder="1" applyAlignment="1">
      <alignment horizontal="center" vertical="center"/>
    </xf>
    <xf numFmtId="1" fontId="80" fillId="0" borderId="0" xfId="0" applyNumberFormat="1" applyFont="1" applyAlignment="1">
      <alignment horizontal="center" vertical="center"/>
    </xf>
    <xf numFmtId="1" fontId="80" fillId="0" borderId="37" xfId="0" applyNumberFormat="1" applyFont="1" applyBorder="1" applyAlignment="1">
      <alignment horizontal="center" vertical="center"/>
    </xf>
    <xf numFmtId="0" fontId="80" fillId="0" borderId="41" xfId="0" applyFont="1" applyBorder="1"/>
    <xf numFmtId="1" fontId="80" fillId="0" borderId="41" xfId="0" applyNumberFormat="1" applyFont="1" applyBorder="1" applyAlignment="1">
      <alignment horizontal="center" vertical="center"/>
    </xf>
    <xf numFmtId="1" fontId="80" fillId="0" borderId="43" xfId="0" applyNumberFormat="1" applyFont="1" applyBorder="1" applyAlignment="1">
      <alignment horizontal="center" vertical="center"/>
    </xf>
    <xf numFmtId="1" fontId="80" fillId="0" borderId="42" xfId="0" applyNumberFormat="1" applyFont="1" applyBorder="1" applyAlignment="1">
      <alignment horizontal="center" vertical="center"/>
    </xf>
    <xf numFmtId="0" fontId="80" fillId="0" borderId="35" xfId="0" pivotButton="1" applyFont="1" applyBorder="1"/>
    <xf numFmtId="0" fontId="80" fillId="0" borderId="35" xfId="0" applyFont="1" applyBorder="1"/>
    <xf numFmtId="0" fontId="80" fillId="0" borderId="30" xfId="0" applyFont="1" applyBorder="1" applyAlignment="1">
      <alignment wrapText="1"/>
    </xf>
    <xf numFmtId="9" fontId="80" fillId="0" borderId="36" xfId="0" applyNumberFormat="1" applyFont="1" applyBorder="1" applyAlignment="1">
      <alignment horizontal="center" vertical="center"/>
    </xf>
    <xf numFmtId="0" fontId="80" fillId="0" borderId="41" xfId="0" applyFont="1" applyBorder="1" applyAlignment="1">
      <alignment wrapText="1"/>
    </xf>
    <xf numFmtId="9" fontId="80" fillId="0" borderId="42" xfId="0" applyNumberFormat="1" applyFont="1" applyBorder="1" applyAlignment="1">
      <alignment horizontal="center" vertical="center"/>
    </xf>
    <xf numFmtId="0" fontId="80" fillId="0" borderId="31" xfId="0" applyFont="1" applyBorder="1" applyAlignment="1">
      <alignment horizontal="center" vertical="center"/>
    </xf>
    <xf numFmtId="0" fontId="80" fillId="0" borderId="32" xfId="0" applyFont="1" applyBorder="1" applyAlignment="1">
      <alignment horizontal="center" vertical="center"/>
    </xf>
    <xf numFmtId="3" fontId="80" fillId="0" borderId="30" xfId="0" applyNumberFormat="1" applyFont="1" applyBorder="1" applyAlignment="1">
      <alignment horizontal="center" vertical="center"/>
    </xf>
    <xf numFmtId="3" fontId="80" fillId="0" borderId="33" xfId="0" applyNumberFormat="1" applyFont="1" applyBorder="1" applyAlignment="1">
      <alignment horizontal="center" vertical="center"/>
    </xf>
    <xf numFmtId="3" fontId="80" fillId="0" borderId="36" xfId="0" applyNumberFormat="1" applyFont="1" applyBorder="1" applyAlignment="1">
      <alignment horizontal="center" vertical="center"/>
    </xf>
    <xf numFmtId="3" fontId="80" fillId="0" borderId="34" xfId="0" applyNumberFormat="1" applyFont="1" applyBorder="1" applyAlignment="1">
      <alignment horizontal="center" vertical="center"/>
    </xf>
    <xf numFmtId="3" fontId="80" fillId="0" borderId="0" xfId="0" applyNumberFormat="1" applyFont="1" applyAlignment="1">
      <alignment horizontal="center" vertical="center"/>
    </xf>
    <xf numFmtId="3" fontId="80" fillId="0" borderId="37" xfId="0" applyNumberFormat="1" applyFont="1" applyBorder="1" applyAlignment="1">
      <alignment horizontal="center" vertical="center"/>
    </xf>
    <xf numFmtId="3" fontId="80" fillId="0" borderId="41" xfId="0" applyNumberFormat="1" applyFont="1" applyBorder="1" applyAlignment="1">
      <alignment horizontal="center" vertical="center"/>
    </xf>
    <xf numFmtId="3" fontId="80" fillId="0" borderId="43" xfId="0" applyNumberFormat="1" applyFont="1" applyBorder="1" applyAlignment="1">
      <alignment horizontal="center" vertical="center"/>
    </xf>
    <xf numFmtId="3" fontId="80" fillId="0" borderId="42" xfId="0" applyNumberFormat="1" applyFont="1" applyBorder="1" applyAlignment="1">
      <alignment horizontal="center" vertical="center"/>
    </xf>
    <xf numFmtId="9" fontId="80" fillId="0" borderId="37" xfId="0" applyNumberFormat="1" applyFont="1" applyBorder="1" applyAlignment="1">
      <alignment horizontal="center" vertical="center"/>
    </xf>
    <xf numFmtId="0" fontId="80" fillId="0" borderId="36" xfId="0" applyFont="1" applyBorder="1" applyAlignment="1">
      <alignment horizontal="center" vertical="center"/>
    </xf>
    <xf numFmtId="0" fontId="80" fillId="0" borderId="38" xfId="0" applyFont="1" applyBorder="1" applyAlignment="1">
      <alignment wrapText="1"/>
    </xf>
    <xf numFmtId="3" fontId="80" fillId="0" borderId="35" xfId="0" applyNumberFormat="1" applyFont="1" applyBorder="1" applyAlignment="1">
      <alignment horizontal="center" vertical="center"/>
    </xf>
    <xf numFmtId="0" fontId="80" fillId="0" borderId="34" xfId="0" applyFont="1" applyBorder="1" applyAlignment="1">
      <alignment wrapText="1"/>
    </xf>
    <xf numFmtId="3" fontId="26" fillId="3" borderId="122" xfId="0" applyNumberFormat="1" applyFont="1" applyFill="1" applyBorder="1" applyAlignment="1" applyProtection="1">
      <alignment horizontal="center" vertical="center" wrapText="1"/>
      <protection locked="0"/>
    </xf>
    <xf numFmtId="0" fontId="24" fillId="5" borderId="147" xfId="0" applyFont="1" applyFill="1" applyBorder="1" applyAlignment="1" applyProtection="1">
      <alignment horizontal="center" vertical="center"/>
      <protection locked="0"/>
    </xf>
    <xf numFmtId="0" fontId="21" fillId="7" borderId="148" xfId="0" applyFont="1" applyFill="1" applyBorder="1" applyAlignment="1" applyProtection="1">
      <alignment horizontal="center" vertical="center" wrapText="1"/>
    </xf>
    <xf numFmtId="165" fontId="72" fillId="5" borderId="149" xfId="1" applyNumberFormat="1" applyFont="1" applyFill="1" applyBorder="1" applyAlignment="1" applyProtection="1">
      <alignment horizontal="center" vertical="center"/>
      <protection locked="0"/>
    </xf>
    <xf numFmtId="9" fontId="48" fillId="0" borderId="127" xfId="0" applyNumberFormat="1" applyFont="1" applyFill="1" applyBorder="1" applyAlignment="1">
      <alignment horizontal="center" vertical="center"/>
    </xf>
    <xf numFmtId="9" fontId="74" fillId="0" borderId="21" xfId="0" applyNumberFormat="1" applyFont="1" applyFill="1" applyBorder="1" applyAlignment="1" applyProtection="1">
      <alignment horizontal="center" vertical="center" wrapText="1"/>
      <protection locked="0"/>
    </xf>
    <xf numFmtId="9" fontId="48" fillId="0" borderId="21" xfId="0" applyNumberFormat="1" applyFont="1" applyFill="1" applyBorder="1" applyAlignment="1">
      <alignment horizontal="center" vertical="center"/>
    </xf>
    <xf numFmtId="0" fontId="21" fillId="7" borderId="102" xfId="0" applyFont="1" applyFill="1" applyBorder="1" applyAlignment="1" applyProtection="1">
      <alignment horizontal="center" vertical="center" wrapText="1"/>
    </xf>
    <xf numFmtId="0" fontId="48" fillId="0" borderId="133" xfId="0" applyFont="1" applyFill="1" applyBorder="1" applyAlignment="1">
      <alignment horizontal="center" vertical="center"/>
    </xf>
    <xf numFmtId="0" fontId="74" fillId="0" borderId="134" xfId="0" applyFont="1" applyFill="1" applyBorder="1" applyAlignment="1" applyProtection="1">
      <alignment horizontal="center" vertical="center" wrapText="1"/>
      <protection locked="0"/>
    </xf>
    <xf numFmtId="0" fontId="48" fillId="0" borderId="134" xfId="0" applyFont="1" applyFill="1" applyBorder="1" applyAlignment="1">
      <alignment horizontal="center" vertical="center"/>
    </xf>
    <xf numFmtId="168" fontId="48" fillId="0" borderId="150" xfId="0" applyNumberFormat="1" applyFont="1" applyFill="1" applyBorder="1" applyAlignment="1">
      <alignment horizontal="center" vertical="center"/>
    </xf>
    <xf numFmtId="168" fontId="74" fillId="0" borderId="151" xfId="0" applyNumberFormat="1" applyFont="1" applyFill="1" applyBorder="1" applyAlignment="1" applyProtection="1">
      <alignment horizontal="center" vertical="center" wrapText="1"/>
      <protection locked="0"/>
    </xf>
    <xf numFmtId="168" fontId="48" fillId="0" borderId="151" xfId="0" applyNumberFormat="1" applyFont="1" applyFill="1" applyBorder="1" applyAlignment="1">
      <alignment horizontal="center" vertical="center"/>
    </xf>
    <xf numFmtId="9" fontId="48" fillId="0" borderId="150" xfId="0" applyNumberFormat="1" applyFont="1" applyFill="1" applyBorder="1" applyAlignment="1">
      <alignment horizontal="center" vertical="center"/>
    </xf>
    <xf numFmtId="9" fontId="74" fillId="0" borderId="151" xfId="0" applyNumberFormat="1" applyFont="1" applyFill="1" applyBorder="1" applyAlignment="1" applyProtection="1">
      <alignment horizontal="center" vertical="center" wrapText="1"/>
      <protection locked="0"/>
    </xf>
    <xf numFmtId="9" fontId="48" fillId="0" borderId="151" xfId="0" applyNumberFormat="1" applyFont="1" applyFill="1" applyBorder="1" applyAlignment="1">
      <alignment horizontal="center" vertical="center"/>
    </xf>
    <xf numFmtId="0" fontId="27" fillId="6" borderId="18" xfId="0" applyFont="1" applyFill="1" applyBorder="1" applyAlignment="1">
      <alignment horizontal="center" vertical="center"/>
    </xf>
    <xf numFmtId="0" fontId="27" fillId="6" borderId="19" xfId="0" applyFont="1" applyFill="1" applyBorder="1" applyAlignment="1">
      <alignment horizontal="center" vertical="center"/>
    </xf>
    <xf numFmtId="0" fontId="27" fillId="6" borderId="20" xfId="0" applyFont="1" applyFill="1" applyBorder="1" applyAlignment="1">
      <alignment horizontal="center" vertical="center"/>
    </xf>
    <xf numFmtId="0" fontId="30" fillId="6" borderId="2" xfId="0" applyFont="1" applyFill="1" applyBorder="1" applyAlignment="1">
      <alignment horizontal="center" vertical="center" wrapText="1"/>
    </xf>
    <xf numFmtId="0" fontId="30" fillId="6" borderId="5" xfId="0" applyFont="1" applyFill="1" applyBorder="1" applyAlignment="1">
      <alignment horizontal="center" vertical="center" wrapText="1"/>
    </xf>
    <xf numFmtId="0" fontId="30" fillId="6" borderId="1" xfId="0" applyFont="1" applyFill="1" applyBorder="1" applyAlignment="1">
      <alignment horizontal="center" vertical="center" wrapText="1"/>
    </xf>
    <xf numFmtId="0" fontId="31" fillId="5" borderId="27" xfId="0" applyFont="1" applyFill="1" applyBorder="1" applyAlignment="1">
      <alignment horizontal="left" vertical="center"/>
    </xf>
    <xf numFmtId="0" fontId="31" fillId="5" borderId="21" xfId="0" applyFont="1" applyFill="1" applyBorder="1" applyAlignment="1">
      <alignment horizontal="left" vertical="center"/>
    </xf>
    <xf numFmtId="0" fontId="31" fillId="5" borderId="22" xfId="0" applyFont="1" applyFill="1" applyBorder="1" applyAlignment="1">
      <alignment horizontal="left" vertical="center"/>
    </xf>
    <xf numFmtId="0" fontId="20" fillId="3" borderId="39" xfId="5" applyFont="1" applyFill="1" applyBorder="1" applyAlignment="1">
      <alignment horizontal="center" wrapText="1"/>
    </xf>
    <xf numFmtId="0" fontId="20" fillId="3" borderId="40" xfId="5" applyFont="1" applyFill="1" applyBorder="1" applyAlignment="1">
      <alignment horizontal="center" wrapText="1"/>
    </xf>
    <xf numFmtId="0" fontId="27" fillId="6" borderId="27" xfId="5" applyFont="1" applyFill="1" applyBorder="1" applyAlignment="1">
      <alignment horizontal="center" vertical="center"/>
    </xf>
    <xf numFmtId="0" fontId="27" fillId="6" borderId="21" xfId="5" applyFont="1" applyFill="1" applyBorder="1" applyAlignment="1">
      <alignment horizontal="center" vertical="center"/>
    </xf>
    <xf numFmtId="0" fontId="27" fillId="6" borderId="28" xfId="5" applyFont="1" applyFill="1" applyBorder="1" applyAlignment="1">
      <alignment horizontal="center" vertical="center"/>
    </xf>
    <xf numFmtId="0" fontId="50" fillId="2" borderId="0" xfId="5" applyFont="1" applyFill="1" applyAlignment="1">
      <alignment horizontal="left" vertical="center" wrapText="1"/>
    </xf>
    <xf numFmtId="0" fontId="20" fillId="3" borderId="39" xfId="20" applyFont="1" applyFill="1" applyBorder="1" applyAlignment="1">
      <alignment horizontal="center" wrapText="1"/>
    </xf>
    <xf numFmtId="0" fontId="20" fillId="3" borderId="40" xfId="20" applyFont="1" applyFill="1" applyBorder="1" applyAlignment="1">
      <alignment horizontal="center" wrapText="1"/>
    </xf>
    <xf numFmtId="166" fontId="42" fillId="10" borderId="0" xfId="4" applyFont="1" applyFill="1" applyAlignment="1">
      <alignment horizontal="center" vertical="center"/>
    </xf>
    <xf numFmtId="166" fontId="18" fillId="5" borderId="125" xfId="4" applyFont="1" applyFill="1" applyBorder="1" applyAlignment="1">
      <alignment horizontal="center" vertical="center"/>
    </xf>
    <xf numFmtId="166" fontId="18" fillId="5" borderId="123" xfId="4" applyFont="1" applyFill="1" applyBorder="1" applyAlignment="1">
      <alignment horizontal="center" vertical="center"/>
    </xf>
    <xf numFmtId="166" fontId="43" fillId="2" borderId="0" xfId="4" applyFont="1" applyFill="1" applyAlignment="1">
      <alignment horizontal="left" vertical="center"/>
    </xf>
    <xf numFmtId="166" fontId="44" fillId="2" borderId="0" xfId="4" applyFont="1" applyFill="1" applyAlignment="1">
      <alignment horizontal="left" vertical="center"/>
    </xf>
    <xf numFmtId="166" fontId="38" fillId="5" borderId="146" xfId="4" applyFont="1" applyFill="1" applyBorder="1" applyAlignment="1">
      <alignment horizontal="center" vertical="center"/>
    </xf>
    <xf numFmtId="166" fontId="38" fillId="5" borderId="54" xfId="4" applyFont="1" applyFill="1" applyBorder="1" applyAlignment="1">
      <alignment horizontal="center" vertical="center"/>
    </xf>
    <xf numFmtId="0" fontId="20" fillId="3" borderId="104" xfId="0" applyFont="1" applyFill="1" applyBorder="1" applyAlignment="1" applyProtection="1">
      <alignment horizontal="center" vertical="center" wrapText="1"/>
      <protection locked="0"/>
    </xf>
    <xf numFmtId="0" fontId="20" fillId="3" borderId="8" xfId="0" applyFont="1" applyFill="1" applyBorder="1" applyAlignment="1" applyProtection="1">
      <alignment horizontal="center" vertical="center" wrapText="1"/>
      <protection locked="0"/>
    </xf>
    <xf numFmtId="0" fontId="20" fillId="3" borderId="6" xfId="0" applyFont="1" applyFill="1" applyBorder="1" applyAlignment="1" applyProtection="1">
      <alignment horizontal="center" vertical="center" wrapText="1"/>
      <protection locked="0"/>
    </xf>
    <xf numFmtId="0" fontId="20" fillId="3" borderId="24" xfId="0" applyFont="1" applyFill="1" applyBorder="1" applyAlignment="1" applyProtection="1">
      <alignment horizontal="center" vertical="center" wrapText="1"/>
      <protection locked="0"/>
    </xf>
    <xf numFmtId="2" fontId="28" fillId="6" borderId="23" xfId="0" applyNumberFormat="1" applyFont="1" applyFill="1" applyBorder="1" applyAlignment="1" applyProtection="1">
      <alignment horizontal="center" vertical="center"/>
      <protection locked="0"/>
    </xf>
    <xf numFmtId="2" fontId="28" fillId="6" borderId="10" xfId="0" applyNumberFormat="1" applyFont="1" applyFill="1" applyBorder="1" applyAlignment="1" applyProtection="1">
      <alignment horizontal="center" vertical="center"/>
      <protection locked="0"/>
    </xf>
    <xf numFmtId="2" fontId="71" fillId="6" borderId="10" xfId="0" applyNumberFormat="1" applyFont="1" applyFill="1" applyBorder="1" applyAlignment="1" applyProtection="1">
      <alignment horizontal="center" vertical="center"/>
      <protection locked="0"/>
    </xf>
    <xf numFmtId="2" fontId="71" fillId="6" borderId="11" xfId="0" applyNumberFormat="1" applyFont="1" applyFill="1" applyBorder="1" applyAlignment="1" applyProtection="1">
      <alignment horizontal="center" vertical="center"/>
      <protection locked="0"/>
    </xf>
    <xf numFmtId="0" fontId="24" fillId="5" borderId="4" xfId="0" applyFont="1" applyFill="1" applyBorder="1" applyAlignment="1" applyProtection="1">
      <alignment horizontal="center" vertical="center"/>
      <protection locked="0"/>
    </xf>
    <xf numFmtId="0" fontId="24" fillId="5" borderId="8" xfId="0" applyFont="1" applyFill="1" applyBorder="1" applyAlignment="1" applyProtection="1">
      <alignment horizontal="center" vertical="center"/>
      <protection locked="0"/>
    </xf>
    <xf numFmtId="0" fontId="24" fillId="5" borderId="3" xfId="0" applyFont="1" applyFill="1" applyBorder="1" applyAlignment="1" applyProtection="1">
      <alignment horizontal="center" vertical="center"/>
      <protection locked="0"/>
    </xf>
    <xf numFmtId="0" fontId="35" fillId="5" borderId="24" xfId="0" applyFont="1" applyFill="1" applyBorder="1" applyAlignment="1" applyProtection="1">
      <alignment horizontal="center" vertical="center"/>
      <protection locked="0"/>
    </xf>
    <xf numFmtId="0" fontId="35" fillId="5" borderId="8" xfId="0" applyFont="1" applyFill="1" applyBorder="1" applyAlignment="1" applyProtection="1">
      <alignment horizontal="center" vertical="center"/>
      <protection locked="0"/>
    </xf>
    <xf numFmtId="0" fontId="35" fillId="5" borderId="6" xfId="0" applyFont="1" applyFill="1" applyBorder="1" applyAlignment="1" applyProtection="1">
      <alignment horizontal="center" vertical="center"/>
      <protection locked="0"/>
    </xf>
    <xf numFmtId="0" fontId="20" fillId="4" borderId="24" xfId="0" applyFont="1" applyFill="1" applyBorder="1" applyAlignment="1" applyProtection="1">
      <alignment horizontal="center" vertical="center" wrapText="1"/>
      <protection locked="0"/>
    </xf>
    <xf numFmtId="0" fontId="20" fillId="4" borderId="104" xfId="0" applyFont="1" applyFill="1" applyBorder="1" applyAlignment="1" applyProtection="1">
      <alignment horizontal="center" vertical="center" wrapText="1"/>
      <protection locked="0"/>
    </xf>
    <xf numFmtId="0" fontId="20" fillId="4" borderId="6" xfId="0" applyFont="1" applyFill="1" applyBorder="1" applyAlignment="1" applyProtection="1">
      <alignment horizontal="center" vertical="center" wrapText="1"/>
      <protection locked="0"/>
    </xf>
    <xf numFmtId="0" fontId="20" fillId="6" borderId="24" xfId="0" applyFont="1" applyFill="1" applyBorder="1" applyAlignment="1" applyProtection="1">
      <alignment horizontal="center" vertical="center" wrapText="1"/>
      <protection locked="0"/>
    </xf>
    <xf numFmtId="0" fontId="20" fillId="6" borderId="104" xfId="0" applyFont="1" applyFill="1" applyBorder="1" applyAlignment="1" applyProtection="1">
      <alignment horizontal="center" vertical="center" wrapText="1"/>
      <protection locked="0"/>
    </xf>
    <xf numFmtId="0" fontId="23" fillId="4" borderId="101" xfId="0" applyFont="1" applyFill="1" applyBorder="1" applyAlignment="1" applyProtection="1">
      <alignment horizontal="center" vertical="center"/>
      <protection locked="0"/>
    </xf>
    <xf numFmtId="0" fontId="23" fillId="4" borderId="102" xfId="0" applyFont="1" applyFill="1" applyBorder="1" applyAlignment="1" applyProtection="1">
      <alignment horizontal="center" vertical="center"/>
      <protection locked="0"/>
    </xf>
    <xf numFmtId="0" fontId="23" fillId="4" borderId="103" xfId="0" applyFont="1" applyFill="1" applyBorder="1" applyAlignment="1" applyProtection="1">
      <alignment horizontal="center" vertical="center"/>
      <protection locked="0"/>
    </xf>
    <xf numFmtId="0" fontId="23" fillId="6" borderId="101" xfId="0" applyFont="1" applyFill="1" applyBorder="1" applyAlignment="1" applyProtection="1">
      <alignment horizontal="center" vertical="center"/>
      <protection locked="0"/>
    </xf>
    <xf numFmtId="0" fontId="23" fillId="6" borderId="102" xfId="0" applyFont="1" applyFill="1" applyBorder="1" applyAlignment="1" applyProtection="1">
      <alignment horizontal="center" vertical="center"/>
      <protection locked="0"/>
    </xf>
    <xf numFmtId="0" fontId="23" fillId="6" borderId="103" xfId="0" applyFont="1" applyFill="1" applyBorder="1" applyAlignment="1" applyProtection="1">
      <alignment horizontal="center" vertical="center"/>
      <protection locked="0"/>
    </xf>
    <xf numFmtId="9" fontId="20" fillId="4" borderId="101" xfId="0" applyNumberFormat="1" applyFont="1" applyFill="1" applyBorder="1" applyAlignment="1" applyProtection="1">
      <alignment horizontal="center" vertical="center" wrapText="1"/>
      <protection locked="0"/>
    </xf>
    <xf numFmtId="9" fontId="20" fillId="4" borderId="102" xfId="0" applyNumberFormat="1" applyFont="1" applyFill="1" applyBorder="1" applyAlignment="1" applyProtection="1">
      <alignment horizontal="center" vertical="center" wrapText="1"/>
      <protection locked="0"/>
    </xf>
    <xf numFmtId="9" fontId="20" fillId="4" borderId="103" xfId="0" applyNumberFormat="1" applyFont="1" applyFill="1" applyBorder="1" applyAlignment="1" applyProtection="1">
      <alignment horizontal="center" vertical="center" wrapText="1"/>
      <protection locked="0"/>
    </xf>
    <xf numFmtId="3" fontId="54" fillId="8" borderId="47" xfId="21" applyNumberFormat="1" applyFont="1" applyFill="1" applyBorder="1" applyAlignment="1" applyProtection="1">
      <alignment horizontal="center" vertical="center"/>
      <protection locked="0"/>
    </xf>
    <xf numFmtId="0" fontId="53" fillId="2" borderId="99" xfId="24" applyFont="1" applyFill="1" applyBorder="1" applyAlignment="1">
      <alignment horizontal="center" vertical="center" textRotation="90" wrapText="1"/>
    </xf>
    <xf numFmtId="0" fontId="53" fillId="2" borderId="74" xfId="24" applyFont="1" applyFill="1" applyBorder="1" applyAlignment="1">
      <alignment horizontal="center" vertical="center" textRotation="90" wrapText="1"/>
    </xf>
    <xf numFmtId="0" fontId="53" fillId="2" borderId="100" xfId="24" applyFont="1" applyFill="1" applyBorder="1" applyAlignment="1">
      <alignment horizontal="center" vertical="center" textRotation="90" wrapText="1"/>
    </xf>
    <xf numFmtId="0" fontId="56" fillId="3" borderId="101" xfId="21" applyFont="1" applyFill="1" applyBorder="1" applyAlignment="1" applyProtection="1">
      <alignment horizontal="center" vertical="center"/>
      <protection locked="0"/>
    </xf>
    <xf numFmtId="0" fontId="56" fillId="3" borderId="102" xfId="21" applyFont="1" applyFill="1" applyBorder="1" applyAlignment="1" applyProtection="1">
      <alignment horizontal="center" vertical="center"/>
      <protection locked="0"/>
    </xf>
    <xf numFmtId="0" fontId="56" fillId="3" borderId="103" xfId="21" applyFont="1" applyFill="1" applyBorder="1" applyAlignment="1" applyProtection="1">
      <alignment horizontal="center" vertical="center"/>
      <protection locked="0"/>
    </xf>
    <xf numFmtId="0" fontId="54" fillId="8" borderId="101" xfId="21" applyFont="1" applyFill="1" applyBorder="1" applyAlignment="1" applyProtection="1">
      <alignment horizontal="center" vertical="center"/>
      <protection locked="0"/>
    </xf>
    <xf numFmtId="0" fontId="54" fillId="8" borderId="102" xfId="21" applyFont="1" applyFill="1" applyBorder="1" applyAlignment="1" applyProtection="1">
      <alignment horizontal="center" vertical="center"/>
      <protection locked="0"/>
    </xf>
    <xf numFmtId="0" fontId="54" fillId="8" borderId="104" xfId="21" applyFont="1" applyFill="1" applyBorder="1" applyAlignment="1" applyProtection="1">
      <alignment horizontal="center" vertical="center"/>
      <protection locked="0"/>
    </xf>
    <xf numFmtId="0" fontId="54" fillId="8" borderId="103" xfId="21" applyFont="1" applyFill="1" applyBorder="1" applyAlignment="1" applyProtection="1">
      <alignment horizontal="center" vertical="center"/>
      <protection locked="0"/>
    </xf>
    <xf numFmtId="0" fontId="54" fillId="8" borderId="105" xfId="21" applyFont="1" applyFill="1" applyBorder="1" applyAlignment="1" applyProtection="1">
      <alignment horizontal="center" vertical="center"/>
      <protection locked="0"/>
    </xf>
    <xf numFmtId="0" fontId="54" fillId="8" borderId="106" xfId="21" applyFont="1" applyFill="1" applyBorder="1" applyAlignment="1" applyProtection="1">
      <alignment horizontal="center" vertical="center"/>
      <protection locked="0"/>
    </xf>
    <xf numFmtId="0" fontId="54" fillId="8" borderId="107" xfId="21" applyFont="1" applyFill="1" applyBorder="1" applyAlignment="1" applyProtection="1">
      <alignment horizontal="center" vertical="center"/>
      <protection locked="0"/>
    </xf>
    <xf numFmtId="0" fontId="54" fillId="8" borderId="102" xfId="21" applyFont="1" applyFill="1" applyBorder="1" applyAlignment="1" applyProtection="1">
      <alignment horizontal="center" vertical="center" wrapText="1"/>
      <protection locked="0"/>
    </xf>
    <xf numFmtId="0" fontId="54" fillId="8" borderId="103" xfId="21" applyFont="1" applyFill="1" applyBorder="1" applyAlignment="1" applyProtection="1">
      <alignment horizontal="center" vertical="center" wrapText="1"/>
      <protection locked="0"/>
    </xf>
  </cellXfs>
  <cellStyles count="55">
    <cellStyle name="Comma" xfId="1" builtinId="3"/>
    <cellStyle name="Comma 2" xfId="6"/>
    <cellStyle name="Comma 2 2" xfId="9"/>
    <cellStyle name="Comma 2 2 2" xfId="22"/>
    <cellStyle name="Comma 2 2 2 2" xfId="33"/>
    <cellStyle name="Comma 2 2 2 3" xfId="38"/>
    <cellStyle name="Comma 2 2 2 4" xfId="43"/>
    <cellStyle name="Comma 2 2 2 5" xfId="50"/>
    <cellStyle name="Comma 2 2 3" xfId="29"/>
    <cellStyle name="Comma 2 3" xfId="11"/>
    <cellStyle name="Comma 2 4" xfId="26"/>
    <cellStyle name="Comma 3" xfId="12"/>
    <cellStyle name="Comma 4" xfId="13"/>
    <cellStyle name="Comma 4 10" xfId="14"/>
    <cellStyle name="Normal" xfId="0" builtinId="0"/>
    <cellStyle name="Normal 2" xfId="2"/>
    <cellStyle name="Normal 2 2" xfId="16"/>
    <cellStyle name="Normal 2 3" xfId="15"/>
    <cellStyle name="Normal 3" xfId="4"/>
    <cellStyle name="Normal 3 2" xfId="20"/>
    <cellStyle name="Normal 3 2 2" xfId="24"/>
    <cellStyle name="Normal 3 2 2 2" xfId="35"/>
    <cellStyle name="Normal 3 2 2 3" xfId="40"/>
    <cellStyle name="Normal 3 2 2 4" xfId="47"/>
    <cellStyle name="Normal 3 2 2 5" xfId="54"/>
    <cellStyle name="Normal 3 2 3" xfId="31"/>
    <cellStyle name="Normal 4" xfId="5"/>
    <cellStyle name="Normal 4 2" xfId="8"/>
    <cellStyle name="Normal 4 2 2" xfId="21"/>
    <cellStyle name="Normal 4 2 2 2" xfId="32"/>
    <cellStyle name="Normal 4 2 2 2 2" xfId="46"/>
    <cellStyle name="Normal 4 2 2 2 2 2" xfId="52"/>
    <cellStyle name="Normal 4 2 2 3" xfId="37"/>
    <cellStyle name="Normal 4 2 2 3 2" xfId="45"/>
    <cellStyle name="Normal 4 2 2 3 3" xfId="53"/>
    <cellStyle name="Normal 4 2 2 4" xfId="42"/>
    <cellStyle name="Normal 4 2 2 5" xfId="49"/>
    <cellStyle name="Normal 4 2 3" xfId="28"/>
    <cellStyle name="Normal 4 3" xfId="17"/>
    <cellStyle name="Normal 4 4" xfId="25"/>
    <cellStyle name="Normal 5" xfId="18"/>
    <cellStyle name="Normal 6" xfId="19"/>
    <cellStyle name="Normal 7" xfId="36"/>
    <cellStyle name="Normal 8" xfId="41"/>
    <cellStyle name="Normal 9" xfId="48"/>
    <cellStyle name="Percent" xfId="3" builtinId="5"/>
    <cellStyle name="Percent 2" xfId="7"/>
    <cellStyle name="Percent 2 2" xfId="10"/>
    <cellStyle name="Percent 2 2 2" xfId="23"/>
    <cellStyle name="Percent 2 2 2 2" xfId="34"/>
    <cellStyle name="Percent 2 2 2 3" xfId="39"/>
    <cellStyle name="Percent 2 2 2 4" xfId="44"/>
    <cellStyle name="Percent 2 2 2 5" xfId="51"/>
    <cellStyle name="Percent 2 2 3" xfId="30"/>
    <cellStyle name="Percent 2 3" xfId="27"/>
  </cellStyles>
  <dxfs count="284">
    <dxf>
      <font>
        <color rgb="FF9C0006"/>
      </font>
      <fill>
        <patternFill>
          <bgColor rgb="FFFFC7CE"/>
        </patternFill>
      </fill>
    </dxf>
    <dxf>
      <fill>
        <patternFill>
          <bgColor rgb="FFFFFF00"/>
        </patternFill>
      </fill>
    </dxf>
    <dxf>
      <alignment horizontal="right" readingOrder="0"/>
    </dxf>
    <dxf>
      <alignment horizontal="center" vertical="center" readingOrder="0"/>
    </dxf>
    <dxf>
      <alignment horizontal="center" vertical="center" readingOrder="0"/>
    </dxf>
    <dxf>
      <alignment wrapText="1" readingOrder="0"/>
    </dxf>
    <dxf>
      <alignment wrapText="1" readingOrder="0"/>
    </dxf>
    <dxf>
      <alignment wrapText="1" readingOrder="0"/>
    </dxf>
    <dxf>
      <numFmt numFmtId="3" formatCode="#,##0"/>
    </dxf>
    <dxf>
      <font>
        <name val="Calibri"/>
        <scheme val="minor"/>
      </font>
    </dxf>
    <dxf>
      <font>
        <name val="Calibri"/>
        <scheme val="minor"/>
      </font>
    </dxf>
    <dxf>
      <font>
        <name val="Calibri"/>
        <scheme val="minor"/>
      </font>
    </dxf>
    <dxf>
      <font>
        <name val="Calibri"/>
        <scheme val="minor"/>
      </font>
    </dxf>
    <dxf>
      <alignment horizontal="center" vertical="center" readingOrder="0"/>
    </dxf>
    <dxf>
      <alignment horizontal="center" vertical="center" readingOrder="0"/>
    </dxf>
    <dxf>
      <alignment wrapText="1" readingOrder="0"/>
    </dxf>
    <dxf>
      <alignment wrapText="1" readingOrder="0"/>
    </dxf>
    <dxf>
      <alignment wrapText="1" readingOrder="0"/>
    </dxf>
    <dxf>
      <numFmt numFmtId="3" formatCode="#,##0"/>
    </dxf>
    <dxf>
      <font>
        <name val="Calibri"/>
        <scheme val="minor"/>
      </font>
    </dxf>
    <dxf>
      <font>
        <name val="Calibri"/>
        <scheme val="minor"/>
      </font>
    </dxf>
    <dxf>
      <font>
        <name val="Calibri"/>
        <scheme val="minor"/>
      </font>
    </dxf>
    <dxf>
      <font>
        <name val="Calibri"/>
        <scheme val="minor"/>
      </font>
    </dxf>
    <dxf>
      <alignment horizontal="center" vertical="center" readingOrder="0"/>
    </dxf>
    <dxf>
      <alignment wrapText="1" readingOrder="0"/>
    </dxf>
    <dxf>
      <alignment wrapText="1" readingOrder="0"/>
    </dxf>
    <dxf>
      <numFmt numFmtId="13" formatCode="0%"/>
    </dxf>
    <dxf>
      <font>
        <name val="Calibri"/>
        <scheme val="minor"/>
      </font>
    </dxf>
    <dxf>
      <font>
        <name val="Calibri"/>
        <scheme val="minor"/>
      </font>
    </dxf>
    <dxf>
      <font>
        <name val="Calibri"/>
        <scheme val="minor"/>
      </font>
    </dxf>
    <dxf>
      <font>
        <name val="Calibri"/>
        <scheme val="minor"/>
      </font>
    </dxf>
    <dxf>
      <alignment horizontal="center" vertical="center" readingOrder="0"/>
    </dxf>
    <dxf>
      <alignment wrapText="1" readingOrder="0"/>
    </dxf>
    <dxf>
      <alignment wrapText="1" readingOrder="0"/>
    </dxf>
    <dxf>
      <alignment wrapText="1" readingOrder="0"/>
    </dxf>
    <dxf>
      <numFmt numFmtId="13" formatCode="0%"/>
    </dxf>
    <dxf>
      <font>
        <name val="Calibri"/>
        <scheme val="minor"/>
      </font>
    </dxf>
    <dxf>
      <font>
        <name val="Calibri"/>
        <scheme val="minor"/>
      </font>
    </dxf>
    <dxf>
      <font>
        <name val="Calibri"/>
        <scheme val="minor"/>
      </font>
    </dxf>
    <dxf>
      <font>
        <name val="Calibri"/>
        <scheme val="minor"/>
      </font>
    </dxf>
    <dxf>
      <alignment horizontal="center" vertical="center" readingOrder="0"/>
    </dxf>
    <dxf>
      <alignment wrapText="1" readingOrder="0"/>
    </dxf>
    <dxf>
      <alignment wrapText="1" readingOrder="0"/>
    </dxf>
    <dxf>
      <numFmt numFmtId="13" formatCode="0%"/>
    </dxf>
    <dxf>
      <font>
        <name val="Calibri"/>
        <scheme val="minor"/>
      </font>
    </dxf>
    <dxf>
      <font>
        <name val="Calibri"/>
        <scheme val="minor"/>
      </font>
    </dxf>
    <dxf>
      <font>
        <name val="Calibri"/>
        <scheme val="minor"/>
      </font>
    </dxf>
    <dxf>
      <font>
        <name val="Calibri"/>
        <scheme val="minor"/>
      </font>
    </dxf>
    <dxf>
      <font>
        <name val="Calibri"/>
        <scheme val="minor"/>
      </font>
    </dxf>
    <dxf>
      <alignment horizontal="center" vertical="center" readingOrder="0"/>
    </dxf>
    <dxf>
      <alignment horizontal="center" vertical="center" readingOrder="0"/>
    </dxf>
    <dxf>
      <alignment wrapText="1" readingOrder="0"/>
    </dxf>
    <dxf>
      <alignment wrapText="1" readingOrder="0"/>
    </dxf>
    <dxf>
      <alignment wrapText="1" readingOrder="0"/>
    </dxf>
    <dxf>
      <numFmt numFmtId="3" formatCode="#,##0"/>
    </dxf>
    <dxf>
      <numFmt numFmtId="1" formatCode="0"/>
    </dxf>
    <dxf>
      <font>
        <name val="Calibri"/>
        <scheme val="minor"/>
      </font>
    </dxf>
    <dxf>
      <font>
        <name val="Calibri"/>
        <scheme val="minor"/>
      </font>
    </dxf>
    <dxf>
      <font>
        <name val="Calibri"/>
        <scheme val="minor"/>
      </font>
    </dxf>
    <dxf>
      <font>
        <name val="Calibri"/>
        <scheme val="minor"/>
      </font>
    </dxf>
    <dxf>
      <font>
        <name val="Calibri"/>
        <scheme val="minor"/>
      </font>
    </dxf>
    <dxf>
      <alignment horizontal="center" vertical="center" readingOrder="0"/>
    </dxf>
    <dxf>
      <alignment horizontal="center" vertical="center" readingOrder="0"/>
    </dxf>
    <dxf>
      <alignment wrapText="1" readingOrder="0"/>
    </dxf>
    <dxf>
      <alignment wrapText="1" readingOrder="0"/>
    </dxf>
    <dxf>
      <alignment wrapText="1" readingOrder="0"/>
    </dxf>
    <dxf>
      <numFmt numFmtId="3" formatCode="#,##0"/>
    </dxf>
    <dxf>
      <numFmt numFmtId="1" formatCode="0"/>
    </dxf>
    <dxf>
      <font>
        <name val="Calibri"/>
        <scheme val="minor"/>
      </font>
    </dxf>
    <dxf>
      <font>
        <name val="Calibri"/>
        <scheme val="minor"/>
      </font>
    </dxf>
    <dxf>
      <font>
        <name val="Calibri"/>
        <scheme val="minor"/>
      </font>
    </dxf>
    <dxf>
      <font>
        <name val="Calibri"/>
        <scheme val="minor"/>
      </font>
    </dxf>
    <dxf>
      <font>
        <name val="Calibri"/>
        <scheme val="minor"/>
      </font>
    </dxf>
    <dxf>
      <numFmt numFmtId="1" formatCode="0"/>
    </dxf>
    <dxf>
      <alignment horizontal="center" vertical="center" readingOrder="0"/>
    </dxf>
    <dxf>
      <alignment wrapText="1" readingOrder="0"/>
    </dxf>
    <dxf>
      <alignment wrapText="1" readingOrder="0"/>
    </dxf>
    <dxf>
      <numFmt numFmtId="13" formatCode="0%"/>
    </dxf>
    <dxf>
      <font>
        <name val="Calibri"/>
        <scheme val="minor"/>
      </font>
    </dxf>
    <dxf>
      <font>
        <name val="Calibri"/>
        <scheme val="minor"/>
      </font>
    </dxf>
    <dxf>
      <font>
        <name val="Calibri"/>
        <scheme val="minor"/>
      </font>
    </dxf>
    <dxf>
      <font>
        <name val="Calibri"/>
        <scheme val="minor"/>
      </font>
    </dxf>
    <dxf>
      <font>
        <name val="Calibri"/>
        <scheme val="minor"/>
      </font>
    </dxf>
    <dxf>
      <numFmt numFmtId="1" formatCode="0"/>
    </dxf>
    <dxf>
      <alignment horizontal="center" vertical="center" readingOrder="0"/>
    </dxf>
    <dxf>
      <alignment horizontal="center" vertical="center" readingOrder="0"/>
    </dxf>
    <dxf>
      <alignment wrapText="1" readingOrder="0"/>
    </dxf>
    <dxf>
      <alignment wrapText="1" readingOrder="0"/>
    </dxf>
    <dxf>
      <numFmt numFmtId="13" formatCode="0%"/>
    </dxf>
    <dxf>
      <font>
        <name val="Calibri"/>
        <scheme val="minor"/>
      </font>
    </dxf>
    <dxf>
      <font>
        <name val="Calibri"/>
        <scheme val="minor"/>
      </font>
    </dxf>
    <dxf>
      <font>
        <name val="Calibri"/>
        <scheme val="minor"/>
      </font>
    </dxf>
    <dxf>
      <font>
        <name val="Calibri"/>
        <scheme val="minor"/>
      </font>
    </dxf>
    <dxf>
      <alignment horizontal="center" vertical="center" readingOrder="0"/>
    </dxf>
    <dxf>
      <alignment wrapText="1" readingOrder="0"/>
    </dxf>
    <dxf>
      <alignment wrapText="1" readingOrder="0"/>
    </dxf>
    <dxf>
      <alignment wrapText="1" readingOrder="0"/>
    </dxf>
    <dxf>
      <numFmt numFmtId="13" formatCode="0%"/>
    </dxf>
    <dxf>
      <numFmt numFmtId="1" formatCode="0"/>
    </dxf>
    <dxf>
      <alignment horizontal="center" readingOrder="0"/>
    </dxf>
    <dxf>
      <numFmt numFmtId="13" formatCode="0%"/>
    </dxf>
    <dxf>
      <alignment vertical="center" readingOrder="0"/>
    </dxf>
    <dxf>
      <alignment horizontal="center" readingOrder="0"/>
    </dxf>
    <dxf>
      <alignment horizontal="center" readingOrder="0"/>
    </dxf>
    <dxf>
      <alignment wrapText="1" readingOrder="0"/>
    </dxf>
    <dxf>
      <alignment wrapText="1" readingOrder="0"/>
    </dxf>
    <dxf>
      <numFmt numFmtId="13" formatCode="0%"/>
    </dxf>
    <dxf>
      <alignment horizontal="center" readingOrder="0"/>
    </dxf>
    <dxf>
      <alignment horizontal="center" readingOrder="0"/>
    </dxf>
    <dxf>
      <alignment horizontal="center" readingOrder="0"/>
    </dxf>
    <dxf>
      <numFmt numFmtId="1" formatCode="0"/>
    </dxf>
    <dxf>
      <alignment horizontal="center" readingOrder="0"/>
    </dxf>
    <dxf>
      <alignment horizontal="center" readingOrder="0"/>
    </dxf>
    <dxf>
      <alignment wrapText="1" readingOrder="0"/>
    </dxf>
    <dxf>
      <alignment wrapText="1" readingOrder="0"/>
    </dxf>
    <dxf>
      <numFmt numFmtId="13" formatCode="0%"/>
    </dxf>
    <dxf>
      <alignment horizontal="center" readingOrder="0"/>
    </dxf>
    <dxf>
      <numFmt numFmtId="3" formatCode="#,##0"/>
    </dxf>
    <dxf>
      <alignment horizontal="right" readingOrder="0"/>
    </dxf>
    <dxf>
      <numFmt numFmtId="3" formatCode="#,##0"/>
    </dxf>
    <dxf>
      <alignment horizontal="center" readingOrder="0"/>
    </dxf>
    <dxf>
      <numFmt numFmtId="13" formatCode="0%"/>
    </dxf>
    <dxf>
      <alignment horizontal="center" vertical="center" readingOrder="0"/>
    </dxf>
    <dxf>
      <alignment horizontal="center" vertical="center" readingOrder="0"/>
    </dxf>
    <dxf>
      <alignment wrapText="1" readingOrder="0"/>
    </dxf>
    <dxf>
      <alignment wrapText="1" readingOrder="0"/>
    </dxf>
    <dxf>
      <numFmt numFmtId="13" formatCode="0%"/>
    </dxf>
    <dxf>
      <alignment horizontal="center" readingOrder="0"/>
    </dxf>
    <dxf>
      <alignment horizontal="center" readingOrder="0"/>
    </dxf>
    <dxf>
      <alignment wrapText="1" readingOrder="0"/>
    </dxf>
    <dxf>
      <numFmt numFmtId="13" formatCode="0%"/>
    </dxf>
    <dxf>
      <numFmt numFmtId="1" formatCode="0"/>
    </dxf>
    <dxf>
      <alignment horizontal="center" readingOrder="0"/>
    </dxf>
    <dxf>
      <numFmt numFmtId="13" formatCode="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numFmt numFmtId="13" formatCode="0%"/>
    </dxf>
    <dxf>
      <numFmt numFmtId="1" formatCode="0"/>
    </dxf>
    <dxf>
      <alignment horizontal="center" vertical="center" readingOrder="0"/>
    </dxf>
    <dxf>
      <alignment wrapText="1" readingOrder="0"/>
    </dxf>
    <dxf>
      <numFmt numFmtId="13" formatCode="0%"/>
    </dxf>
    <dxf>
      <alignment horizontal="center" readingOrder="0"/>
    </dxf>
    <dxf>
      <numFmt numFmtId="13" formatCode="0%"/>
    </dxf>
    <dxf>
      <fill>
        <patternFill>
          <bgColor theme="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horizontal="center" readingOrder="0"/>
    </dxf>
    <dxf>
      <alignment horizontal="center" readingOrder="0"/>
    </dxf>
    <dxf>
      <alignment horizontal="center" readingOrder="0"/>
    </dxf>
    <dxf>
      <alignment wrapText="1" readingOrder="0"/>
    </dxf>
    <dxf>
      <alignment wrapText="1" readingOrder="0"/>
    </dxf>
    <dxf>
      <numFmt numFmtId="13" formatCode="0%"/>
    </dxf>
    <dxf>
      <alignment horizontal="center" readingOrder="0"/>
    </dxf>
    <dxf>
      <numFmt numFmtId="13" formatCode="0%"/>
    </dxf>
    <dxf>
      <font>
        <sz val="12"/>
      </font>
    </dxf>
    <dxf>
      <font>
        <i/>
      </font>
    </dxf>
    <dxf>
      <font>
        <b/>
      </font>
    </dxf>
    <dxf>
      <alignment horizontal="center" vertical="center" readingOrder="0"/>
    </dxf>
    <dxf>
      <numFmt numFmtId="13" formatCode="0%"/>
    </dxf>
    <dxf>
      <font>
        <b/>
      </font>
    </dxf>
    <dxf>
      <font>
        <b/>
      </font>
    </dxf>
    <dxf>
      <font>
        <b/>
      </font>
    </dxf>
    <dxf>
      <font>
        <b/>
      </font>
    </dxf>
    <dxf>
      <font>
        <b/>
      </font>
    </dxf>
    <dxf>
      <font>
        <b/>
      </font>
    </dxf>
    <dxf>
      <font>
        <b/>
      </font>
    </dxf>
    <dxf>
      <font>
        <b/>
      </font>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3" formatCode="0%"/>
    </dxf>
    <dxf>
      <numFmt numFmtId="13" formatCode="0%"/>
    </dxf>
    <dxf>
      <alignment horizontal="center" readingOrder="0"/>
    </dxf>
    <dxf>
      <alignment horizontal="center" readingOrder="0"/>
    </dxf>
    <dxf>
      <numFmt numFmtId="13" formatCode="0%"/>
    </dxf>
    <dxf>
      <numFmt numFmtId="1" formatCode="0"/>
    </dxf>
    <dxf>
      <alignment horizontal="center" readingOrder="0"/>
    </dxf>
    <dxf>
      <numFmt numFmtId="13" formatCode="0%"/>
    </dxf>
    <dxf>
      <alignment horizontal="center" readingOrder="0"/>
    </dxf>
    <dxf>
      <numFmt numFmtId="13" formatCode="0%"/>
    </dxf>
    <dxf>
      <alignment wrapText="1" readingOrder="0"/>
    </dxf>
    <dxf>
      <alignment wrapText="1" readingOrder="0"/>
    </dxf>
    <dxf>
      <numFmt numFmtId="3" formatCode="#,##0"/>
    </dxf>
    <dxf>
      <alignment horizontal="center" readingOrder="0"/>
    </dxf>
    <dxf>
      <numFmt numFmtId="13" formatCode="0%"/>
    </dxf>
    <dxf>
      <numFmt numFmtId="1" formatCode="0"/>
    </dxf>
    <dxf>
      <alignment horizontal="center" readingOrder="0"/>
    </dxf>
    <dxf>
      <numFmt numFmtId="13" formatCode="0%"/>
    </dxf>
    <dxf>
      <alignment horizontal="center" readingOrder="0"/>
    </dxf>
    <dxf>
      <alignment horizontal="center" readingOrder="0"/>
    </dxf>
    <dxf>
      <alignment wrapText="1" readingOrder="0"/>
    </dxf>
    <dxf>
      <alignment wrapText="1" readingOrder="0"/>
    </dxf>
    <dxf>
      <numFmt numFmtId="13" formatCode="0%"/>
    </dxf>
    <dxf>
      <numFmt numFmtId="1" formatCode="0"/>
    </dxf>
    <dxf>
      <alignment horizontal="center" readingOrder="0"/>
    </dxf>
    <dxf>
      <numFmt numFmtId="13" formatCode="0%"/>
    </dxf>
    <dxf>
      <numFmt numFmtId="1" formatCode="0"/>
    </dxf>
    <dxf>
      <alignment horizontal="center" readingOrder="0"/>
    </dxf>
    <dxf>
      <numFmt numFmtId="13" formatCode="0%"/>
    </dxf>
    <dxf>
      <numFmt numFmtId="13" formatCode="0%"/>
    </dxf>
    <dxf>
      <numFmt numFmtId="1" formatCode="0"/>
    </dxf>
    <dxf>
      <alignment horizontal="center" readingOrder="0"/>
    </dxf>
    <dxf>
      <numFmt numFmtId="13" formatCode="0%"/>
    </dxf>
    <dxf>
      <numFmt numFmtId="1" formatCode="0"/>
    </dxf>
    <dxf>
      <alignment horizontal="center" readingOrder="0"/>
    </dxf>
    <dxf>
      <numFmt numFmtId="13" formatCode="0%"/>
    </dxf>
    <dxf>
      <alignment horizontal="center" readingOrder="0"/>
    </dxf>
    <dxf>
      <alignment horizontal="center" readingOrder="0"/>
    </dxf>
    <dxf>
      <alignment wrapText="1" readingOrder="0"/>
    </dxf>
    <dxf>
      <alignment wrapText="1" readingOrder="0"/>
    </dxf>
    <dxf>
      <numFmt numFmtId="13" formatCode="0%"/>
    </dxf>
    <dxf>
      <alignment vertical="center" readingOrder="0"/>
    </dxf>
    <dxf>
      <alignment vertical="center" readingOrder="0"/>
    </dxf>
    <dxf>
      <alignment horizontal="center" readingOrder="0"/>
    </dxf>
    <dxf>
      <alignment horizontal="center" readingOrder="0"/>
    </dxf>
    <dxf>
      <alignment wrapText="1" readingOrder="0"/>
    </dxf>
    <dxf>
      <alignment wrapText="1" readingOrder="0"/>
    </dxf>
    <dxf>
      <numFmt numFmtId="13" formatCode="0%"/>
    </dxf>
    <dxf>
      <alignment horizontal="center" readingOrder="0"/>
    </dxf>
    <dxf>
      <alignment horizontal="center" readingOrder="0"/>
    </dxf>
    <dxf>
      <alignment wrapText="1" readingOrder="0"/>
    </dxf>
    <dxf>
      <alignment wrapText="1" readingOrder="0"/>
    </dxf>
    <dxf>
      <numFmt numFmtId="13" formatCode="0%"/>
    </dxf>
    <dxf>
      <alignment wrapText="1" readingOrder="0"/>
    </dxf>
    <dxf>
      <alignment wrapText="1" readingOrder="0"/>
    </dxf>
    <dxf>
      <alignment horizontal="center" readingOrder="0"/>
    </dxf>
    <dxf>
      <numFmt numFmtId="13" formatCode="0%"/>
    </dxf>
    <dxf>
      <alignment horizontal="center" vertical="center" readingOrder="0"/>
    </dxf>
    <dxf>
      <alignment horizontal="center" vertical="center" readingOrder="0"/>
    </dxf>
    <dxf>
      <alignment wrapText="1" readingOrder="0"/>
    </dxf>
    <dxf>
      <alignment wrapText="1" readingOrder="0"/>
    </dxf>
    <dxf>
      <numFmt numFmtId="13" formatCode="0%"/>
    </dxf>
    <dxf>
      <alignment horizontal="center" readingOrder="0"/>
    </dxf>
    <dxf>
      <alignment horizontal="center" readingOrder="0"/>
    </dxf>
    <dxf>
      <alignment horizontal="center" readingOrder="0"/>
    </dxf>
    <dxf>
      <numFmt numFmtId="1" formatCode="0"/>
    </dxf>
  </dxfs>
  <tableStyles count="0" defaultTableStyle="TableStyleMedium2" defaultPivotStyle="PivotStyleLight16"/>
  <colors>
    <mruColors>
      <color rgb="FFFFFFCC"/>
      <color rgb="FFCCFFCC"/>
      <color rgb="FFCC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5.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6.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8.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9.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0.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1.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2.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3.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4.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5.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6.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7.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8.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9.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0.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1.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2015.xlsx]SituationAnalysis!PivotTable26</c:name>
    <c:fmtId val="35"/>
  </c:pivotSource>
  <c:chart>
    <c:title>
      <c:tx>
        <c:rich>
          <a:bodyPr rot="0" spcFirstLastPara="1" vertOverflow="ellipsis" vert="horz" wrap="square" anchor="ctr" anchorCtr="1"/>
          <a:lstStyle/>
          <a:p>
            <a:pPr>
              <a:defRPr sz="800" b="1" i="0" u="none" strike="noStrike" kern="1200" spc="0" baseline="0">
                <a:solidFill>
                  <a:schemeClr val="tx1">
                    <a:lumMod val="65000"/>
                    <a:lumOff val="35000"/>
                  </a:schemeClr>
                </a:solidFill>
                <a:latin typeface="+mn-lt"/>
                <a:ea typeface="+mn-ea"/>
                <a:cs typeface="+mn-cs"/>
              </a:defRPr>
            </a:pPr>
            <a:r>
              <a:rPr lang="en-US" sz="800" b="1"/>
              <a:t>Community management organisation in camps</a:t>
            </a:r>
          </a:p>
        </c:rich>
      </c:tx>
      <c:layout>
        <c:manualLayout>
          <c:xMode val="edge"/>
          <c:yMode val="edge"/>
          <c:x val="0.1560757998033751"/>
          <c:y val="5.839399445698658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25400">
            <a:solidFill>
              <a:schemeClr val="lt1"/>
            </a:solidFill>
          </a:ln>
          <a:effectLst/>
          <a:sp3d contourW="25400">
            <a:contourClr>
              <a:schemeClr val="lt1"/>
            </a:contourClr>
          </a:sp3d>
        </c:spPr>
      </c:pivotFmt>
      <c:pivotFmt>
        <c:idx val="2"/>
        <c:spPr>
          <a:solidFill>
            <a:schemeClr val="accent1"/>
          </a:solidFill>
          <a:ln w="25400">
            <a:solidFill>
              <a:schemeClr val="lt1"/>
            </a:solidFill>
          </a:ln>
          <a:effectLst/>
          <a:sp3d contourW="25400">
            <a:contourClr>
              <a:schemeClr val="lt1"/>
            </a:contourClr>
          </a:sp3d>
        </c:spPr>
      </c:pivotFmt>
      <c:pivotFmt>
        <c:idx val="3"/>
        <c:spPr>
          <a:solidFill>
            <a:schemeClr val="accent1"/>
          </a:solidFill>
          <a:ln w="25400">
            <a:solidFill>
              <a:schemeClr val="lt1"/>
            </a:solidFill>
          </a:ln>
          <a:effectLst/>
          <a:sp3d contourW="25400">
            <a:contourClr>
              <a:schemeClr val="lt1"/>
            </a:contourClr>
          </a:sp3d>
        </c:spPr>
      </c:pivotFmt>
      <c:pivotFmt>
        <c:idx val="4"/>
        <c:spPr>
          <a:solidFill>
            <a:schemeClr val="accent1"/>
          </a:solidFill>
          <a:ln w="25400">
            <a:solidFill>
              <a:schemeClr val="lt1"/>
            </a:solidFill>
          </a:ln>
          <a:effectLst/>
          <a:sp3d contourW="25400">
            <a:contourClr>
              <a:schemeClr val="lt1"/>
            </a:contourClr>
          </a:sp3d>
        </c:spPr>
      </c:pivotFmt>
      <c:pivotFmt>
        <c:idx val="5"/>
        <c:spPr>
          <a:solidFill>
            <a:schemeClr val="accent1"/>
          </a:solidFill>
          <a:ln w="25400">
            <a:solidFill>
              <a:schemeClr val="lt1"/>
            </a:solidFill>
          </a:ln>
          <a:effectLst/>
          <a:sp3d contourW="25400">
            <a:contourClr>
              <a:schemeClr val="lt1"/>
            </a:contourClr>
          </a:sp3d>
        </c:spPr>
      </c:pivotFmt>
      <c:pivotFmt>
        <c:idx val="6"/>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7"/>
        <c:spPr>
          <a:solidFill>
            <a:schemeClr val="accent1"/>
          </a:solidFill>
          <a:ln w="25400">
            <a:solidFill>
              <a:schemeClr val="lt1"/>
            </a:solidFill>
          </a:ln>
          <a:effectLst/>
          <a:sp3d contourW="25400">
            <a:contourClr>
              <a:schemeClr val="lt1"/>
            </a:contourClr>
          </a:sp3d>
        </c:spPr>
      </c:pivotFmt>
      <c:pivotFmt>
        <c:idx val="8"/>
        <c:spPr>
          <a:solidFill>
            <a:schemeClr val="accent1"/>
          </a:solidFill>
          <a:ln w="25400">
            <a:solidFill>
              <a:schemeClr val="lt1"/>
            </a:solidFill>
          </a:ln>
          <a:effectLst/>
          <a:sp3d contourW="25400">
            <a:contourClr>
              <a:schemeClr val="lt1"/>
            </a:contourClr>
          </a:sp3d>
        </c:spPr>
      </c:pivotFmt>
      <c:pivotFmt>
        <c:idx val="9"/>
        <c:spPr>
          <a:solidFill>
            <a:schemeClr val="accent1"/>
          </a:solidFill>
          <a:ln w="25400">
            <a:solidFill>
              <a:schemeClr val="lt1"/>
            </a:solidFill>
          </a:ln>
          <a:effectLst/>
          <a:sp3d contourW="25400">
            <a:contourClr>
              <a:schemeClr val="lt1"/>
            </a:contourClr>
          </a:sp3d>
        </c:spPr>
      </c:pivotFmt>
      <c:pivotFmt>
        <c:idx val="10"/>
        <c:spPr>
          <a:solidFill>
            <a:schemeClr val="accent1"/>
          </a:solidFill>
          <a:ln w="25400">
            <a:solidFill>
              <a:schemeClr val="lt1"/>
            </a:solidFill>
          </a:ln>
          <a:effectLst/>
          <a:sp3d contourW="25400">
            <a:contourClr>
              <a:schemeClr val="lt1"/>
            </a:contourClr>
          </a:sp3d>
        </c:spPr>
      </c:pivotFmt>
      <c:pivotFmt>
        <c:idx val="11"/>
        <c:spPr>
          <a:solidFill>
            <a:schemeClr val="accent1"/>
          </a:solidFill>
          <a:ln w="25400">
            <a:solidFill>
              <a:schemeClr val="lt1"/>
            </a:solidFill>
          </a:ln>
          <a:effectLst/>
          <a:sp3d contourW="25400">
            <a:contourClr>
              <a:schemeClr val="lt1"/>
            </a:contourClr>
          </a:sp3d>
        </c:spPr>
      </c:pivotFmt>
      <c:pivotFmt>
        <c:idx val="12"/>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3"/>
        <c:spPr>
          <a:solidFill>
            <a:schemeClr val="accent1"/>
          </a:solidFill>
          <a:ln w="25400">
            <a:solidFill>
              <a:schemeClr val="lt1"/>
            </a:solidFill>
          </a:ln>
          <a:effectLst/>
          <a:sp3d contourW="25400">
            <a:contourClr>
              <a:schemeClr val="lt1"/>
            </a:contourClr>
          </a:sp3d>
        </c:spPr>
      </c:pivotFmt>
      <c:pivotFmt>
        <c:idx val="14"/>
        <c:spPr>
          <a:solidFill>
            <a:schemeClr val="accent1"/>
          </a:solidFill>
          <a:ln w="25400">
            <a:solidFill>
              <a:schemeClr val="lt1"/>
            </a:solidFill>
          </a:ln>
          <a:effectLst/>
          <a:sp3d contourW="25400">
            <a:contourClr>
              <a:schemeClr val="lt1"/>
            </a:contourClr>
          </a:sp3d>
        </c:spPr>
      </c:pivotFmt>
      <c:pivotFmt>
        <c:idx val="15"/>
        <c:spPr>
          <a:solidFill>
            <a:schemeClr val="accent1"/>
          </a:solidFill>
          <a:ln w="25400">
            <a:solidFill>
              <a:schemeClr val="lt1"/>
            </a:solidFill>
          </a:ln>
          <a:effectLst/>
          <a:sp3d contourW="25400">
            <a:contourClr>
              <a:schemeClr val="lt1"/>
            </a:contourClr>
          </a:sp3d>
        </c:spPr>
      </c:pivotFmt>
      <c:pivotFmt>
        <c:idx val="16"/>
        <c:spPr>
          <a:solidFill>
            <a:schemeClr val="accent1"/>
          </a:solidFill>
          <a:ln w="25400">
            <a:solidFill>
              <a:schemeClr val="lt1"/>
            </a:solidFill>
          </a:ln>
          <a:effectLst/>
          <a:sp3d contourW="25400">
            <a:contourClr>
              <a:schemeClr val="lt1"/>
            </a:contourClr>
          </a:sp3d>
        </c:spPr>
      </c:pivotFmt>
      <c:pivotFmt>
        <c:idx val="17"/>
        <c:spPr>
          <a:solidFill>
            <a:schemeClr val="accent1"/>
          </a:solidFill>
          <a:ln w="25400">
            <a:solidFill>
              <a:schemeClr val="lt1"/>
            </a:solidFill>
          </a:ln>
          <a:effectLst/>
          <a:sp3d contourW="25400">
            <a:contourClr>
              <a:schemeClr val="lt1"/>
            </a:contourClr>
          </a:sp3d>
        </c:spPr>
        <c:dLbl>
          <c:idx val="0"/>
          <c:layout>
            <c:manualLayout>
              <c:x val="-9.8666072161112922E-2"/>
              <c:y val="-1.3863632009502462E-2"/>
            </c:manualLayout>
          </c:layout>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8"/>
        <c:spPr>
          <a:solidFill>
            <a:schemeClr val="accent1"/>
          </a:solidFill>
          <a:ln w="25400">
            <a:solidFill>
              <a:schemeClr val="lt1"/>
            </a:solidFill>
          </a:ln>
          <a:effectLst/>
          <a:sp3d contourW="25400">
            <a:contourClr>
              <a:schemeClr val="lt1"/>
            </a:contourClr>
          </a:sp3d>
        </c:spPr>
      </c:pivotFmt>
      <c:pivotFmt>
        <c:idx val="19"/>
        <c:spPr>
          <a:solidFill>
            <a:schemeClr val="accent1"/>
          </a:solidFill>
          <a:ln w="25400">
            <a:solidFill>
              <a:schemeClr val="lt1"/>
            </a:solidFill>
          </a:ln>
          <a:effectLst/>
          <a:sp3d contourW="25400">
            <a:contourClr>
              <a:schemeClr val="lt1"/>
            </a:contourClr>
          </a:sp3d>
        </c:spPr>
        <c:dLbl>
          <c:idx val="0"/>
          <c:layout>
            <c:manualLayout>
              <c:x val="-9.8666072161112922E-2"/>
              <c:y val="-1.3863632009502462E-2"/>
            </c:manualLayout>
          </c:layout>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0"/>
        <c:spPr>
          <a:solidFill>
            <a:schemeClr val="accent1"/>
          </a:solidFill>
          <a:ln w="25400">
            <a:solidFill>
              <a:schemeClr val="lt1"/>
            </a:solidFill>
          </a:ln>
          <a:effectLst/>
          <a:sp3d contourW="25400">
            <a:contourClr>
              <a:schemeClr val="lt1"/>
            </a:contourClr>
          </a:sp3d>
        </c:spPr>
      </c:pivotFmt>
      <c:pivotFmt>
        <c:idx val="21"/>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381686825229324E-2"/>
          <c:y val="0.26382541343171262"/>
          <c:w val="0.57909426270169839"/>
          <c:h val="0.63799056586458158"/>
        </c:manualLayout>
      </c:layout>
      <c:pie3DChart>
        <c:varyColors val="1"/>
        <c:ser>
          <c:idx val="0"/>
          <c:order val="0"/>
          <c:tx>
            <c:strRef>
              <c:f>SituationAnalysis!$C$445</c:f>
              <c:strCache>
                <c:ptCount val="1"/>
                <c:pt idx="0">
                  <c:v>Total</c:v>
                </c:pt>
              </c:strCache>
            </c:strRef>
          </c:tx>
          <c:explosion val="6"/>
          <c:dPt>
            <c:idx val="0"/>
            <c:bubble3D val="0"/>
            <c:spPr>
              <a:solidFill>
                <a:schemeClr val="accent1"/>
              </a:solidFill>
              <a:ln w="25400">
                <a:solidFill>
                  <a:schemeClr val="lt1"/>
                </a:solidFill>
              </a:ln>
              <a:effectLst/>
              <a:sp3d contourW="25400">
                <a:contourClr>
                  <a:schemeClr val="lt1"/>
                </a:contourClr>
              </a:sp3d>
            </c:spPr>
          </c:dPt>
          <c:dPt>
            <c:idx val="1"/>
            <c:bubble3D val="0"/>
            <c:spPr>
              <a:solidFill>
                <a:schemeClr val="accent2"/>
              </a:solidFill>
              <a:ln w="25400">
                <a:solidFill>
                  <a:schemeClr val="lt1"/>
                </a:solidFill>
              </a:ln>
              <a:effectLst/>
              <a:sp3d contourW="25400">
                <a:contourClr>
                  <a:schemeClr val="lt1"/>
                </a:contourClr>
              </a:sp3d>
            </c:spPr>
          </c:dPt>
          <c:dPt>
            <c:idx val="2"/>
            <c:bubble3D val="0"/>
            <c:spPr>
              <a:solidFill>
                <a:schemeClr val="accent3"/>
              </a:solidFill>
              <a:ln w="25400">
                <a:solidFill>
                  <a:schemeClr val="lt1"/>
                </a:solidFill>
              </a:ln>
              <a:effectLst/>
              <a:sp3d contourW="25400">
                <a:contourClr>
                  <a:schemeClr val="lt1"/>
                </a:contourClr>
              </a:sp3d>
            </c:spPr>
          </c:dPt>
          <c:dPt>
            <c:idx val="3"/>
            <c:bubble3D val="0"/>
            <c:spPr>
              <a:solidFill>
                <a:schemeClr val="accent4"/>
              </a:solidFill>
              <a:ln w="25400">
                <a:solidFill>
                  <a:schemeClr val="lt1"/>
                </a:solidFill>
              </a:ln>
              <a:effectLst/>
              <a:sp3d contourW="25400">
                <a:contourClr>
                  <a:schemeClr val="lt1"/>
                </a:contourClr>
              </a:sp3d>
            </c:spPr>
          </c:dPt>
          <c:dPt>
            <c:idx val="4"/>
            <c:bubble3D val="0"/>
            <c:spPr>
              <a:solidFill>
                <a:schemeClr val="accent5"/>
              </a:solidFill>
              <a:ln w="25400">
                <a:solidFill>
                  <a:schemeClr val="lt1"/>
                </a:solidFill>
              </a:ln>
              <a:effectLst/>
              <a:sp3d contourW="25400">
                <a:contourClr>
                  <a:schemeClr val="lt1"/>
                </a:contourClr>
              </a:sp3d>
            </c:spPr>
          </c:dPt>
          <c:dPt>
            <c:idx val="5"/>
            <c:bubble3D val="0"/>
            <c:spPr>
              <a:solidFill>
                <a:schemeClr val="accent6"/>
              </a:solidFill>
              <a:ln w="25400">
                <a:solidFill>
                  <a:schemeClr val="lt1"/>
                </a:solidFill>
              </a:ln>
              <a:effectLst/>
              <a:sp3d contourW="25400">
                <a:contourClr>
                  <a:schemeClr val="lt1"/>
                </a:contourClr>
              </a:sp3d>
            </c:spPr>
          </c:dPt>
          <c:dPt>
            <c:idx val="6"/>
            <c:bubble3D val="0"/>
            <c:spPr>
              <a:solidFill>
                <a:schemeClr val="accent1">
                  <a:lumMod val="60000"/>
                </a:schemeClr>
              </a:solidFill>
              <a:ln w="25400">
                <a:solidFill>
                  <a:schemeClr val="lt1"/>
                </a:solidFill>
              </a:ln>
              <a:effectLst/>
              <a:sp3d contourW="25400">
                <a:contourClr>
                  <a:schemeClr val="lt1"/>
                </a:contourClr>
              </a:sp3d>
            </c:spPr>
          </c:dPt>
          <c:dLbls>
            <c:dLbl>
              <c:idx val="2"/>
              <c:layout>
                <c:manualLayout>
                  <c:x val="-9.8666072161112922E-2"/>
                  <c:y val="-1.3863632009502462E-2"/>
                </c:manualLayout>
              </c:layout>
              <c:dLblPos val="bestFit"/>
              <c:showLegendKey val="0"/>
              <c:showVal val="0"/>
              <c:showCatName val="0"/>
              <c:showSerName val="0"/>
              <c:showPercent val="1"/>
              <c:showBubbleSize val="0"/>
              <c:extLs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SituationAnalysis!$B$446:$B$449</c:f>
              <c:strCache>
                <c:ptCount val="3"/>
                <c:pt idx="0">
                  <c:v>Functional and efficient</c:v>
                </c:pt>
                <c:pt idx="1">
                  <c:v>Not yet set up</c:v>
                </c:pt>
                <c:pt idx="2">
                  <c:v>Set up but low results </c:v>
                </c:pt>
              </c:strCache>
            </c:strRef>
          </c:cat>
          <c:val>
            <c:numRef>
              <c:f>SituationAnalysis!$C$446:$C$449</c:f>
              <c:numCache>
                <c:formatCode>#,##0</c:formatCode>
                <c:ptCount val="3"/>
                <c:pt idx="0">
                  <c:v>58</c:v>
                </c:pt>
                <c:pt idx="1">
                  <c:v>10</c:v>
                </c:pt>
                <c:pt idx="2">
                  <c:v>83</c:v>
                </c:pt>
              </c:numCache>
            </c:numRef>
          </c:val>
        </c:ser>
        <c:dLbls>
          <c:dLblPos val="bestFit"/>
          <c:showLegendKey val="0"/>
          <c:showVal val="1"/>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a:scene3d>
      <a:camera prst="orthographicFront"/>
      <a:lightRig rig="threePt" dir="t"/>
    </a:scene3d>
    <a:sp3d/>
  </c:spPr>
  <c:txPr>
    <a:bodyPr/>
    <a:lstStyle/>
    <a:p>
      <a:pPr>
        <a:defRPr sz="600"/>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2015.xlsx]SituationAnalysis!PivotTable18</c:name>
    <c:fmtId val="19"/>
  </c:pivotSource>
  <c:chart>
    <c:title>
      <c:tx>
        <c:rich>
          <a:bodyPr rot="0" spcFirstLastPara="1" vertOverflow="ellipsis" vert="horz" wrap="square" anchor="ctr" anchorCtr="1"/>
          <a:lstStyle/>
          <a:p>
            <a:pPr>
              <a:defRPr sz="800" b="1" i="0" u="none" strike="noStrike" kern="1200" spc="0" baseline="0">
                <a:solidFill>
                  <a:schemeClr val="tx1">
                    <a:lumMod val="65000"/>
                    <a:lumOff val="35000"/>
                  </a:schemeClr>
                </a:solidFill>
                <a:latin typeface="+mn-lt"/>
                <a:ea typeface="+mn-ea"/>
                <a:cs typeface="+mn-cs"/>
              </a:defRPr>
            </a:pPr>
            <a:r>
              <a:rPr lang="en-US" sz="800" b="1"/>
              <a:t>Type of latrine coverage</a:t>
            </a:r>
          </a:p>
        </c:rich>
      </c:tx>
      <c:layout>
        <c:manualLayout>
          <c:xMode val="edge"/>
          <c:yMode val="edge"/>
          <c:x val="0.30447836877533163"/>
          <c:y val="0"/>
        </c:manualLayout>
      </c:layout>
      <c:overlay val="0"/>
      <c:spPr>
        <a:noFill/>
        <a:ln>
          <a:noFill/>
        </a:ln>
        <a:effectLst/>
      </c:spPr>
      <c:txPr>
        <a:bodyPr rot="0" spcFirstLastPara="1" vertOverflow="ellipsis" vert="horz" wrap="square" anchor="ctr" anchorCtr="1"/>
        <a:lstStyle/>
        <a:p>
          <a:pPr>
            <a:defRPr sz="8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pivotFmt>
      <c:pivotFmt>
        <c:idx val="1"/>
        <c:spPr>
          <a:solidFill>
            <a:schemeClr val="accent1"/>
          </a:solidFill>
          <a:ln>
            <a:noFill/>
          </a:ln>
          <a:effectLst/>
          <a:sp3d/>
        </c:spPr>
        <c:marker>
          <c:symbol val="none"/>
        </c:marker>
      </c:pivotFmt>
      <c:pivotFmt>
        <c:idx val="2"/>
        <c:spPr>
          <a:solidFill>
            <a:schemeClr val="accent1"/>
          </a:solidFill>
          <a:ln>
            <a:noFill/>
          </a:ln>
          <a:effectLst/>
          <a:sp3d/>
        </c:spPr>
        <c:marker>
          <c:symbol val="none"/>
        </c:marker>
      </c:pivotFmt>
      <c:pivotFmt>
        <c:idx val="3"/>
        <c:spPr>
          <a:solidFill>
            <a:schemeClr val="accent1"/>
          </a:solidFill>
          <a:ln>
            <a:noFill/>
          </a:ln>
          <a:effectLst/>
          <a:sp3d/>
        </c:spPr>
        <c:marker>
          <c:symbol val="none"/>
        </c:marker>
      </c:pivotFmt>
      <c:pivotFmt>
        <c:idx val="4"/>
        <c:spPr>
          <a:solidFill>
            <a:schemeClr val="accent1"/>
          </a:solidFill>
          <a:ln>
            <a:noFill/>
          </a:ln>
          <a:effectLst/>
          <a:sp3d/>
        </c:spPr>
        <c:marker>
          <c:symbol val="none"/>
        </c:marker>
      </c:pivotFmt>
      <c:pivotFmt>
        <c:idx val="5"/>
        <c:spPr>
          <a:solidFill>
            <a:schemeClr val="accent1"/>
          </a:solidFill>
          <a:ln>
            <a:noFill/>
          </a:ln>
          <a:effectLst/>
          <a:sp3d/>
        </c:spPr>
        <c:marker>
          <c:symbol val="none"/>
        </c:marker>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manualLayout>
          <c:layoutTarget val="inner"/>
          <c:xMode val="edge"/>
          <c:yMode val="edge"/>
          <c:x val="9.2868391451068621E-2"/>
          <c:y val="0.10326176853792557"/>
          <c:w val="0.88712553787919368"/>
          <c:h val="0.5121856530523613"/>
        </c:manualLayout>
      </c:layout>
      <c:bar3DChart>
        <c:barDir val="col"/>
        <c:grouping val="stacked"/>
        <c:varyColors val="0"/>
        <c:ser>
          <c:idx val="0"/>
          <c:order val="0"/>
          <c:tx>
            <c:strRef>
              <c:f>SituationAnalysis!$C$252</c:f>
              <c:strCache>
                <c:ptCount val="1"/>
                <c:pt idx="0">
                  <c:v>% Coverage Permanent Latrine</c:v>
                </c:pt>
              </c:strCache>
            </c:strRef>
          </c:tx>
          <c:spPr>
            <a:solidFill>
              <a:schemeClr val="accent1"/>
            </a:solidFill>
            <a:ln>
              <a:noFill/>
            </a:ln>
            <a:effectLst/>
            <a:sp3d/>
          </c:spPr>
          <c:invertIfNegative val="0"/>
          <c:cat>
            <c:strRef>
              <c:f>SituationAnalysis!$B$253:$B$271</c:f>
              <c:strCache>
                <c:ptCount val="18"/>
                <c:pt idx="0">
                  <c:v>Bhamo</c:v>
                </c:pt>
                <c:pt idx="1">
                  <c:v>Chipwi</c:v>
                </c:pt>
                <c:pt idx="2">
                  <c:v>Hpakan</c:v>
                </c:pt>
                <c:pt idx="3">
                  <c:v>Khaunglanhpu</c:v>
                </c:pt>
                <c:pt idx="4">
                  <c:v>Kutkai</c:v>
                </c:pt>
                <c:pt idx="5">
                  <c:v>Mansi</c:v>
                </c:pt>
                <c:pt idx="6">
                  <c:v>Manton</c:v>
                </c:pt>
                <c:pt idx="7">
                  <c:v>Mogaung</c:v>
                </c:pt>
                <c:pt idx="8">
                  <c:v>Mohnyin</c:v>
                </c:pt>
                <c:pt idx="9">
                  <c:v>Momauk</c:v>
                </c:pt>
                <c:pt idx="10">
                  <c:v>Muse</c:v>
                </c:pt>
                <c:pt idx="11">
                  <c:v>Myitkyina</c:v>
                </c:pt>
                <c:pt idx="12">
                  <c:v>Namkham</c:v>
                </c:pt>
                <c:pt idx="13">
                  <c:v>Namtu</c:v>
                </c:pt>
                <c:pt idx="14">
                  <c:v>Puta-O</c:v>
                </c:pt>
                <c:pt idx="15">
                  <c:v>Shwegu</c:v>
                </c:pt>
                <c:pt idx="16">
                  <c:v>Waingmaw</c:v>
                </c:pt>
                <c:pt idx="17">
                  <c:v>Hseni</c:v>
                </c:pt>
              </c:strCache>
            </c:strRef>
          </c:cat>
          <c:val>
            <c:numRef>
              <c:f>SituationAnalysis!$C$253:$C$271</c:f>
              <c:numCache>
                <c:formatCode>0%</c:formatCode>
                <c:ptCount val="18"/>
                <c:pt idx="0">
                  <c:v>0.57062302296795486</c:v>
                </c:pt>
                <c:pt idx="1">
                  <c:v>0.40492258832870187</c:v>
                </c:pt>
                <c:pt idx="2">
                  <c:v>0.68018635242532199</c:v>
                </c:pt>
                <c:pt idx="3">
                  <c:v>0</c:v>
                </c:pt>
                <c:pt idx="4">
                  <c:v>0.13339552238805971</c:v>
                </c:pt>
                <c:pt idx="5">
                  <c:v>0.70041152263374484</c:v>
                </c:pt>
                <c:pt idx="6">
                  <c:v>0.23460410557184752</c:v>
                </c:pt>
                <c:pt idx="7">
                  <c:v>0.8606060606060606</c:v>
                </c:pt>
                <c:pt idx="8">
                  <c:v>1</c:v>
                </c:pt>
                <c:pt idx="9">
                  <c:v>0.90168375205821427</c:v>
                </c:pt>
                <c:pt idx="10">
                  <c:v>0</c:v>
                </c:pt>
                <c:pt idx="11">
                  <c:v>0.83668136534378568</c:v>
                </c:pt>
                <c:pt idx="12">
                  <c:v>0.38049940546967898</c:v>
                </c:pt>
                <c:pt idx="13">
                  <c:v>1</c:v>
                </c:pt>
                <c:pt idx="14">
                  <c:v>0</c:v>
                </c:pt>
                <c:pt idx="15">
                  <c:v>0.9563106796116505</c:v>
                </c:pt>
                <c:pt idx="16">
                  <c:v>0.37120284855902969</c:v>
                </c:pt>
                <c:pt idx="17">
                  <c:v>0.41580041580041582</c:v>
                </c:pt>
              </c:numCache>
            </c:numRef>
          </c:val>
        </c:ser>
        <c:ser>
          <c:idx val="1"/>
          <c:order val="1"/>
          <c:tx>
            <c:strRef>
              <c:f>SituationAnalysis!$D$252</c:f>
              <c:strCache>
                <c:ptCount val="1"/>
                <c:pt idx="0">
                  <c:v>% Coverage Emergency latrine</c:v>
                </c:pt>
              </c:strCache>
            </c:strRef>
          </c:tx>
          <c:spPr>
            <a:solidFill>
              <a:schemeClr val="accent2"/>
            </a:solidFill>
            <a:ln>
              <a:noFill/>
            </a:ln>
            <a:effectLst/>
            <a:sp3d/>
          </c:spPr>
          <c:invertIfNegative val="0"/>
          <c:cat>
            <c:strRef>
              <c:f>SituationAnalysis!$B$253:$B$271</c:f>
              <c:strCache>
                <c:ptCount val="18"/>
                <c:pt idx="0">
                  <c:v>Bhamo</c:v>
                </c:pt>
                <c:pt idx="1">
                  <c:v>Chipwi</c:v>
                </c:pt>
                <c:pt idx="2">
                  <c:v>Hpakan</c:v>
                </c:pt>
                <c:pt idx="3">
                  <c:v>Khaunglanhpu</c:v>
                </c:pt>
                <c:pt idx="4">
                  <c:v>Kutkai</c:v>
                </c:pt>
                <c:pt idx="5">
                  <c:v>Mansi</c:v>
                </c:pt>
                <c:pt idx="6">
                  <c:v>Manton</c:v>
                </c:pt>
                <c:pt idx="7">
                  <c:v>Mogaung</c:v>
                </c:pt>
                <c:pt idx="8">
                  <c:v>Mohnyin</c:v>
                </c:pt>
                <c:pt idx="9">
                  <c:v>Momauk</c:v>
                </c:pt>
                <c:pt idx="10">
                  <c:v>Muse</c:v>
                </c:pt>
                <c:pt idx="11">
                  <c:v>Myitkyina</c:v>
                </c:pt>
                <c:pt idx="12">
                  <c:v>Namkham</c:v>
                </c:pt>
                <c:pt idx="13">
                  <c:v>Namtu</c:v>
                </c:pt>
                <c:pt idx="14">
                  <c:v>Puta-O</c:v>
                </c:pt>
                <c:pt idx="15">
                  <c:v>Shwegu</c:v>
                </c:pt>
                <c:pt idx="16">
                  <c:v>Waingmaw</c:v>
                </c:pt>
                <c:pt idx="17">
                  <c:v>Hseni</c:v>
                </c:pt>
              </c:strCache>
            </c:strRef>
          </c:cat>
          <c:val>
            <c:numRef>
              <c:f>SituationAnalysis!$D$253:$D$271</c:f>
              <c:numCache>
                <c:formatCode>0%</c:formatCode>
                <c:ptCount val="18"/>
                <c:pt idx="0">
                  <c:v>0.21001237793976069</c:v>
                </c:pt>
                <c:pt idx="1">
                  <c:v>0.49741961095672887</c:v>
                </c:pt>
                <c:pt idx="2">
                  <c:v>4.9876678542066316E-2</c:v>
                </c:pt>
                <c:pt idx="3">
                  <c:v>0</c:v>
                </c:pt>
                <c:pt idx="4">
                  <c:v>0.8090796019900498</c:v>
                </c:pt>
                <c:pt idx="5">
                  <c:v>0.1637860082304527</c:v>
                </c:pt>
                <c:pt idx="6">
                  <c:v>0.76539589442815248</c:v>
                </c:pt>
                <c:pt idx="7">
                  <c:v>0.1393939393939394</c:v>
                </c:pt>
                <c:pt idx="8">
                  <c:v>0</c:v>
                </c:pt>
                <c:pt idx="9">
                  <c:v>6.6978275880384561E-2</c:v>
                </c:pt>
                <c:pt idx="10">
                  <c:v>0.88123515439429934</c:v>
                </c:pt>
                <c:pt idx="11">
                  <c:v>3.7726604605585495E-2</c:v>
                </c:pt>
                <c:pt idx="12">
                  <c:v>0.41617122473246138</c:v>
                </c:pt>
                <c:pt idx="13">
                  <c:v>0</c:v>
                </c:pt>
                <c:pt idx="14">
                  <c:v>0.5161290322580645</c:v>
                </c:pt>
                <c:pt idx="15">
                  <c:v>4.3689320388349488E-2</c:v>
                </c:pt>
                <c:pt idx="16">
                  <c:v>0.57054634472015131</c:v>
                </c:pt>
                <c:pt idx="17">
                  <c:v>0.53638253638253641</c:v>
                </c:pt>
              </c:numCache>
            </c:numRef>
          </c:val>
        </c:ser>
        <c:dLbls>
          <c:showLegendKey val="0"/>
          <c:showVal val="0"/>
          <c:showCatName val="0"/>
          <c:showSerName val="0"/>
          <c:showPercent val="0"/>
          <c:showBubbleSize val="0"/>
        </c:dLbls>
        <c:gapWidth val="150"/>
        <c:shape val="box"/>
        <c:axId val="203184792"/>
        <c:axId val="203185184"/>
        <c:axId val="0"/>
      </c:bar3DChart>
      <c:catAx>
        <c:axId val="203184792"/>
        <c:scaling>
          <c:orientation val="minMax"/>
        </c:scaling>
        <c:delete val="0"/>
        <c:axPos val="b"/>
        <c:numFmt formatCode="General" sourceLinked="1"/>
        <c:majorTickMark val="none"/>
        <c:minorTickMark val="none"/>
        <c:tickLblPos val="nextTo"/>
        <c:spPr>
          <a:noFill/>
          <a:ln>
            <a:noFill/>
          </a:ln>
          <a:effectLst/>
        </c:spPr>
        <c:txPr>
          <a:bodyPr rot="-3480000" spcFirstLastPara="1" vertOverflow="ellipsis"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203185184"/>
        <c:crosses val="autoZero"/>
        <c:auto val="1"/>
        <c:lblAlgn val="ctr"/>
        <c:lblOffset val="100"/>
        <c:noMultiLvlLbl val="0"/>
      </c:catAx>
      <c:valAx>
        <c:axId val="203185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203184792"/>
        <c:crosses val="autoZero"/>
        <c:crossBetween val="between"/>
      </c:valAx>
      <c:spPr>
        <a:noFill/>
        <a:ln>
          <a:noFill/>
        </a:ln>
        <a:effectLst/>
      </c:spPr>
    </c:plotArea>
    <c:legend>
      <c:legendPos val="b"/>
      <c:layout>
        <c:manualLayout>
          <c:xMode val="edge"/>
          <c:yMode val="edge"/>
          <c:x val="5.7601728355384151E-2"/>
          <c:y val="0.88247738816820565"/>
          <c:w val="0.88479618619101186"/>
          <c:h val="0.11752261183179438"/>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a:scene3d>
      <a:camera prst="orthographicFront"/>
      <a:lightRig rig="threePt" dir="t"/>
    </a:scene3d>
    <a:sp3d/>
  </c:spPr>
  <c:txPr>
    <a:bodyPr/>
    <a:lstStyle/>
    <a:p>
      <a:pPr>
        <a:defRPr sz="600"/>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2015.xlsx]SituationAnalysis!PivotTable23</c:name>
    <c:fmtId val="27"/>
  </c:pivotSource>
  <c:chart>
    <c:title>
      <c:tx>
        <c:rich>
          <a:bodyPr rot="0" spcFirstLastPara="1" vertOverflow="ellipsis" vert="horz" wrap="square" anchor="ctr" anchorCtr="1"/>
          <a:lstStyle/>
          <a:p>
            <a:pPr>
              <a:defRPr sz="800" b="1" i="0" u="none" strike="noStrike" kern="1200" spc="0" baseline="0">
                <a:solidFill>
                  <a:schemeClr val="tx1">
                    <a:lumMod val="65000"/>
                    <a:lumOff val="35000"/>
                  </a:schemeClr>
                </a:solidFill>
                <a:latin typeface="+mn-lt"/>
                <a:ea typeface="+mn-ea"/>
                <a:cs typeface="+mn-cs"/>
              </a:defRPr>
            </a:pPr>
            <a:r>
              <a:rPr lang="en-US" sz="800" b="1"/>
              <a:t>Full HK coverage</a:t>
            </a:r>
          </a:p>
        </c:rich>
      </c:tx>
      <c:layout>
        <c:manualLayout>
          <c:xMode val="edge"/>
          <c:yMode val="edge"/>
          <c:x val="0.3571200028567858"/>
          <c:y val="1.9464735111010295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pivotFmt>
      <c:pivotFmt>
        <c:idx val="1"/>
        <c:spPr>
          <a:solidFill>
            <a:schemeClr val="accent1"/>
          </a:solidFill>
          <a:ln>
            <a:noFill/>
          </a:ln>
          <a:effectLst/>
          <a:sp3d/>
        </c:spPr>
        <c:marker>
          <c:symbol val="none"/>
        </c:marker>
      </c:pivotFmt>
      <c:pivotFmt>
        <c:idx val="2"/>
        <c:spPr>
          <a:solidFill>
            <a:schemeClr val="accent1"/>
          </a:solidFill>
          <a:ln>
            <a:noFill/>
          </a:ln>
          <a:effectLst/>
          <a:sp3d/>
        </c:spPr>
        <c:marker>
          <c:symbol val="none"/>
        </c:marker>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manualLayout>
          <c:layoutTarget val="inner"/>
          <c:xMode val="edge"/>
          <c:yMode val="edge"/>
          <c:x val="0.10193868623564911"/>
          <c:y val="0.10476931989908991"/>
          <c:w val="0.86711518203081761"/>
          <c:h val="0.5967726856123422"/>
        </c:manualLayout>
      </c:layout>
      <c:bar3DChart>
        <c:barDir val="col"/>
        <c:grouping val="clustered"/>
        <c:varyColors val="0"/>
        <c:ser>
          <c:idx val="0"/>
          <c:order val="0"/>
          <c:tx>
            <c:strRef>
              <c:f>SituationAnalysis!$C$374</c:f>
              <c:strCache>
                <c:ptCount val="1"/>
                <c:pt idx="0">
                  <c:v>Total</c:v>
                </c:pt>
              </c:strCache>
            </c:strRef>
          </c:tx>
          <c:spPr>
            <a:solidFill>
              <a:schemeClr val="accent1"/>
            </a:solidFill>
            <a:ln>
              <a:noFill/>
            </a:ln>
            <a:effectLst/>
            <a:sp3d/>
          </c:spPr>
          <c:invertIfNegative val="0"/>
          <c:cat>
            <c:strRef>
              <c:f>SituationAnalysis!$B$375:$B$393</c:f>
              <c:strCache>
                <c:ptCount val="18"/>
                <c:pt idx="0">
                  <c:v>Bhamo</c:v>
                </c:pt>
                <c:pt idx="1">
                  <c:v>Chipwi</c:v>
                </c:pt>
                <c:pt idx="2">
                  <c:v>Hpakan</c:v>
                </c:pt>
                <c:pt idx="3">
                  <c:v>Khaunglanhpu</c:v>
                </c:pt>
                <c:pt idx="4">
                  <c:v>Kutkai</c:v>
                </c:pt>
                <c:pt idx="5">
                  <c:v>Mansi</c:v>
                </c:pt>
                <c:pt idx="6">
                  <c:v>Manton</c:v>
                </c:pt>
                <c:pt idx="7">
                  <c:v>Mogaung</c:v>
                </c:pt>
                <c:pt idx="8">
                  <c:v>Mohnyin</c:v>
                </c:pt>
                <c:pt idx="9">
                  <c:v>Momauk</c:v>
                </c:pt>
                <c:pt idx="10">
                  <c:v>Muse</c:v>
                </c:pt>
                <c:pt idx="11">
                  <c:v>Myitkyina</c:v>
                </c:pt>
                <c:pt idx="12">
                  <c:v>Namkham</c:v>
                </c:pt>
                <c:pt idx="13">
                  <c:v>Namtu</c:v>
                </c:pt>
                <c:pt idx="14">
                  <c:v>Puta-O</c:v>
                </c:pt>
                <c:pt idx="15">
                  <c:v>Shwegu</c:v>
                </c:pt>
                <c:pt idx="16">
                  <c:v>Waingmaw</c:v>
                </c:pt>
                <c:pt idx="17">
                  <c:v>Hseni</c:v>
                </c:pt>
              </c:strCache>
            </c:strRef>
          </c:cat>
          <c:val>
            <c:numRef>
              <c:f>SituationAnalysis!$C$375:$C$393</c:f>
              <c:numCache>
                <c:formatCode>0%</c:formatCode>
                <c:ptCount val="18"/>
                <c:pt idx="0">
                  <c:v>0</c:v>
                </c:pt>
                <c:pt idx="1">
                  <c:v>0.8062723302897975</c:v>
                </c:pt>
                <c:pt idx="2">
                  <c:v>1.4031241436009867E-2</c:v>
                </c:pt>
                <c:pt idx="3">
                  <c:v>0</c:v>
                </c:pt>
                <c:pt idx="4">
                  <c:v>0.81790715823527149</c:v>
                </c:pt>
                <c:pt idx="5">
                  <c:v>0.78016288585844962</c:v>
                </c:pt>
                <c:pt idx="6">
                  <c:v>0.46041055718475071</c:v>
                </c:pt>
                <c:pt idx="7">
                  <c:v>0.83449883449883444</c:v>
                </c:pt>
                <c:pt idx="8">
                  <c:v>0.625</c:v>
                </c:pt>
                <c:pt idx="9">
                  <c:v>0.23285706697827588</c:v>
                </c:pt>
                <c:pt idx="10">
                  <c:v>0.69833729216152018</c:v>
                </c:pt>
                <c:pt idx="11">
                  <c:v>0.81029977807122178</c:v>
                </c:pt>
                <c:pt idx="12">
                  <c:v>0.99711881459800611</c:v>
                </c:pt>
                <c:pt idx="13">
                  <c:v>1</c:v>
                </c:pt>
                <c:pt idx="14">
                  <c:v>1</c:v>
                </c:pt>
                <c:pt idx="15">
                  <c:v>0</c:v>
                </c:pt>
                <c:pt idx="16">
                  <c:v>0.82281009336617461</c:v>
                </c:pt>
                <c:pt idx="17">
                  <c:v>0.46361746361746364</c:v>
                </c:pt>
              </c:numCache>
            </c:numRef>
          </c:val>
        </c:ser>
        <c:dLbls>
          <c:showLegendKey val="0"/>
          <c:showVal val="0"/>
          <c:showCatName val="0"/>
          <c:showSerName val="0"/>
          <c:showPercent val="0"/>
          <c:showBubbleSize val="0"/>
        </c:dLbls>
        <c:gapWidth val="150"/>
        <c:shape val="box"/>
        <c:axId val="203185968"/>
        <c:axId val="203186360"/>
        <c:axId val="0"/>
      </c:bar3DChart>
      <c:catAx>
        <c:axId val="203185968"/>
        <c:scaling>
          <c:orientation val="minMax"/>
        </c:scaling>
        <c:delete val="0"/>
        <c:axPos val="b"/>
        <c:numFmt formatCode="General" sourceLinked="1"/>
        <c:majorTickMark val="none"/>
        <c:minorTickMark val="none"/>
        <c:tickLblPos val="nextTo"/>
        <c:spPr>
          <a:noFill/>
          <a:ln>
            <a:noFill/>
          </a:ln>
          <a:effectLst/>
        </c:spPr>
        <c:txPr>
          <a:bodyPr rot="-2880000" spcFirstLastPara="1" vertOverflow="ellipsis"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203186360"/>
        <c:crosses val="autoZero"/>
        <c:auto val="1"/>
        <c:lblAlgn val="ctr"/>
        <c:lblOffset val="100"/>
        <c:noMultiLvlLbl val="0"/>
      </c:catAx>
      <c:valAx>
        <c:axId val="203186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2031859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a:scene3d>
      <a:camera prst="orthographicFront"/>
      <a:lightRig rig="threePt" dir="t"/>
    </a:scene3d>
    <a:sp3d/>
  </c:spPr>
  <c:txPr>
    <a:bodyPr/>
    <a:lstStyle/>
    <a:p>
      <a:pPr>
        <a:defRPr sz="600"/>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2015.xlsx]SituationAnalysis!PivotTable27</c:name>
    <c:fmtId val="35"/>
  </c:pivotSource>
  <c:chart>
    <c:title>
      <c:tx>
        <c:rich>
          <a:bodyPr rot="0" spcFirstLastPara="1" vertOverflow="ellipsis" vert="horz" wrap="square" anchor="ctr" anchorCtr="1"/>
          <a:lstStyle/>
          <a:p>
            <a:pPr>
              <a:defRPr sz="800" b="1" i="0" u="none" strike="noStrike" kern="1200" spc="0" baseline="0">
                <a:solidFill>
                  <a:schemeClr val="tx1">
                    <a:lumMod val="65000"/>
                    <a:lumOff val="35000"/>
                  </a:schemeClr>
                </a:solidFill>
                <a:latin typeface="+mn-lt"/>
                <a:ea typeface="+mn-ea"/>
                <a:cs typeface="+mn-cs"/>
              </a:defRPr>
            </a:pPr>
            <a:r>
              <a:rPr lang="en-US" sz="800" b="1"/>
              <a:t>Gender consideration for latrines</a:t>
            </a:r>
          </a:p>
        </c:rich>
      </c:tx>
      <c:layout>
        <c:manualLayout>
          <c:xMode val="edge"/>
          <c:yMode val="edge"/>
          <c:x val="0.21927264228957677"/>
          <c:y val="3.2552017954277451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25400">
            <a:solidFill>
              <a:schemeClr val="lt1"/>
            </a:solidFill>
          </a:ln>
          <a:effectLst/>
          <a:sp3d contourW="25400">
            <a:contourClr>
              <a:schemeClr val="lt1"/>
            </a:contourClr>
          </a:sp3d>
        </c:spPr>
      </c:pivotFmt>
      <c:pivotFmt>
        <c:idx val="2"/>
        <c:spPr>
          <a:solidFill>
            <a:schemeClr val="accent1"/>
          </a:solidFill>
          <a:ln w="25400">
            <a:solidFill>
              <a:schemeClr val="lt1"/>
            </a:solidFill>
          </a:ln>
          <a:effectLst/>
          <a:sp3d contourW="25400">
            <a:contourClr>
              <a:schemeClr val="lt1"/>
            </a:contourClr>
          </a:sp3d>
        </c:spPr>
      </c:pivotFmt>
      <c:pivotFmt>
        <c:idx val="3"/>
        <c:spPr>
          <a:solidFill>
            <a:schemeClr val="accent1"/>
          </a:solidFill>
          <a:ln w="25400">
            <a:solidFill>
              <a:schemeClr val="lt1"/>
            </a:solidFill>
          </a:ln>
          <a:effectLst/>
          <a:sp3d contourW="25400">
            <a:contourClr>
              <a:schemeClr val="lt1"/>
            </a:contourClr>
          </a:sp3d>
        </c:spPr>
      </c:pivotFmt>
      <c:pivotFmt>
        <c:idx val="4"/>
        <c:spPr>
          <a:solidFill>
            <a:schemeClr val="accent1"/>
          </a:solidFill>
          <a:ln w="25400">
            <a:solidFill>
              <a:schemeClr val="lt1"/>
            </a:solidFill>
          </a:ln>
          <a:effectLst/>
          <a:sp3d contourW="25400">
            <a:contourClr>
              <a:schemeClr val="lt1"/>
            </a:contourClr>
          </a:sp3d>
        </c:spPr>
      </c:pivotFmt>
      <c:pivotFmt>
        <c:idx val="5"/>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6"/>
      </c:pivotFmt>
      <c:pivotFmt>
        <c:idx val="7"/>
      </c:pivotFmt>
      <c:pivotFmt>
        <c:idx val="8"/>
      </c:pivotFmt>
      <c:pivotFmt>
        <c:idx val="9"/>
      </c:pivotFmt>
      <c:pivotFmt>
        <c:idx val="10"/>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1"/>
        <c:spPr>
          <a:solidFill>
            <a:schemeClr val="accent1"/>
          </a:solidFill>
          <a:ln w="25400">
            <a:solidFill>
              <a:schemeClr val="lt1"/>
            </a:solidFill>
          </a:ln>
          <a:effectLst/>
          <a:sp3d contourW="25400">
            <a:contourClr>
              <a:schemeClr val="lt1"/>
            </a:contourClr>
          </a:sp3d>
        </c:spPr>
      </c:pivotFmt>
      <c:pivotFmt>
        <c:idx val="12"/>
        <c:spPr>
          <a:solidFill>
            <a:schemeClr val="accent1"/>
          </a:solidFill>
          <a:ln w="25400">
            <a:solidFill>
              <a:schemeClr val="lt1"/>
            </a:solidFill>
          </a:ln>
          <a:effectLst/>
          <a:sp3d contourW="25400">
            <a:contourClr>
              <a:schemeClr val="lt1"/>
            </a:contourClr>
          </a:sp3d>
        </c:spPr>
      </c:pivotFmt>
      <c:pivotFmt>
        <c:idx val="13"/>
        <c:spPr>
          <a:solidFill>
            <a:schemeClr val="accent1"/>
          </a:solidFill>
          <a:ln w="25400">
            <a:solidFill>
              <a:schemeClr val="lt1"/>
            </a:solidFill>
          </a:ln>
          <a:effectLst/>
          <a:sp3d contourW="25400">
            <a:contourClr>
              <a:schemeClr val="lt1"/>
            </a:contourClr>
          </a:sp3d>
        </c:spPr>
      </c:pivotFmt>
      <c:pivotFmt>
        <c:idx val="14"/>
        <c:spPr>
          <a:solidFill>
            <a:schemeClr val="accent1"/>
          </a:solidFill>
          <a:ln w="25400">
            <a:solidFill>
              <a:schemeClr val="lt1"/>
            </a:solidFill>
          </a:ln>
          <a:effectLst/>
          <a:sp3d contourW="25400">
            <a:contourClr>
              <a:schemeClr val="lt1"/>
            </a:contourClr>
          </a:sp3d>
        </c:spPr>
      </c:pivotFmt>
      <c:pivotFmt>
        <c:idx val="15"/>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6"/>
        <c:spPr>
          <a:solidFill>
            <a:schemeClr val="accent1"/>
          </a:solidFill>
          <a:ln w="25400">
            <a:solidFill>
              <a:schemeClr val="lt1"/>
            </a:solidFill>
          </a:ln>
          <a:effectLst/>
          <a:sp3d contourW="25400">
            <a:contourClr>
              <a:schemeClr val="lt1"/>
            </a:contourClr>
          </a:sp3d>
        </c:spPr>
      </c:pivotFmt>
      <c:pivotFmt>
        <c:idx val="17"/>
        <c:spPr>
          <a:solidFill>
            <a:schemeClr val="accent1"/>
          </a:solidFill>
          <a:ln w="25400">
            <a:solidFill>
              <a:schemeClr val="lt1"/>
            </a:solidFill>
          </a:ln>
          <a:effectLst/>
          <a:sp3d contourW="25400">
            <a:contourClr>
              <a:schemeClr val="lt1"/>
            </a:contourClr>
          </a:sp3d>
        </c:spPr>
      </c:pivotFmt>
      <c:pivotFmt>
        <c:idx val="18"/>
        <c:spPr>
          <a:solidFill>
            <a:schemeClr val="accent1"/>
          </a:solidFill>
          <a:ln w="25400">
            <a:solidFill>
              <a:schemeClr val="lt1"/>
            </a:solidFill>
          </a:ln>
          <a:effectLst/>
          <a:sp3d contourW="25400">
            <a:contourClr>
              <a:schemeClr val="lt1"/>
            </a:contourClr>
          </a:sp3d>
        </c:spPr>
      </c:pivotFmt>
      <c:pivotFmt>
        <c:idx val="19"/>
        <c:spPr>
          <a:solidFill>
            <a:schemeClr val="accent1"/>
          </a:solidFill>
          <a:ln w="25400">
            <a:solidFill>
              <a:schemeClr val="lt1"/>
            </a:solidFill>
          </a:ln>
          <a:effectLst/>
          <a:sp3d contourW="25400">
            <a:contourClr>
              <a:schemeClr val="lt1"/>
            </a:contourClr>
          </a:sp3d>
        </c:spPr>
      </c:pivotFmt>
      <c:pivotFmt>
        <c:idx val="20"/>
        <c:spPr>
          <a:solidFill>
            <a:schemeClr val="accent1"/>
          </a:solidFill>
          <a:ln w="25400">
            <a:solidFill>
              <a:schemeClr val="lt1"/>
            </a:solidFill>
          </a:ln>
          <a:effectLst/>
          <a:sp3d contourW="25400">
            <a:contourClr>
              <a:schemeClr val="lt1"/>
            </a:contourClr>
          </a:sp3d>
        </c:spPr>
      </c:pivotFmt>
      <c:pivotFmt>
        <c:idx val="21"/>
        <c:spPr>
          <a:solidFill>
            <a:schemeClr val="accent1"/>
          </a:solidFill>
          <a:ln w="25400">
            <a:solidFill>
              <a:schemeClr val="lt1"/>
            </a:solidFill>
          </a:ln>
          <a:effectLst/>
          <a:sp3d contourW="25400">
            <a:contourClr>
              <a:schemeClr val="lt1"/>
            </a:contourClr>
          </a:sp3d>
        </c:spPr>
      </c:pivotFmt>
      <c:pivotFmt>
        <c:idx val="22"/>
        <c:spPr>
          <a:solidFill>
            <a:schemeClr val="accent1"/>
          </a:solidFill>
          <a:ln w="25400">
            <a:solidFill>
              <a:schemeClr val="lt1"/>
            </a:solidFill>
          </a:ln>
          <a:effectLst/>
          <a:sp3d contourW="25400">
            <a:contourClr>
              <a:schemeClr val="lt1"/>
            </a:contourClr>
          </a:sp3d>
        </c:spPr>
      </c:pivotFmt>
      <c:pivotFmt>
        <c:idx val="23"/>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24"/>
        <c:spPr>
          <a:solidFill>
            <a:schemeClr val="accent1"/>
          </a:solidFill>
          <a:ln w="25400">
            <a:solidFill>
              <a:schemeClr val="lt1"/>
            </a:solidFill>
          </a:ln>
          <a:effectLst/>
          <a:sp3d contourW="25400">
            <a:contourClr>
              <a:schemeClr val="lt1"/>
            </a:contourClr>
          </a:sp3d>
        </c:spPr>
      </c:pivotFmt>
      <c:pivotFmt>
        <c:idx val="25"/>
        <c:spPr>
          <a:solidFill>
            <a:schemeClr val="accent1"/>
          </a:solidFill>
          <a:ln w="25400">
            <a:solidFill>
              <a:schemeClr val="lt1"/>
            </a:solidFill>
          </a:ln>
          <a:effectLst/>
          <a:sp3d contourW="25400">
            <a:contourClr>
              <a:schemeClr val="lt1"/>
            </a:contourClr>
          </a:sp3d>
        </c:spPr>
      </c:pivotFmt>
      <c:pivotFmt>
        <c:idx val="26"/>
        <c:spPr>
          <a:solidFill>
            <a:schemeClr val="accent1"/>
          </a:solidFill>
          <a:ln w="25400">
            <a:solidFill>
              <a:schemeClr val="lt1"/>
            </a:solidFill>
          </a:ln>
          <a:effectLst/>
          <a:sp3d contourW="25400">
            <a:contourClr>
              <a:schemeClr val="lt1"/>
            </a:contourClr>
          </a:sp3d>
        </c:spPr>
      </c:pivotFmt>
      <c:pivotFmt>
        <c:idx val="27"/>
        <c:spPr>
          <a:solidFill>
            <a:schemeClr val="accent1"/>
          </a:solidFill>
          <a:ln w="25400">
            <a:solidFill>
              <a:schemeClr val="lt1"/>
            </a:solidFill>
          </a:ln>
          <a:effectLst/>
          <a:sp3d contourW="25400">
            <a:contourClr>
              <a:schemeClr val="lt1"/>
            </a:contourClr>
          </a:sp3d>
        </c:spPr>
      </c:pivotFmt>
      <c:pivotFmt>
        <c:idx val="28"/>
        <c:spPr>
          <a:solidFill>
            <a:schemeClr val="accent1"/>
          </a:solidFill>
          <a:ln w="25400">
            <a:solidFill>
              <a:schemeClr val="lt1"/>
            </a:solidFill>
          </a:ln>
          <a:effectLst/>
          <a:sp3d contourW="25400">
            <a:contourClr>
              <a:schemeClr val="lt1"/>
            </a:contourClr>
          </a:sp3d>
        </c:spPr>
      </c:pivotFmt>
      <c:pivotFmt>
        <c:idx val="29"/>
        <c:spPr>
          <a:solidFill>
            <a:schemeClr val="accent1"/>
          </a:solidFill>
          <a:ln w="25400">
            <a:solidFill>
              <a:schemeClr val="lt1"/>
            </a:solidFill>
          </a:ln>
          <a:effectLst/>
          <a:sp3d contourW="25400">
            <a:contourClr>
              <a:schemeClr val="lt1"/>
            </a:contourClr>
          </a:sp3d>
        </c:spPr>
      </c:pivotFmt>
      <c:pivotFmt>
        <c:idx val="30"/>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31"/>
        <c:spPr>
          <a:solidFill>
            <a:schemeClr val="accent1"/>
          </a:solidFill>
          <a:ln w="25400">
            <a:solidFill>
              <a:schemeClr val="lt1"/>
            </a:solidFill>
          </a:ln>
          <a:effectLst/>
          <a:sp3d contourW="25400">
            <a:contourClr>
              <a:schemeClr val="lt1"/>
            </a:contourClr>
          </a:sp3d>
        </c:spPr>
      </c:pivotFmt>
      <c:pivotFmt>
        <c:idx val="32"/>
        <c:spPr>
          <a:solidFill>
            <a:schemeClr val="accent1"/>
          </a:solidFill>
          <a:ln w="25400">
            <a:solidFill>
              <a:schemeClr val="lt1"/>
            </a:solidFill>
          </a:ln>
          <a:effectLst/>
          <a:sp3d contourW="25400">
            <a:contourClr>
              <a:schemeClr val="lt1"/>
            </a:contourClr>
          </a:sp3d>
        </c:spPr>
      </c:pivotFmt>
      <c:pivotFmt>
        <c:idx val="33"/>
        <c:spPr>
          <a:solidFill>
            <a:schemeClr val="accent1"/>
          </a:solidFill>
          <a:ln w="25400">
            <a:solidFill>
              <a:schemeClr val="lt1"/>
            </a:solidFill>
          </a:ln>
          <a:effectLst/>
          <a:sp3d contourW="25400">
            <a:contourClr>
              <a:schemeClr val="lt1"/>
            </a:contourClr>
          </a:sp3d>
        </c:spPr>
      </c:pivotFmt>
      <c:pivotFmt>
        <c:idx val="34"/>
        <c:spPr>
          <a:solidFill>
            <a:schemeClr val="accent1"/>
          </a:solidFill>
          <a:ln w="25400">
            <a:solidFill>
              <a:schemeClr val="lt1"/>
            </a:solidFill>
          </a:ln>
          <a:effectLst/>
          <a:sp3d contourW="25400">
            <a:contourClr>
              <a:schemeClr val="lt1"/>
            </a:contourClr>
          </a:sp3d>
        </c:spPr>
      </c:pivotFmt>
      <c:pivotFmt>
        <c:idx val="35"/>
        <c:spPr>
          <a:solidFill>
            <a:schemeClr val="accent1"/>
          </a:solidFill>
          <a:ln w="25400">
            <a:solidFill>
              <a:schemeClr val="lt1"/>
            </a:solidFill>
          </a:ln>
          <a:effectLst/>
          <a:sp3d contourW="25400">
            <a:contourClr>
              <a:schemeClr val="lt1"/>
            </a:contourClr>
          </a:sp3d>
        </c:spPr>
        <c:dLbl>
          <c:idx val="0"/>
          <c:layout>
            <c:manualLayout>
              <c:x val="-0.12113436162945383"/>
              <c:y val="2.5318574308646202E-3"/>
            </c:manualLayout>
          </c:layout>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layout>
                <c:manualLayout>
                  <c:w val="6.5433789954337906E-2"/>
                  <c:h val="0.12874434173989122"/>
                </c:manualLayout>
              </c15:layout>
            </c:ext>
          </c:extLst>
        </c:dLbl>
      </c:pivotFmt>
      <c:pivotFmt>
        <c:idx val="36"/>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7625930320353791E-2"/>
          <c:y val="0.22364106660580471"/>
          <c:w val="0.54192535864523783"/>
          <c:h val="0.61832173152268999"/>
        </c:manualLayout>
      </c:layout>
      <c:pie3DChart>
        <c:varyColors val="1"/>
        <c:ser>
          <c:idx val="0"/>
          <c:order val="0"/>
          <c:tx>
            <c:strRef>
              <c:f>SituationAnalysis!$C$464</c:f>
              <c:strCache>
                <c:ptCount val="1"/>
                <c:pt idx="0">
                  <c:v>Total</c:v>
                </c:pt>
              </c:strCache>
            </c:strRef>
          </c:tx>
          <c:explosion val="6"/>
          <c:dPt>
            <c:idx val="0"/>
            <c:bubble3D val="0"/>
            <c:spPr>
              <a:solidFill>
                <a:schemeClr val="accent1"/>
              </a:solidFill>
              <a:ln w="25400">
                <a:solidFill>
                  <a:schemeClr val="lt1"/>
                </a:solidFill>
              </a:ln>
              <a:effectLst/>
              <a:sp3d contourW="25400">
                <a:contourClr>
                  <a:schemeClr val="lt1"/>
                </a:contourClr>
              </a:sp3d>
            </c:spPr>
          </c:dPt>
          <c:dPt>
            <c:idx val="1"/>
            <c:bubble3D val="0"/>
            <c:spPr>
              <a:solidFill>
                <a:schemeClr val="accent2"/>
              </a:solidFill>
              <a:ln w="25400">
                <a:solidFill>
                  <a:schemeClr val="lt1"/>
                </a:solidFill>
              </a:ln>
              <a:effectLst/>
              <a:sp3d contourW="25400">
                <a:contourClr>
                  <a:schemeClr val="lt1"/>
                </a:contourClr>
              </a:sp3d>
            </c:spPr>
          </c:dPt>
          <c:dPt>
            <c:idx val="2"/>
            <c:bubble3D val="0"/>
            <c:spPr>
              <a:solidFill>
                <a:schemeClr val="accent3"/>
              </a:solidFill>
              <a:ln w="25400">
                <a:solidFill>
                  <a:schemeClr val="lt1"/>
                </a:solidFill>
              </a:ln>
              <a:effectLst/>
              <a:sp3d contourW="25400">
                <a:contourClr>
                  <a:schemeClr val="lt1"/>
                </a:contourClr>
              </a:sp3d>
            </c:spPr>
          </c:dPt>
          <c:dPt>
            <c:idx val="3"/>
            <c:bubble3D val="0"/>
            <c:spPr>
              <a:solidFill>
                <a:schemeClr val="accent4"/>
              </a:solidFill>
              <a:ln w="25400">
                <a:solidFill>
                  <a:schemeClr val="lt1"/>
                </a:solidFill>
              </a:ln>
              <a:effectLst/>
              <a:sp3d contourW="25400">
                <a:contourClr>
                  <a:schemeClr val="lt1"/>
                </a:contourClr>
              </a:sp3d>
            </c:spPr>
          </c:dPt>
          <c:dPt>
            <c:idx val="4"/>
            <c:bubble3D val="0"/>
            <c:spPr>
              <a:solidFill>
                <a:schemeClr val="accent5"/>
              </a:solidFill>
              <a:ln w="25400">
                <a:solidFill>
                  <a:schemeClr val="lt1"/>
                </a:solidFill>
              </a:ln>
              <a:effectLst/>
              <a:sp3d contourW="25400">
                <a:contourClr>
                  <a:schemeClr val="lt1"/>
                </a:contourClr>
              </a:sp3d>
            </c:spPr>
          </c:dPt>
          <c:dPt>
            <c:idx val="5"/>
            <c:bubble3D val="0"/>
            <c:spPr>
              <a:solidFill>
                <a:schemeClr val="accent6"/>
              </a:solidFill>
              <a:ln w="25400">
                <a:solidFill>
                  <a:schemeClr val="lt1"/>
                </a:solidFill>
              </a:ln>
              <a:effectLst/>
              <a:sp3d contourW="25400">
                <a:contourClr>
                  <a:schemeClr val="lt1"/>
                </a:contourClr>
              </a:sp3d>
            </c:spPr>
          </c:dPt>
          <c:dLbls>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SituationAnalysis!$B$465:$B$469</c:f>
              <c:strCache>
                <c:ptCount val="4"/>
                <c:pt idx="0">
                  <c:v>Latrine shared by families , not separated</c:v>
                </c:pt>
                <c:pt idx="1">
                  <c:v>Not separated yet</c:v>
                </c:pt>
                <c:pt idx="2">
                  <c:v>Separate, but not clearly perceived</c:v>
                </c:pt>
                <c:pt idx="3">
                  <c:v>Separate, clearly perceived</c:v>
                </c:pt>
              </c:strCache>
            </c:strRef>
          </c:cat>
          <c:val>
            <c:numRef>
              <c:f>SituationAnalysis!$C$465:$C$469</c:f>
              <c:numCache>
                <c:formatCode>0</c:formatCode>
                <c:ptCount val="4"/>
                <c:pt idx="0">
                  <c:v>74</c:v>
                </c:pt>
                <c:pt idx="1">
                  <c:v>40</c:v>
                </c:pt>
                <c:pt idx="2">
                  <c:v>8</c:v>
                </c:pt>
                <c:pt idx="3">
                  <c:v>29</c:v>
                </c:pt>
              </c:numCache>
            </c:numRef>
          </c:val>
        </c:ser>
        <c:dLbls>
          <c:dLblPos val="bestFit"/>
          <c:showLegendKey val="0"/>
          <c:showVal val="1"/>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a:scene3d>
      <a:camera prst="orthographicFront"/>
      <a:lightRig rig="threePt" dir="t"/>
    </a:scene3d>
    <a:sp3d/>
  </c:spPr>
  <c:txPr>
    <a:bodyPr/>
    <a:lstStyle/>
    <a:p>
      <a:pPr>
        <a:defRPr sz="600"/>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a:t>Ending date water funds/project coverage </a:t>
            </a:r>
          </a:p>
        </c:rich>
      </c:tx>
      <c:overlay val="0"/>
    </c:title>
    <c:autoTitleDeleted val="0"/>
    <c:pivotFmts>
      <c:pivotFmt>
        <c:idx val="0"/>
        <c:marker>
          <c:symbol val="none"/>
        </c:marker>
        <c:dLbl>
          <c:idx val="0"/>
          <c:delete val="1"/>
          <c:extLst>
            <c:ext xmlns:c15="http://schemas.microsoft.com/office/drawing/2012/chart" uri="{CE6537A1-D6FC-4f65-9D91-7224C49458BB}"/>
          </c:extLst>
        </c:dLbl>
      </c:pivotFmt>
      <c:pivotFmt>
        <c:idx val="1"/>
        <c:dLbl>
          <c:idx val="0"/>
          <c:showLegendKey val="0"/>
          <c:showVal val="1"/>
          <c:showCatName val="0"/>
          <c:showSerName val="0"/>
          <c:showPercent val="0"/>
          <c:showBubbleSize val="0"/>
          <c:extLst>
            <c:ext xmlns:c15="http://schemas.microsoft.com/office/drawing/2012/chart" uri="{CE6537A1-D6FC-4f65-9D91-7224C49458BB}"/>
          </c:extLst>
        </c:dLbl>
      </c:pivotFmt>
      <c:pivotFmt>
        <c:idx val="2"/>
        <c:dLbl>
          <c:idx val="0"/>
          <c:showLegendKey val="0"/>
          <c:showVal val="1"/>
          <c:showCatName val="0"/>
          <c:showSerName val="0"/>
          <c:showPercent val="0"/>
          <c:showBubbleSize val="0"/>
          <c:extLst>
            <c:ext xmlns:c15="http://schemas.microsoft.com/office/drawing/2012/chart" uri="{CE6537A1-D6FC-4f65-9D91-7224C49458BB}"/>
          </c:extLst>
        </c:dLbl>
      </c:pivotFmt>
      <c:pivotFmt>
        <c:idx val="3"/>
        <c:dLbl>
          <c:idx val="0"/>
          <c:showLegendKey val="0"/>
          <c:showVal val="1"/>
          <c:showCatName val="0"/>
          <c:showSerName val="0"/>
          <c:showPercent val="0"/>
          <c:showBubbleSize val="0"/>
          <c:extLst>
            <c:ext xmlns:c15="http://schemas.microsoft.com/office/drawing/2012/chart" uri="{CE6537A1-D6FC-4f65-9D91-7224C49458BB}"/>
          </c:extLst>
        </c:dLbl>
      </c:pivotFmt>
      <c:pivotFmt>
        <c:idx val="4"/>
        <c:dLbl>
          <c:idx val="0"/>
          <c:showLegendKey val="0"/>
          <c:showVal val="1"/>
          <c:showCatName val="0"/>
          <c:showSerName val="0"/>
          <c:showPercent val="0"/>
          <c:showBubbleSize val="0"/>
          <c:extLst>
            <c:ext xmlns:c15="http://schemas.microsoft.com/office/drawing/2012/chart" uri="{CE6537A1-D6FC-4f65-9D91-7224C49458BB}"/>
          </c:extLst>
        </c:dLbl>
      </c:pivotFmt>
      <c:pivotFmt>
        <c:idx val="5"/>
        <c:dLbl>
          <c:idx val="0"/>
          <c:showLegendKey val="0"/>
          <c:showVal val="1"/>
          <c:showCatName val="0"/>
          <c:showSerName val="0"/>
          <c:showPercent val="0"/>
          <c:showBubbleSize val="0"/>
          <c:extLst>
            <c:ext xmlns:c15="http://schemas.microsoft.com/office/drawing/2012/chart" uri="{CE6537A1-D6FC-4f65-9D91-7224C49458BB}"/>
          </c:extLst>
        </c:dLbl>
      </c:pivotFmt>
      <c:pivotFmt>
        <c:idx val="6"/>
        <c:dLbl>
          <c:idx val="0"/>
          <c:showLegendKey val="0"/>
          <c:showVal val="1"/>
          <c:showCatName val="0"/>
          <c:showSerName val="0"/>
          <c:showPercent val="0"/>
          <c:showBubbleSize val="0"/>
          <c:extLst>
            <c:ext xmlns:c15="http://schemas.microsoft.com/office/drawing/2012/chart" uri="{CE6537A1-D6FC-4f65-9D91-7224C49458BB}"/>
          </c:extLst>
        </c:dLbl>
      </c:pivotFmt>
      <c:pivotFmt>
        <c:idx val="7"/>
        <c:dLbl>
          <c:idx val="0"/>
          <c:showLegendKey val="0"/>
          <c:showVal val="1"/>
          <c:showCatName val="0"/>
          <c:showSerName val="0"/>
          <c:showPercent val="0"/>
          <c:showBubbleSize val="0"/>
          <c:extLst>
            <c:ext xmlns:c15="http://schemas.microsoft.com/office/drawing/2012/chart" uri="{CE6537A1-D6FC-4f65-9D91-7224C49458BB}"/>
          </c:extLst>
        </c:dLbl>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dLbl>
          <c:idx val="0"/>
          <c:showLegendKey val="0"/>
          <c:showVal val="1"/>
          <c:showCatName val="0"/>
          <c:showSerName val="0"/>
          <c:showPercent val="0"/>
          <c:showBubbleSize val="0"/>
          <c:extLst>
            <c:ext xmlns:c15="http://schemas.microsoft.com/office/drawing/2012/chart" uri="{CE6537A1-D6FC-4f65-9D91-7224C49458BB}"/>
          </c:extLst>
        </c:dLbl>
      </c:pivotFmt>
      <c:pivotFmt>
        <c:idx val="10"/>
        <c:dLbl>
          <c:idx val="0"/>
          <c:showLegendKey val="0"/>
          <c:showVal val="1"/>
          <c:showCatName val="0"/>
          <c:showSerName val="0"/>
          <c:showPercent val="0"/>
          <c:showBubbleSize val="0"/>
          <c:extLst>
            <c:ext xmlns:c15="http://schemas.microsoft.com/office/drawing/2012/chart" uri="{CE6537A1-D6FC-4f65-9D91-7224C49458BB}"/>
          </c:extLst>
        </c:dLbl>
      </c:pivotFmt>
      <c:pivotFmt>
        <c:idx val="11"/>
        <c:dLbl>
          <c:idx val="0"/>
          <c:showLegendKey val="0"/>
          <c:showVal val="1"/>
          <c:showCatName val="0"/>
          <c:showSerName val="0"/>
          <c:showPercent val="0"/>
          <c:showBubbleSize val="0"/>
          <c:extLst>
            <c:ext xmlns:c15="http://schemas.microsoft.com/office/drawing/2012/chart" uri="{CE6537A1-D6FC-4f65-9D91-7224C49458BB}"/>
          </c:extLst>
        </c:dLbl>
      </c:pivotFmt>
      <c:pivotFmt>
        <c:idx val="12"/>
        <c:dLbl>
          <c:idx val="0"/>
          <c:showLegendKey val="0"/>
          <c:showVal val="1"/>
          <c:showCatName val="0"/>
          <c:showSerName val="0"/>
          <c:showPercent val="0"/>
          <c:showBubbleSize val="0"/>
          <c:extLst>
            <c:ext xmlns:c15="http://schemas.microsoft.com/office/drawing/2012/chart" uri="{CE6537A1-D6FC-4f65-9D91-7224C49458BB}"/>
          </c:extLst>
        </c:dLbl>
      </c:pivotFmt>
      <c:pivotFmt>
        <c:idx val="13"/>
        <c:dLbl>
          <c:idx val="0"/>
          <c:showLegendKey val="0"/>
          <c:showVal val="1"/>
          <c:showCatName val="0"/>
          <c:showSerName val="0"/>
          <c:showPercent val="0"/>
          <c:showBubbleSize val="0"/>
          <c:extLst>
            <c:ext xmlns:c15="http://schemas.microsoft.com/office/drawing/2012/chart" uri="{CE6537A1-D6FC-4f65-9D91-7224C49458BB}"/>
          </c:extLst>
        </c:dLbl>
      </c:pivotFmt>
      <c:pivotFmt>
        <c:idx val="14"/>
        <c:dLbl>
          <c:idx val="0"/>
          <c:showLegendKey val="0"/>
          <c:showVal val="1"/>
          <c:showCatName val="0"/>
          <c:showSerName val="0"/>
          <c:showPercent val="0"/>
          <c:showBubbleSize val="0"/>
          <c:extLst>
            <c:ext xmlns:c15="http://schemas.microsoft.com/office/drawing/2012/chart" uri="{CE6537A1-D6FC-4f65-9D91-7224C49458BB}"/>
          </c:extLst>
        </c:dLbl>
      </c:pivotFmt>
      <c:pivotFmt>
        <c:idx val="15"/>
        <c:dLbl>
          <c:idx val="0"/>
          <c:showLegendKey val="0"/>
          <c:showVal val="1"/>
          <c:showCatName val="0"/>
          <c:showSerName val="0"/>
          <c:showPercent val="0"/>
          <c:showBubbleSize val="0"/>
          <c:extLst>
            <c:ext xmlns:c15="http://schemas.microsoft.com/office/drawing/2012/chart" uri="{CE6537A1-D6FC-4f65-9D91-7224C49458BB}"/>
          </c:extLst>
        </c:dLbl>
      </c:pivotFmt>
      <c:pivotFmt>
        <c:idx val="16"/>
        <c:dLbl>
          <c:idx val="0"/>
          <c:showLegendKey val="0"/>
          <c:showVal val="1"/>
          <c:showCatName val="0"/>
          <c:showSerName val="0"/>
          <c:showPercent val="0"/>
          <c:showBubbleSize val="0"/>
          <c:extLst>
            <c:ext xmlns:c15="http://schemas.microsoft.com/office/drawing/2012/chart" uri="{CE6537A1-D6FC-4f65-9D91-7224C49458BB}"/>
          </c:extLst>
        </c:dLbl>
      </c:pivotFmt>
      <c:pivotFmt>
        <c:idx val="17"/>
        <c:dLbl>
          <c:idx val="0"/>
          <c:showLegendKey val="0"/>
          <c:showVal val="1"/>
          <c:showCatName val="0"/>
          <c:showSerName val="0"/>
          <c:showPercent val="0"/>
          <c:showBubbleSize val="0"/>
          <c:extLst>
            <c:ext xmlns:c15="http://schemas.microsoft.com/office/drawing/2012/chart" uri="{CE6537A1-D6FC-4f65-9D91-7224C49458BB}"/>
          </c:extLst>
        </c:dLbl>
      </c:pivotFmt>
      <c:pivotFmt>
        <c:idx val="18"/>
        <c:dLbl>
          <c:idx val="0"/>
          <c:showLegendKey val="0"/>
          <c:showVal val="1"/>
          <c:showCatName val="0"/>
          <c:showSerName val="0"/>
          <c:showPercent val="0"/>
          <c:showBubbleSize val="0"/>
          <c:extLst>
            <c:ext xmlns:c15="http://schemas.microsoft.com/office/drawing/2012/chart" uri="{CE6537A1-D6FC-4f65-9D91-7224C49458BB}"/>
          </c:extLst>
        </c:dLbl>
      </c:pivotFmt>
      <c:pivotFmt>
        <c:idx val="19"/>
        <c:dLbl>
          <c:idx val="0"/>
          <c:showLegendKey val="0"/>
          <c:showVal val="1"/>
          <c:showCatName val="0"/>
          <c:showSerName val="0"/>
          <c:showPercent val="0"/>
          <c:showBubbleSize val="0"/>
          <c:extLst>
            <c:ext xmlns:c15="http://schemas.microsoft.com/office/drawing/2012/chart" uri="{CE6537A1-D6FC-4f65-9D91-7224C49458BB}"/>
          </c:extLst>
        </c:dLbl>
      </c:pivotFmt>
      <c:pivotFmt>
        <c:idx val="20"/>
        <c:dLbl>
          <c:idx val="0"/>
          <c:showLegendKey val="0"/>
          <c:showVal val="1"/>
          <c:showCatName val="0"/>
          <c:showSerName val="0"/>
          <c:showPercent val="0"/>
          <c:showBubbleSize val="0"/>
          <c:extLst>
            <c:ext xmlns:c15="http://schemas.microsoft.com/office/drawing/2012/chart" uri="{CE6537A1-D6FC-4f65-9D91-7224C49458BB}"/>
          </c:extLst>
        </c:dLbl>
      </c:pivotFmt>
      <c:pivotFmt>
        <c:idx val="21"/>
        <c:dLbl>
          <c:idx val="0"/>
          <c:showLegendKey val="0"/>
          <c:showVal val="1"/>
          <c:showCatName val="0"/>
          <c:showSerName val="0"/>
          <c:showPercent val="0"/>
          <c:showBubbleSize val="0"/>
          <c:extLst>
            <c:ext xmlns:c15="http://schemas.microsoft.com/office/drawing/2012/chart" uri="{CE6537A1-D6FC-4f65-9D91-7224C49458BB}"/>
          </c:extLst>
        </c:dLbl>
      </c:pivotFmt>
      <c:pivotFmt>
        <c:idx val="22"/>
        <c:dLbl>
          <c:idx val="0"/>
          <c:showLegendKey val="0"/>
          <c:showVal val="1"/>
          <c:showCatName val="0"/>
          <c:showSerName val="0"/>
          <c:showPercent val="0"/>
          <c:showBubbleSize val="0"/>
          <c:extLst>
            <c:ext xmlns:c15="http://schemas.microsoft.com/office/drawing/2012/chart" uri="{CE6537A1-D6FC-4f65-9D91-7224C49458BB}"/>
          </c:extLst>
        </c:dLbl>
      </c:pivotFmt>
      <c:pivotFmt>
        <c:idx val="23"/>
        <c:dLbl>
          <c:idx val="0"/>
          <c:showLegendKey val="0"/>
          <c:showVal val="1"/>
          <c:showCatName val="0"/>
          <c:showSerName val="0"/>
          <c:showPercent val="0"/>
          <c:showBubbleSize val="0"/>
          <c:extLst>
            <c:ext xmlns:c15="http://schemas.microsoft.com/office/drawing/2012/chart" uri="{CE6537A1-D6FC-4f65-9D91-7224C49458BB}"/>
          </c:extLst>
        </c:dLbl>
      </c:pivotFmt>
      <c:pivotFmt>
        <c:idx val="24"/>
        <c:dLbl>
          <c:idx val="0"/>
          <c:showLegendKey val="0"/>
          <c:showVal val="1"/>
          <c:showCatName val="0"/>
          <c:showSerName val="0"/>
          <c:showPercent val="0"/>
          <c:showBubbleSize val="0"/>
          <c:extLst>
            <c:ext xmlns:c15="http://schemas.microsoft.com/office/drawing/2012/chart" uri="{CE6537A1-D6FC-4f65-9D91-7224C49458BB}"/>
          </c:extLst>
        </c:dLbl>
      </c:pivotFmt>
      <c:pivotFmt>
        <c:idx val="25"/>
        <c:dLbl>
          <c:idx val="0"/>
          <c:showLegendKey val="0"/>
          <c:showVal val="1"/>
          <c:showCatName val="0"/>
          <c:showSerName val="0"/>
          <c:showPercent val="0"/>
          <c:showBubbleSize val="0"/>
          <c:extLst>
            <c:ext xmlns:c15="http://schemas.microsoft.com/office/drawing/2012/chart" uri="{CE6537A1-D6FC-4f65-9D91-7224C49458BB}"/>
          </c:extLst>
        </c:dLbl>
      </c:pivotFmt>
      <c:pivotFmt>
        <c:idx val="26"/>
        <c:dLbl>
          <c:idx val="0"/>
          <c:showLegendKey val="0"/>
          <c:showVal val="1"/>
          <c:showCatName val="0"/>
          <c:showSerName val="0"/>
          <c:showPercent val="0"/>
          <c:showBubbleSize val="0"/>
          <c:extLst>
            <c:ext xmlns:c15="http://schemas.microsoft.com/office/drawing/2012/chart" uri="{CE6537A1-D6FC-4f65-9D91-7224C49458BB}"/>
          </c:extLst>
        </c:dLbl>
      </c:pivotFmt>
      <c:pivotFmt>
        <c:idx val="27"/>
        <c:dLbl>
          <c:idx val="0"/>
          <c:showLegendKey val="0"/>
          <c:showVal val="1"/>
          <c:showCatName val="0"/>
          <c:showSerName val="0"/>
          <c:showPercent val="0"/>
          <c:showBubbleSize val="0"/>
          <c:extLst>
            <c:ext xmlns:c15="http://schemas.microsoft.com/office/drawing/2012/chart" uri="{CE6537A1-D6FC-4f65-9D91-7224C49458BB}"/>
          </c:extLst>
        </c:dLbl>
      </c:pivotFmt>
      <c:pivotFmt>
        <c:idx val="28"/>
        <c:dLbl>
          <c:idx val="0"/>
          <c:showLegendKey val="0"/>
          <c:showVal val="1"/>
          <c:showCatName val="0"/>
          <c:showSerName val="0"/>
          <c:showPercent val="0"/>
          <c:showBubbleSize val="0"/>
          <c:extLst>
            <c:ext xmlns:c15="http://schemas.microsoft.com/office/drawing/2012/chart" uri="{CE6537A1-D6FC-4f65-9D91-7224C49458BB}"/>
          </c:extLst>
        </c:dLbl>
      </c:pivotFmt>
      <c:pivotFmt>
        <c:idx val="29"/>
        <c:dLbl>
          <c:idx val="0"/>
          <c:showLegendKey val="0"/>
          <c:showVal val="1"/>
          <c:showCatName val="0"/>
          <c:showSerName val="0"/>
          <c:showPercent val="0"/>
          <c:showBubbleSize val="0"/>
          <c:extLst>
            <c:ext xmlns:c15="http://schemas.microsoft.com/office/drawing/2012/chart" uri="{CE6537A1-D6FC-4f65-9D91-7224C49458BB}"/>
          </c:extLst>
        </c:dLbl>
      </c:pivotFmt>
      <c:pivotFmt>
        <c:idx val="30"/>
        <c:dLbl>
          <c:idx val="0"/>
          <c:showLegendKey val="0"/>
          <c:showVal val="1"/>
          <c:showCatName val="0"/>
          <c:showSerName val="0"/>
          <c:showPercent val="0"/>
          <c:showBubbleSize val="0"/>
          <c:extLst>
            <c:ext xmlns:c15="http://schemas.microsoft.com/office/drawing/2012/chart" uri="{CE6537A1-D6FC-4f65-9D91-7224C49458BB}"/>
          </c:extLst>
        </c:dLbl>
      </c:pivotFmt>
      <c:pivotFmt>
        <c:idx val="31"/>
        <c:dLbl>
          <c:idx val="0"/>
          <c:showLegendKey val="0"/>
          <c:showVal val="1"/>
          <c:showCatName val="0"/>
          <c:showSerName val="0"/>
          <c:showPercent val="0"/>
          <c:showBubbleSize val="0"/>
          <c:extLst>
            <c:ext xmlns:c15="http://schemas.microsoft.com/office/drawing/2012/chart" uri="{CE6537A1-D6FC-4f65-9D91-7224C49458BB}"/>
          </c:extLst>
        </c:dLbl>
      </c:pivotFmt>
      <c:pivotFmt>
        <c:idx val="32"/>
        <c:dLbl>
          <c:idx val="0"/>
          <c:showLegendKey val="0"/>
          <c:showVal val="1"/>
          <c:showCatName val="0"/>
          <c:showSerName val="0"/>
          <c:showPercent val="0"/>
          <c:showBubbleSize val="0"/>
          <c:extLst>
            <c:ext xmlns:c15="http://schemas.microsoft.com/office/drawing/2012/chart" uri="{CE6537A1-D6FC-4f65-9D91-7224C49458BB}"/>
          </c:extLst>
        </c:dLbl>
      </c:pivotFmt>
      <c:pivotFmt>
        <c:idx val="33"/>
        <c:dLbl>
          <c:idx val="0"/>
          <c:showLegendKey val="0"/>
          <c:showVal val="1"/>
          <c:showCatName val="0"/>
          <c:showSerName val="0"/>
          <c:showPercent val="0"/>
          <c:showBubbleSize val="0"/>
          <c:extLst>
            <c:ext xmlns:c15="http://schemas.microsoft.com/office/drawing/2012/chart" uri="{CE6537A1-D6FC-4f65-9D91-7224C49458BB}"/>
          </c:extLst>
        </c:dLbl>
      </c:pivotFmt>
      <c:pivotFmt>
        <c:idx val="34"/>
        <c:dLbl>
          <c:idx val="0"/>
          <c:showLegendKey val="0"/>
          <c:showVal val="1"/>
          <c:showCatName val="0"/>
          <c:showSerName val="0"/>
          <c:showPercent val="0"/>
          <c:showBubbleSize val="0"/>
          <c:extLst>
            <c:ext xmlns:c15="http://schemas.microsoft.com/office/drawing/2012/chart" uri="{CE6537A1-D6FC-4f65-9D91-7224C49458BB}"/>
          </c:extLst>
        </c:dLbl>
      </c:pivotFmt>
      <c:pivotFmt>
        <c:idx val="35"/>
        <c:dLbl>
          <c:idx val="0"/>
          <c:showLegendKey val="0"/>
          <c:showVal val="1"/>
          <c:showCatName val="0"/>
          <c:showSerName val="0"/>
          <c:showPercent val="0"/>
          <c:showBubbleSize val="0"/>
          <c:extLst>
            <c:ext xmlns:c15="http://schemas.microsoft.com/office/drawing/2012/chart" uri="{CE6537A1-D6FC-4f65-9D91-7224C49458BB}"/>
          </c:extLst>
        </c:dLbl>
      </c:pivotFmt>
      <c:pivotFmt>
        <c:idx val="36"/>
        <c:dLbl>
          <c:idx val="0"/>
          <c:showLegendKey val="0"/>
          <c:showVal val="1"/>
          <c:showCatName val="0"/>
          <c:showSerName val="0"/>
          <c:showPercent val="0"/>
          <c:showBubbleSize val="0"/>
          <c:extLst>
            <c:ext xmlns:c15="http://schemas.microsoft.com/office/drawing/2012/chart" uri="{CE6537A1-D6FC-4f65-9D91-7224C49458BB}"/>
          </c:extLst>
        </c:dLbl>
      </c:pivotFmt>
      <c:pivotFmt>
        <c:idx val="37"/>
        <c:dLbl>
          <c:idx val="0"/>
          <c:showLegendKey val="0"/>
          <c:showVal val="1"/>
          <c:showCatName val="0"/>
          <c:showSerName val="0"/>
          <c:showPercent val="0"/>
          <c:showBubbleSize val="0"/>
          <c:extLst>
            <c:ext xmlns:c15="http://schemas.microsoft.com/office/drawing/2012/chart" uri="{CE6537A1-D6FC-4f65-9D91-7224C49458BB}"/>
          </c:extLst>
        </c:dLbl>
      </c:pivotFmt>
      <c:pivotFmt>
        <c:idx val="38"/>
        <c:dLbl>
          <c:idx val="0"/>
          <c:showLegendKey val="0"/>
          <c:showVal val="1"/>
          <c:showCatName val="0"/>
          <c:showSerName val="0"/>
          <c:showPercent val="0"/>
          <c:showBubbleSize val="0"/>
          <c:extLst>
            <c:ext xmlns:c15="http://schemas.microsoft.com/office/drawing/2012/chart" uri="{CE6537A1-D6FC-4f65-9D91-7224C49458BB}"/>
          </c:extLst>
        </c:dLbl>
      </c:pivotFmt>
      <c:pivotFmt>
        <c:idx val="39"/>
        <c:dLbl>
          <c:idx val="0"/>
          <c:showLegendKey val="0"/>
          <c:showVal val="1"/>
          <c:showCatName val="0"/>
          <c:showSerName val="0"/>
          <c:showPercent val="0"/>
          <c:showBubbleSize val="0"/>
          <c:extLst>
            <c:ext xmlns:c15="http://schemas.microsoft.com/office/drawing/2012/chart" uri="{CE6537A1-D6FC-4f65-9D91-7224C49458BB}"/>
          </c:extLst>
        </c:dLbl>
      </c:pivotFmt>
      <c:pivotFmt>
        <c:idx val="40"/>
        <c:dLbl>
          <c:idx val="0"/>
          <c:showLegendKey val="0"/>
          <c:showVal val="1"/>
          <c:showCatName val="0"/>
          <c:showSerName val="0"/>
          <c:showPercent val="0"/>
          <c:showBubbleSize val="0"/>
          <c:extLst>
            <c:ext xmlns:c15="http://schemas.microsoft.com/office/drawing/2012/chart" uri="{CE6537A1-D6FC-4f65-9D91-7224C49458BB}"/>
          </c:extLst>
        </c:dLbl>
      </c:pivotFmt>
      <c:pivotFmt>
        <c:idx val="41"/>
        <c:dLbl>
          <c:idx val="0"/>
          <c:showLegendKey val="0"/>
          <c:showVal val="1"/>
          <c:showCatName val="0"/>
          <c:showSerName val="0"/>
          <c:showPercent val="0"/>
          <c:showBubbleSize val="0"/>
          <c:extLst>
            <c:ext xmlns:c15="http://schemas.microsoft.com/office/drawing/2012/chart" uri="{CE6537A1-D6FC-4f65-9D91-7224C49458BB}"/>
          </c:extLst>
        </c:dLbl>
      </c:pivotFmt>
      <c:pivotFmt>
        <c:idx val="42"/>
        <c:dLbl>
          <c:idx val="0"/>
          <c:showLegendKey val="0"/>
          <c:showVal val="1"/>
          <c:showCatName val="0"/>
          <c:showSerName val="0"/>
          <c:showPercent val="0"/>
          <c:showBubbleSize val="0"/>
          <c:extLst>
            <c:ext xmlns:c15="http://schemas.microsoft.com/office/drawing/2012/chart" uri="{CE6537A1-D6FC-4f65-9D91-7224C49458BB}"/>
          </c:extLst>
        </c:dLbl>
      </c:pivotFmt>
      <c:pivotFmt>
        <c:idx val="43"/>
        <c:dLbl>
          <c:idx val="0"/>
          <c:showLegendKey val="0"/>
          <c:showVal val="1"/>
          <c:showCatName val="0"/>
          <c:showSerName val="0"/>
          <c:showPercent val="0"/>
          <c:showBubbleSize val="0"/>
          <c:extLst>
            <c:ext xmlns:c15="http://schemas.microsoft.com/office/drawing/2012/chart" uri="{CE6537A1-D6FC-4f65-9D91-7224C49458BB}"/>
          </c:extLst>
        </c:dLbl>
      </c:pivotFmt>
      <c:pivotFmt>
        <c:idx val="44"/>
        <c:dLbl>
          <c:idx val="0"/>
          <c:showLegendKey val="0"/>
          <c:showVal val="1"/>
          <c:showCatName val="0"/>
          <c:showSerName val="0"/>
          <c:showPercent val="0"/>
          <c:showBubbleSize val="0"/>
          <c:extLst>
            <c:ext xmlns:c15="http://schemas.microsoft.com/office/drawing/2012/chart" uri="{CE6537A1-D6FC-4f65-9D91-7224C49458BB}"/>
          </c:extLst>
        </c:dLbl>
      </c:pivotFmt>
      <c:pivotFmt>
        <c:idx val="45"/>
        <c:dLbl>
          <c:idx val="0"/>
          <c:showLegendKey val="0"/>
          <c:showVal val="1"/>
          <c:showCatName val="0"/>
          <c:showSerName val="0"/>
          <c:showPercent val="0"/>
          <c:showBubbleSize val="0"/>
          <c:extLst>
            <c:ext xmlns:c15="http://schemas.microsoft.com/office/drawing/2012/chart" uri="{CE6537A1-D6FC-4f65-9D91-7224C49458BB}"/>
          </c:extLst>
        </c:dLbl>
      </c:pivotFmt>
      <c:pivotFmt>
        <c:idx val="46"/>
        <c:dLbl>
          <c:idx val="0"/>
          <c:showLegendKey val="0"/>
          <c:showVal val="1"/>
          <c:showCatName val="0"/>
          <c:showSerName val="0"/>
          <c:showPercent val="0"/>
          <c:showBubbleSize val="0"/>
          <c:extLst>
            <c:ext xmlns:c15="http://schemas.microsoft.com/office/drawing/2012/chart" uri="{CE6537A1-D6FC-4f65-9D91-7224C49458BB}"/>
          </c:extLst>
        </c:dLbl>
      </c:pivotFmt>
      <c:pivotFmt>
        <c:idx val="47"/>
        <c:dLbl>
          <c:idx val="0"/>
          <c:showLegendKey val="0"/>
          <c:showVal val="1"/>
          <c:showCatName val="0"/>
          <c:showSerName val="0"/>
          <c:showPercent val="0"/>
          <c:showBubbleSize val="0"/>
          <c:extLst>
            <c:ext xmlns:c15="http://schemas.microsoft.com/office/drawing/2012/chart" uri="{CE6537A1-D6FC-4f65-9D91-7224C49458BB}"/>
          </c:extLst>
        </c:dLbl>
      </c:pivotFmt>
      <c:pivotFmt>
        <c:idx val="48"/>
        <c:dLbl>
          <c:idx val="0"/>
          <c:showLegendKey val="0"/>
          <c:showVal val="1"/>
          <c:showCatName val="0"/>
          <c:showSerName val="0"/>
          <c:showPercent val="0"/>
          <c:showBubbleSize val="0"/>
          <c:extLst>
            <c:ext xmlns:c15="http://schemas.microsoft.com/office/drawing/2012/chart" uri="{CE6537A1-D6FC-4f65-9D91-7224C49458BB}"/>
          </c:extLst>
        </c:dLbl>
      </c:pivotFmt>
      <c:pivotFmt>
        <c:idx val="49"/>
        <c:dLbl>
          <c:idx val="0"/>
          <c:showLegendKey val="0"/>
          <c:showVal val="1"/>
          <c:showCatName val="0"/>
          <c:showSerName val="0"/>
          <c:showPercent val="0"/>
          <c:showBubbleSize val="0"/>
          <c:extLst>
            <c:ext xmlns:c15="http://schemas.microsoft.com/office/drawing/2012/chart" uri="{CE6537A1-D6FC-4f65-9D91-7224C49458BB}"/>
          </c:extLst>
        </c:dLbl>
      </c:pivotFmt>
      <c:pivotFmt>
        <c:idx val="50"/>
        <c:dLbl>
          <c:idx val="0"/>
          <c:showLegendKey val="0"/>
          <c:showVal val="1"/>
          <c:showCatName val="0"/>
          <c:showSerName val="0"/>
          <c:showPercent val="0"/>
          <c:showBubbleSize val="0"/>
          <c:extLst>
            <c:ext xmlns:c15="http://schemas.microsoft.com/office/drawing/2012/chart" uri="{CE6537A1-D6FC-4f65-9D91-7224C49458BB}"/>
          </c:extLst>
        </c:dLbl>
      </c:pivotFmt>
      <c:pivotFmt>
        <c:idx val="51"/>
        <c:dLbl>
          <c:idx val="0"/>
          <c:showLegendKey val="0"/>
          <c:showVal val="1"/>
          <c:showCatName val="0"/>
          <c:showSerName val="0"/>
          <c:showPercent val="0"/>
          <c:showBubbleSize val="0"/>
          <c:extLst>
            <c:ext xmlns:c15="http://schemas.microsoft.com/office/drawing/2012/chart" uri="{CE6537A1-D6FC-4f65-9D91-7224C49458BB}"/>
          </c:extLst>
        </c:dLbl>
      </c:pivotFmt>
      <c:pivotFmt>
        <c:idx val="52"/>
        <c:dLbl>
          <c:idx val="0"/>
          <c:showLegendKey val="0"/>
          <c:showVal val="1"/>
          <c:showCatName val="0"/>
          <c:showSerName val="0"/>
          <c:showPercent val="0"/>
          <c:showBubbleSize val="0"/>
          <c:extLst>
            <c:ext xmlns:c15="http://schemas.microsoft.com/office/drawing/2012/chart" uri="{CE6537A1-D6FC-4f65-9D91-7224C49458BB}"/>
          </c:extLst>
        </c:dLbl>
      </c:pivotFmt>
      <c:pivotFmt>
        <c:idx val="53"/>
        <c:dLbl>
          <c:idx val="0"/>
          <c:showLegendKey val="0"/>
          <c:showVal val="1"/>
          <c:showCatName val="0"/>
          <c:showSerName val="0"/>
          <c:showPercent val="0"/>
          <c:showBubbleSize val="0"/>
          <c:extLst>
            <c:ext xmlns:c15="http://schemas.microsoft.com/office/drawing/2012/chart" uri="{CE6537A1-D6FC-4f65-9D91-7224C49458BB}"/>
          </c:extLst>
        </c:dLbl>
      </c:pivotFmt>
      <c:pivotFmt>
        <c:idx val="54"/>
        <c:dLbl>
          <c:idx val="0"/>
          <c:showLegendKey val="0"/>
          <c:showVal val="1"/>
          <c:showCatName val="0"/>
          <c:showSerName val="0"/>
          <c:showPercent val="0"/>
          <c:showBubbleSize val="0"/>
          <c:extLst>
            <c:ext xmlns:c15="http://schemas.microsoft.com/office/drawing/2012/chart" uri="{CE6537A1-D6FC-4f65-9D91-7224C49458BB}"/>
          </c:extLst>
        </c:dLbl>
      </c:pivotFmt>
      <c:pivotFmt>
        <c:idx val="55"/>
        <c:dLbl>
          <c:idx val="0"/>
          <c:showLegendKey val="0"/>
          <c:showVal val="1"/>
          <c:showCatName val="0"/>
          <c:showSerName val="0"/>
          <c:showPercent val="0"/>
          <c:showBubbleSize val="0"/>
          <c:extLst>
            <c:ext xmlns:c15="http://schemas.microsoft.com/office/drawing/2012/chart" uri="{CE6537A1-D6FC-4f65-9D91-7224C49458BB}"/>
          </c:extLst>
        </c:dLbl>
      </c:pivotFmt>
      <c:pivotFmt>
        <c:idx val="56"/>
        <c:dLbl>
          <c:idx val="0"/>
          <c:showLegendKey val="0"/>
          <c:showVal val="1"/>
          <c:showCatName val="0"/>
          <c:showSerName val="0"/>
          <c:showPercent val="0"/>
          <c:showBubbleSize val="0"/>
          <c:extLst>
            <c:ext xmlns:c15="http://schemas.microsoft.com/office/drawing/2012/chart" uri="{CE6537A1-D6FC-4f65-9D91-7224C49458BB}"/>
          </c:extLst>
        </c:dLbl>
      </c:pivotFmt>
      <c:pivotFmt>
        <c:idx val="57"/>
        <c:dLbl>
          <c:idx val="0"/>
          <c:showLegendKey val="0"/>
          <c:showVal val="1"/>
          <c:showCatName val="0"/>
          <c:showSerName val="0"/>
          <c:showPercent val="0"/>
          <c:showBubbleSize val="0"/>
          <c:extLst>
            <c:ext xmlns:c15="http://schemas.microsoft.com/office/drawing/2012/chart" uri="{CE6537A1-D6FC-4f65-9D91-7224C49458BB}"/>
          </c:extLst>
        </c:dLbl>
      </c:pivotFmt>
      <c:pivotFmt>
        <c:idx val="58"/>
        <c:dLbl>
          <c:idx val="0"/>
          <c:showLegendKey val="0"/>
          <c:showVal val="1"/>
          <c:showCatName val="0"/>
          <c:showSerName val="0"/>
          <c:showPercent val="0"/>
          <c:showBubbleSize val="0"/>
          <c:extLst>
            <c:ext xmlns:c15="http://schemas.microsoft.com/office/drawing/2012/chart" uri="{CE6537A1-D6FC-4f65-9D91-7224C49458BB}"/>
          </c:extLst>
        </c:dLbl>
      </c:pivotFmt>
      <c:pivotFmt>
        <c:idx val="59"/>
        <c:dLbl>
          <c:idx val="0"/>
          <c:showLegendKey val="0"/>
          <c:showVal val="1"/>
          <c:showCatName val="0"/>
          <c:showSerName val="0"/>
          <c:showPercent val="0"/>
          <c:showBubbleSize val="0"/>
          <c:extLst>
            <c:ext xmlns:c15="http://schemas.microsoft.com/office/drawing/2012/chart" uri="{CE6537A1-D6FC-4f65-9D91-7224C49458BB}"/>
          </c:extLst>
        </c:dLbl>
      </c:pivotFmt>
      <c:pivotFmt>
        <c:idx val="60"/>
        <c:dLbl>
          <c:idx val="0"/>
          <c:showLegendKey val="0"/>
          <c:showVal val="1"/>
          <c:showCatName val="0"/>
          <c:showSerName val="0"/>
          <c:showPercent val="0"/>
          <c:showBubbleSize val="0"/>
          <c:extLst>
            <c:ext xmlns:c15="http://schemas.microsoft.com/office/drawing/2012/chart" uri="{CE6537A1-D6FC-4f65-9D91-7224C49458BB}"/>
          </c:extLst>
        </c:dLbl>
      </c:pivotFmt>
      <c:pivotFmt>
        <c:idx val="61"/>
        <c:dLbl>
          <c:idx val="0"/>
          <c:showLegendKey val="0"/>
          <c:showVal val="1"/>
          <c:showCatName val="0"/>
          <c:showSerName val="0"/>
          <c:showPercent val="0"/>
          <c:showBubbleSize val="0"/>
          <c:extLst>
            <c:ext xmlns:c15="http://schemas.microsoft.com/office/drawing/2012/chart" uri="{CE6537A1-D6FC-4f65-9D91-7224C49458BB}"/>
          </c:extLst>
        </c:dLbl>
      </c:pivotFmt>
      <c:pivotFmt>
        <c:idx val="62"/>
        <c:dLbl>
          <c:idx val="0"/>
          <c:showLegendKey val="0"/>
          <c:showVal val="1"/>
          <c:showCatName val="0"/>
          <c:showSerName val="0"/>
          <c:showPercent val="0"/>
          <c:showBubbleSize val="0"/>
          <c:extLst>
            <c:ext xmlns:c15="http://schemas.microsoft.com/office/drawing/2012/chart" uri="{CE6537A1-D6FC-4f65-9D91-7224C49458BB}"/>
          </c:extLst>
        </c:dLbl>
      </c:pivotFmt>
      <c:pivotFmt>
        <c:idx val="63"/>
        <c:dLbl>
          <c:idx val="0"/>
          <c:showLegendKey val="0"/>
          <c:showVal val="1"/>
          <c:showCatName val="0"/>
          <c:showSerName val="0"/>
          <c:showPercent val="0"/>
          <c:showBubbleSize val="0"/>
          <c:extLst>
            <c:ext xmlns:c15="http://schemas.microsoft.com/office/drawing/2012/chart" uri="{CE6537A1-D6FC-4f65-9D91-7224C49458BB}"/>
          </c:extLst>
        </c:dLbl>
      </c:pivotFmt>
      <c:pivotFmt>
        <c:idx val="64"/>
        <c:dLbl>
          <c:idx val="0"/>
          <c:showLegendKey val="0"/>
          <c:showVal val="1"/>
          <c:showCatName val="0"/>
          <c:showSerName val="0"/>
          <c:showPercent val="0"/>
          <c:showBubbleSize val="0"/>
          <c:extLst>
            <c:ext xmlns:c15="http://schemas.microsoft.com/office/drawing/2012/chart" uri="{CE6537A1-D6FC-4f65-9D91-7224C49458BB}"/>
          </c:extLst>
        </c:dLbl>
      </c:pivotFmt>
      <c:pivotFmt>
        <c:idx val="65"/>
        <c:dLbl>
          <c:idx val="0"/>
          <c:showLegendKey val="0"/>
          <c:showVal val="1"/>
          <c:showCatName val="0"/>
          <c:showSerName val="0"/>
          <c:showPercent val="0"/>
          <c:showBubbleSize val="0"/>
          <c:extLst>
            <c:ext xmlns:c15="http://schemas.microsoft.com/office/drawing/2012/chart" uri="{CE6537A1-D6FC-4f65-9D91-7224C49458BB}"/>
          </c:extLst>
        </c:dLbl>
      </c:pivotFmt>
      <c:pivotFmt>
        <c:idx val="66"/>
        <c:dLbl>
          <c:idx val="0"/>
          <c:showLegendKey val="0"/>
          <c:showVal val="1"/>
          <c:showCatName val="0"/>
          <c:showSerName val="0"/>
          <c:showPercent val="0"/>
          <c:showBubbleSize val="0"/>
          <c:extLst>
            <c:ext xmlns:c15="http://schemas.microsoft.com/office/drawing/2012/chart" uri="{CE6537A1-D6FC-4f65-9D91-7224C49458BB}"/>
          </c:extLst>
        </c:dLbl>
      </c:pivotFmt>
      <c:pivotFmt>
        <c:idx val="67"/>
        <c:dLbl>
          <c:idx val="0"/>
          <c:showLegendKey val="0"/>
          <c:showVal val="1"/>
          <c:showCatName val="0"/>
          <c:showSerName val="0"/>
          <c:showPercent val="0"/>
          <c:showBubbleSize val="0"/>
          <c:extLst>
            <c:ext xmlns:c15="http://schemas.microsoft.com/office/drawing/2012/chart" uri="{CE6537A1-D6FC-4f65-9D91-7224C49458BB}"/>
          </c:extLst>
        </c:dLbl>
      </c:pivotFmt>
      <c:pivotFmt>
        <c:idx val="68"/>
        <c:dLbl>
          <c:idx val="0"/>
          <c:showLegendKey val="0"/>
          <c:showVal val="1"/>
          <c:showCatName val="0"/>
          <c:showSerName val="0"/>
          <c:showPercent val="0"/>
          <c:showBubbleSize val="0"/>
          <c:extLst>
            <c:ext xmlns:c15="http://schemas.microsoft.com/office/drawing/2012/chart" uri="{CE6537A1-D6FC-4f65-9D91-7224C49458BB}"/>
          </c:extLst>
        </c:dLbl>
      </c:pivotFmt>
      <c:pivotFmt>
        <c:idx val="69"/>
        <c:dLbl>
          <c:idx val="0"/>
          <c:showLegendKey val="0"/>
          <c:showVal val="1"/>
          <c:showCatName val="0"/>
          <c:showSerName val="0"/>
          <c:showPercent val="0"/>
          <c:showBubbleSize val="0"/>
          <c:extLst>
            <c:ext xmlns:c15="http://schemas.microsoft.com/office/drawing/2012/chart" uri="{CE6537A1-D6FC-4f65-9D91-7224C49458BB}"/>
          </c:extLst>
        </c:dLbl>
      </c:pivotFmt>
      <c:pivotFmt>
        <c:idx val="70"/>
        <c:dLbl>
          <c:idx val="0"/>
          <c:showLegendKey val="0"/>
          <c:showVal val="1"/>
          <c:showCatName val="0"/>
          <c:showSerName val="0"/>
          <c:showPercent val="0"/>
          <c:showBubbleSize val="0"/>
          <c:extLst>
            <c:ext xmlns:c15="http://schemas.microsoft.com/office/drawing/2012/chart" uri="{CE6537A1-D6FC-4f65-9D91-7224C49458BB}"/>
          </c:extLst>
        </c:dLbl>
      </c:pivotFmt>
      <c:pivotFmt>
        <c:idx val="71"/>
        <c:dLbl>
          <c:idx val="0"/>
          <c:showLegendKey val="0"/>
          <c:showVal val="1"/>
          <c:showCatName val="0"/>
          <c:showSerName val="0"/>
          <c:showPercent val="0"/>
          <c:showBubbleSize val="0"/>
          <c:extLst>
            <c:ext xmlns:c15="http://schemas.microsoft.com/office/drawing/2012/chart" uri="{CE6537A1-D6FC-4f65-9D91-7224C49458BB}"/>
          </c:extLst>
        </c:dLbl>
      </c:pivotFmt>
      <c:pivotFmt>
        <c:idx val="72"/>
        <c:dLbl>
          <c:idx val="0"/>
          <c:showLegendKey val="0"/>
          <c:showVal val="1"/>
          <c:showCatName val="0"/>
          <c:showSerName val="0"/>
          <c:showPercent val="0"/>
          <c:showBubbleSize val="0"/>
          <c:extLst>
            <c:ext xmlns:c15="http://schemas.microsoft.com/office/drawing/2012/chart" uri="{CE6537A1-D6FC-4f65-9D91-7224C49458BB}"/>
          </c:extLst>
        </c:dLbl>
      </c:pivotFmt>
      <c:pivotFmt>
        <c:idx val="73"/>
        <c:dLbl>
          <c:idx val="0"/>
          <c:showLegendKey val="0"/>
          <c:showVal val="1"/>
          <c:showCatName val="0"/>
          <c:showSerName val="0"/>
          <c:showPercent val="0"/>
          <c:showBubbleSize val="0"/>
          <c:extLst>
            <c:ext xmlns:c15="http://schemas.microsoft.com/office/drawing/2012/chart" uri="{CE6537A1-D6FC-4f65-9D91-7224C49458BB}"/>
          </c:extLst>
        </c:dLbl>
      </c:pivotFmt>
      <c:pivotFmt>
        <c:idx val="74"/>
        <c:dLbl>
          <c:idx val="0"/>
          <c:showLegendKey val="0"/>
          <c:showVal val="1"/>
          <c:showCatName val="0"/>
          <c:showSerName val="0"/>
          <c:showPercent val="0"/>
          <c:showBubbleSize val="0"/>
          <c:extLst>
            <c:ext xmlns:c15="http://schemas.microsoft.com/office/drawing/2012/chart" uri="{CE6537A1-D6FC-4f65-9D91-7224C49458BB}"/>
          </c:extLst>
        </c:dLbl>
      </c:pivotFmt>
      <c:pivotFmt>
        <c:idx val="75"/>
        <c:dLbl>
          <c:idx val="0"/>
          <c:showLegendKey val="0"/>
          <c:showVal val="1"/>
          <c:showCatName val="0"/>
          <c:showSerName val="0"/>
          <c:showPercent val="0"/>
          <c:showBubbleSize val="0"/>
          <c:extLst>
            <c:ext xmlns:c15="http://schemas.microsoft.com/office/drawing/2012/chart" uri="{CE6537A1-D6FC-4f65-9D91-7224C49458BB}"/>
          </c:extLst>
        </c:dLbl>
      </c:pivotFmt>
      <c:pivotFmt>
        <c:idx val="76"/>
        <c:dLbl>
          <c:idx val="0"/>
          <c:showLegendKey val="0"/>
          <c:showVal val="1"/>
          <c:showCatName val="0"/>
          <c:showSerName val="0"/>
          <c:showPercent val="0"/>
          <c:showBubbleSize val="0"/>
          <c:extLst>
            <c:ext xmlns:c15="http://schemas.microsoft.com/office/drawing/2012/chart" uri="{CE6537A1-D6FC-4f65-9D91-7224C49458BB}"/>
          </c:extLst>
        </c:dLbl>
      </c:pivotFmt>
      <c:pivotFmt>
        <c:idx val="77"/>
        <c:dLbl>
          <c:idx val="0"/>
          <c:showLegendKey val="0"/>
          <c:showVal val="1"/>
          <c:showCatName val="0"/>
          <c:showSerName val="0"/>
          <c:showPercent val="0"/>
          <c:showBubbleSize val="0"/>
          <c:extLst>
            <c:ext xmlns:c15="http://schemas.microsoft.com/office/drawing/2012/chart" uri="{CE6537A1-D6FC-4f65-9D91-7224C49458BB}"/>
          </c:extLst>
        </c:dLbl>
      </c:pivotFmt>
      <c:pivotFmt>
        <c:idx val="78"/>
        <c:dLbl>
          <c:idx val="0"/>
          <c:showLegendKey val="0"/>
          <c:showVal val="1"/>
          <c:showCatName val="0"/>
          <c:showSerName val="0"/>
          <c:showPercent val="0"/>
          <c:showBubbleSize val="0"/>
          <c:extLst>
            <c:ext xmlns:c15="http://schemas.microsoft.com/office/drawing/2012/chart" uri="{CE6537A1-D6FC-4f65-9D91-7224C49458BB}"/>
          </c:extLst>
        </c:dLbl>
      </c:pivotFmt>
      <c:pivotFmt>
        <c:idx val="79"/>
        <c:dLbl>
          <c:idx val="0"/>
          <c:showLegendKey val="0"/>
          <c:showVal val="1"/>
          <c:showCatName val="0"/>
          <c:showSerName val="0"/>
          <c:showPercent val="0"/>
          <c:showBubbleSize val="0"/>
          <c:extLst>
            <c:ext xmlns:c15="http://schemas.microsoft.com/office/drawing/2012/chart" uri="{CE6537A1-D6FC-4f65-9D91-7224C49458BB}"/>
          </c:extLst>
        </c:dLbl>
      </c:pivotFmt>
      <c:pivotFmt>
        <c:idx val="80"/>
        <c:dLbl>
          <c:idx val="0"/>
          <c:showLegendKey val="0"/>
          <c:showVal val="1"/>
          <c:showCatName val="0"/>
          <c:showSerName val="0"/>
          <c:showPercent val="0"/>
          <c:showBubbleSize val="0"/>
          <c:extLst>
            <c:ext xmlns:c15="http://schemas.microsoft.com/office/drawing/2012/chart" uri="{CE6537A1-D6FC-4f65-9D91-7224C49458BB}"/>
          </c:extLst>
        </c:dLbl>
      </c:pivotFmt>
      <c:pivotFmt>
        <c:idx val="81"/>
        <c:dLbl>
          <c:idx val="0"/>
          <c:showLegendKey val="0"/>
          <c:showVal val="1"/>
          <c:showCatName val="0"/>
          <c:showSerName val="0"/>
          <c:showPercent val="0"/>
          <c:showBubbleSize val="0"/>
          <c:extLst>
            <c:ext xmlns:c15="http://schemas.microsoft.com/office/drawing/2012/chart" uri="{CE6537A1-D6FC-4f65-9D91-7224C49458BB}"/>
          </c:extLst>
        </c:dLbl>
      </c:pivotFmt>
      <c:pivotFmt>
        <c:idx val="82"/>
        <c:dLbl>
          <c:idx val="0"/>
          <c:showLegendKey val="0"/>
          <c:showVal val="1"/>
          <c:showCatName val="0"/>
          <c:showSerName val="0"/>
          <c:showPercent val="0"/>
          <c:showBubbleSize val="0"/>
          <c:extLst>
            <c:ext xmlns:c15="http://schemas.microsoft.com/office/drawing/2012/chart" uri="{CE6537A1-D6FC-4f65-9D91-7224C49458BB}"/>
          </c:extLst>
        </c:dLbl>
      </c:pivotFmt>
      <c:pivotFmt>
        <c:idx val="83"/>
        <c:marker>
          <c:symbol val="none"/>
        </c:marker>
        <c:dLbl>
          <c:idx val="0"/>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4"/>
        <c:marker>
          <c:symbol val="none"/>
        </c:marker>
        <c:dLbl>
          <c:idx val="0"/>
          <c:spPr/>
          <c:txPr>
            <a:bodyPr/>
            <a:lstStyle/>
            <a:p>
              <a:pPr>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5"/>
        <c:marker>
          <c:symbol val="none"/>
        </c:marker>
      </c:pivotFmt>
    </c:pivotFmts>
    <c:view3D>
      <c:rotX val="15"/>
      <c:rotY val="20"/>
      <c:depthPercent val="100"/>
      <c:rAngAx val="1"/>
    </c:view3D>
    <c:floor>
      <c:thickness val="0"/>
    </c:floor>
    <c:sideWall>
      <c:thickness val="0"/>
    </c:sideWall>
    <c:backWall>
      <c:thickness val="0"/>
    </c:backWall>
    <c:plotArea>
      <c:layout/>
      <c:bar3DChart>
        <c:barDir val="bar"/>
        <c:grouping val="clustered"/>
        <c:varyColors val="0"/>
        <c:ser>
          <c:idx val="0"/>
          <c:order val="0"/>
          <c:tx>
            <c:v>Total</c:v>
          </c:tx>
          <c:invertIfNegative val="0"/>
          <c:cat>
            <c:strLit>
              <c:ptCount val="46"/>
              <c:pt idx="0">
                <c:v>(Nam Hoi) Host families</c:v>
              </c:pt>
              <c:pt idx="1">
                <c:v>5 Ward Baptist Church(lon Khin)</c:v>
              </c:pt>
              <c:pt idx="2">
                <c:v>AG Church, Hmaw Si Sa</c:v>
              </c:pt>
              <c:pt idx="3">
                <c:v>AG Church, Maw Wan</c:v>
              </c:pt>
              <c:pt idx="4">
                <c:v>Bang Lung</c:v>
              </c:pt>
              <c:pt idx="5">
                <c:v>Baptist Church, Hmaw Si Sar(Lon Khin)</c:v>
              </c:pt>
              <c:pt idx="6">
                <c:v>Baptist Church, Naung Hmee VT</c:v>
              </c:pt>
              <c:pt idx="7">
                <c:v>Bum Tsit Pa * (1)</c:v>
              </c:pt>
              <c:pt idx="8">
                <c:v>Bum Tsit Pa * (2)</c:v>
              </c:pt>
              <c:pt idx="9">
                <c:v>Chin Church, Seik Mu</c:v>
              </c:pt>
              <c:pt idx="10">
                <c:v>Cultural Compound</c:v>
              </c:pt>
              <c:pt idx="11">
                <c:v>Dhama Rakhita, Nyein Chan Tar Yar Ward(Lon Khin)</c:v>
              </c:pt>
              <c:pt idx="12">
                <c:v>Hmaw Wan, Anglican</c:v>
              </c:pt>
              <c:pt idx="13">
                <c:v>Hpakant Baptist Church, Nam Ma Hpit</c:v>
              </c:pt>
              <c:pt idx="14">
                <c:v>Jaw 2</c:v>
              </c:pt>
              <c:pt idx="15">
                <c:v>Kone Khem Camp</c:v>
              </c:pt>
              <c:pt idx="16">
                <c:v>Kutkai downtown (KBC Church)</c:v>
              </c:pt>
              <c:pt idx="17">
                <c:v>Kutkai downtown (RC Church)</c:v>
              </c:pt>
              <c:pt idx="18">
                <c:v>Lana Zup Ja *</c:v>
              </c:pt>
              <c:pt idx="19">
                <c:v>Lisu Baptist Church, Maw Shan Vil,. Seik Mu</c:v>
              </c:pt>
              <c:pt idx="20">
                <c:v>Lisu Baptist Church, Maw Wan Ward</c:v>
              </c:pt>
              <c:pt idx="21">
                <c:v>Mandung - Jinghpaw</c:v>
              </c:pt>
              <c:pt idx="22">
                <c:v>Mandung - RC</c:v>
              </c:pt>
              <c:pt idx="23">
                <c:v>Maw Wan, Mu-yin Baptist Church</c:v>
              </c:pt>
              <c:pt idx="24">
                <c:v>Mine Yu Lay village</c:v>
              </c:pt>
              <c:pt idx="25">
                <c:v>Mungji Pa Dabang (Baptist Church)         </c:v>
              </c:pt>
              <c:pt idx="26">
                <c:v>Mungji Pa Dabang (RC Church)         </c:v>
              </c:pt>
              <c:pt idx="27">
                <c:v>Muse KBC Church</c:v>
              </c:pt>
              <c:pt idx="28">
                <c:v>Nam Hkawng/Manaung kaung</c:v>
              </c:pt>
              <c:pt idx="29">
                <c:v>Nam Hpak Ka Mare </c:v>
              </c:pt>
              <c:pt idx="30">
                <c:v>Nam Ma Phyit, COC</c:v>
              </c:pt>
              <c:pt idx="31">
                <c:v>Namtu Baptist</c:v>
              </c:pt>
              <c:pt idx="32">
                <c:v>Narte</c:v>
              </c:pt>
              <c:pt idx="33">
                <c:v>Nhkawng Pa </c:v>
              </c:pt>
              <c:pt idx="34">
                <c:v>Pa Kahtawng 1 A</c:v>
              </c:pt>
              <c:pt idx="35">
                <c:v>Pa Kahtawng 1B</c:v>
              </c:pt>
              <c:pt idx="36">
                <c:v>Pa Kahtawng 2</c:v>
              </c:pt>
              <c:pt idx="37">
                <c:v>Pa Kahtawng Boarding High School </c:v>
              </c:pt>
              <c:pt idx="38">
                <c:v>Pa Kahtawng Boarding Middle School </c:v>
              </c:pt>
              <c:pt idx="39">
                <c:v>Pa Kahtawng Host Families</c:v>
              </c:pt>
              <c:pt idx="40">
                <c:v>Pa Kahtawng Primary school</c:v>
              </c:pt>
              <c:pt idx="41">
                <c:v>Rawan Baptist Church, Maw Shan Vil., Seik Mu</c:v>
              </c:pt>
              <c:pt idx="42">
                <c:v>Sai Nai Baptish Church, Maw Shan Vil., Seki Mu</c:v>
              </c:pt>
              <c:pt idx="43">
                <c:v>Ward 2 Sai Taung Baptist Church, Seik Mu </c:v>
              </c:pt>
              <c:pt idx="44">
                <c:v>Yumar Baptist Church</c:v>
              </c:pt>
              <c:pt idx="45">
                <c:v>Zup Aung Camp</c:v>
              </c:pt>
            </c:strLit>
          </c:cat>
          <c:val>
            <c:numLit>
              <c:formatCode>General</c:formatCode>
              <c:ptCount val="46"/>
              <c:pt idx="0">
                <c:v>42004</c:v>
              </c:pt>
              <c:pt idx="1">
                <c:v>42004</c:v>
              </c:pt>
              <c:pt idx="2">
                <c:v>42004</c:v>
              </c:pt>
              <c:pt idx="3">
                <c:v>42004</c:v>
              </c:pt>
              <c:pt idx="4">
                <c:v>42035</c:v>
              </c:pt>
              <c:pt idx="5">
                <c:v>42004</c:v>
              </c:pt>
              <c:pt idx="6">
                <c:v>42004</c:v>
              </c:pt>
              <c:pt idx="7">
                <c:v>42185</c:v>
              </c:pt>
              <c:pt idx="8">
                <c:v>42185</c:v>
              </c:pt>
              <c:pt idx="9">
                <c:v>42004</c:v>
              </c:pt>
              <c:pt idx="10">
                <c:v>42035</c:v>
              </c:pt>
              <c:pt idx="11">
                <c:v>42004</c:v>
              </c:pt>
              <c:pt idx="12">
                <c:v>42004</c:v>
              </c:pt>
              <c:pt idx="13">
                <c:v>42004</c:v>
              </c:pt>
              <c:pt idx="14">
                <c:v>42035</c:v>
              </c:pt>
              <c:pt idx="15">
                <c:v>42035</c:v>
              </c:pt>
              <c:pt idx="16">
                <c:v>42035</c:v>
              </c:pt>
              <c:pt idx="17">
                <c:v>42004</c:v>
              </c:pt>
              <c:pt idx="18">
                <c:v>42185</c:v>
              </c:pt>
              <c:pt idx="19">
                <c:v>42004</c:v>
              </c:pt>
              <c:pt idx="20">
                <c:v>42004</c:v>
              </c:pt>
              <c:pt idx="21">
                <c:v>42035</c:v>
              </c:pt>
              <c:pt idx="22">
                <c:v>42004</c:v>
              </c:pt>
              <c:pt idx="23">
                <c:v>42004</c:v>
              </c:pt>
              <c:pt idx="24">
                <c:v>42035</c:v>
              </c:pt>
              <c:pt idx="25">
                <c:v>42035</c:v>
              </c:pt>
              <c:pt idx="26">
                <c:v>42004</c:v>
              </c:pt>
              <c:pt idx="27">
                <c:v>42035</c:v>
              </c:pt>
              <c:pt idx="28">
                <c:v>42035</c:v>
              </c:pt>
              <c:pt idx="29">
                <c:v>42035</c:v>
              </c:pt>
              <c:pt idx="30">
                <c:v>42004</c:v>
              </c:pt>
              <c:pt idx="31">
                <c:v>42035</c:v>
              </c:pt>
              <c:pt idx="32">
                <c:v>42035</c:v>
              </c:pt>
              <c:pt idx="33">
                <c:v>42185</c:v>
              </c:pt>
              <c:pt idx="34">
                <c:v>42185</c:v>
              </c:pt>
              <c:pt idx="35">
                <c:v>42185</c:v>
              </c:pt>
              <c:pt idx="36">
                <c:v>42185</c:v>
              </c:pt>
              <c:pt idx="37">
                <c:v>42185</c:v>
              </c:pt>
              <c:pt idx="38">
                <c:v>42185</c:v>
              </c:pt>
              <c:pt idx="39">
                <c:v>42185</c:v>
              </c:pt>
              <c:pt idx="40">
                <c:v>42185</c:v>
              </c:pt>
              <c:pt idx="41">
                <c:v>42004</c:v>
              </c:pt>
              <c:pt idx="42">
                <c:v>42004</c:v>
              </c:pt>
              <c:pt idx="43">
                <c:v>42004</c:v>
              </c:pt>
              <c:pt idx="44">
                <c:v>42004</c:v>
              </c:pt>
              <c:pt idx="45">
                <c:v>42035</c:v>
              </c:pt>
            </c:numLit>
          </c:val>
        </c:ser>
        <c:dLbls>
          <c:showLegendKey val="0"/>
          <c:showVal val="0"/>
          <c:showCatName val="0"/>
          <c:showSerName val="0"/>
          <c:showPercent val="0"/>
          <c:showBubbleSize val="0"/>
        </c:dLbls>
        <c:gapWidth val="75"/>
        <c:shape val="box"/>
        <c:axId val="203187536"/>
        <c:axId val="203187928"/>
        <c:axId val="0"/>
      </c:bar3DChart>
      <c:catAx>
        <c:axId val="203187536"/>
        <c:scaling>
          <c:orientation val="minMax"/>
        </c:scaling>
        <c:delete val="0"/>
        <c:axPos val="l"/>
        <c:numFmt formatCode="General" sourceLinked="1"/>
        <c:majorTickMark val="none"/>
        <c:minorTickMark val="none"/>
        <c:tickLblPos val="nextTo"/>
        <c:txPr>
          <a:bodyPr rot="-2040000" vert="horz"/>
          <a:lstStyle/>
          <a:p>
            <a:pPr>
              <a:defRPr sz="1000" b="0" i="0" u="none" strike="noStrike" baseline="0">
                <a:solidFill>
                  <a:srgbClr val="000000"/>
                </a:solidFill>
                <a:latin typeface="Calibri"/>
                <a:ea typeface="Calibri"/>
                <a:cs typeface="Calibri"/>
              </a:defRPr>
            </a:pPr>
            <a:endParaRPr lang="en-US"/>
          </a:p>
        </c:txPr>
        <c:crossAx val="203187928"/>
        <c:crosses val="autoZero"/>
        <c:auto val="1"/>
        <c:lblAlgn val="ctr"/>
        <c:lblOffset val="100"/>
        <c:noMultiLvlLbl val="0"/>
      </c:catAx>
      <c:valAx>
        <c:axId val="203187928"/>
        <c:scaling>
          <c:orientation val="minMax"/>
          <c:min val="41974"/>
        </c:scaling>
        <c:delete val="0"/>
        <c:axPos val="b"/>
        <c:majorGridlines/>
        <c:numFmt formatCode="[$-409]d\-mmm\-yy;@" sourceLinked="0"/>
        <c:majorTickMark val="none"/>
        <c:minorTickMark val="none"/>
        <c:tickLblPos val="nextTo"/>
        <c:spPr>
          <a:ln w="9525">
            <a:noFill/>
          </a:ln>
        </c:spPr>
        <c:txPr>
          <a:bodyPr rot="-5400000" vert="horz"/>
          <a:lstStyle/>
          <a:p>
            <a:pPr>
              <a:defRPr sz="1000" b="0" i="0" u="none" strike="noStrike" baseline="0">
                <a:solidFill>
                  <a:srgbClr val="000000"/>
                </a:solidFill>
                <a:latin typeface="Calibri"/>
                <a:ea typeface="Calibri"/>
                <a:cs typeface="Calibri"/>
              </a:defRPr>
            </a:pPr>
            <a:endParaRPr lang="en-US"/>
          </a:p>
        </c:txPr>
        <c:crossAx val="203187536"/>
        <c:crosses val="autoZero"/>
        <c:crossBetween val="between"/>
        <c:majorUnit val="50"/>
      </c:valAx>
      <c:spPr>
        <a:noFill/>
        <a:ln w="25400">
          <a:noFill/>
        </a:ln>
      </c:spPr>
    </c:plotArea>
    <c:plotVisOnly val="1"/>
    <c:dispBlanksAs val="gap"/>
    <c:showDLblsOverMax val="0"/>
  </c:chart>
  <c:spPr>
    <a:effectLst>
      <a:outerShdw blurRad="50800" dist="38100" algn="l" rotWithShape="0">
        <a:prstClr val="black">
          <a:alpha val="40000"/>
        </a:prstClr>
      </a:outerShdw>
    </a:effectLst>
    <a:scene3d>
      <a:camera prst="orthographicFront"/>
      <a:lightRig rig="threePt" dir="t"/>
    </a:scene3d>
    <a:sp3d>
      <a:bevelT prst="relaxedInset"/>
    </a:sp3d>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33" l="0.70000000000000062" r="0.70000000000000062" t="0.75000000000000133" header="0.30000000000000032" footer="0.30000000000000032"/>
    <c:pageSetup/>
  </c:printSettings>
  <c:extLst/>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2015.xlsx]SituationAnalysis!PivotTable1</c:name>
    <c:fmtId val="0"/>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Needs Coverage</a:t>
            </a:r>
          </a:p>
        </c:rich>
      </c:tx>
      <c:layout>
        <c:manualLayout>
          <c:xMode val="edge"/>
          <c:yMode val="edge"/>
          <c:x val="0.38267455621301777"/>
          <c:y val="3.321033210332103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bar3DChart>
        <c:barDir val="col"/>
        <c:grouping val="clustered"/>
        <c:varyColors val="0"/>
        <c:ser>
          <c:idx val="0"/>
          <c:order val="0"/>
          <c:tx>
            <c:strRef>
              <c:f>SituationAnalysis!$C$13</c:f>
              <c:strCache>
                <c:ptCount val="1"/>
                <c:pt idx="0">
                  <c:v>% Water coverage</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SituationAnalysis!$B$14:$B$16</c:f>
              <c:strCache>
                <c:ptCount val="2"/>
                <c:pt idx="0">
                  <c:v>GCA</c:v>
                </c:pt>
                <c:pt idx="1">
                  <c:v>NGCA</c:v>
                </c:pt>
              </c:strCache>
            </c:strRef>
          </c:cat>
          <c:val>
            <c:numRef>
              <c:f>SituationAnalysis!$C$14:$C$16</c:f>
              <c:numCache>
                <c:formatCode>0%</c:formatCode>
                <c:ptCount val="2"/>
                <c:pt idx="0">
                  <c:v>0.99394599830487962</c:v>
                </c:pt>
                <c:pt idx="1">
                  <c:v>1</c:v>
                </c:pt>
              </c:numCache>
            </c:numRef>
          </c:val>
        </c:ser>
        <c:ser>
          <c:idx val="1"/>
          <c:order val="1"/>
          <c:tx>
            <c:strRef>
              <c:f>SituationAnalysis!$D$13</c:f>
              <c:strCache>
                <c:ptCount val="1"/>
                <c:pt idx="0">
                  <c:v>% Latrine coverage</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SituationAnalysis!$B$14:$B$16</c:f>
              <c:strCache>
                <c:ptCount val="2"/>
                <c:pt idx="0">
                  <c:v>GCA</c:v>
                </c:pt>
                <c:pt idx="1">
                  <c:v>NGCA</c:v>
                </c:pt>
              </c:strCache>
            </c:strRef>
          </c:cat>
          <c:val>
            <c:numRef>
              <c:f>SituationAnalysis!$D$14:$D$16</c:f>
              <c:numCache>
                <c:formatCode>0%</c:formatCode>
                <c:ptCount val="2"/>
                <c:pt idx="0">
                  <c:v>0.84507809662186706</c:v>
                </c:pt>
                <c:pt idx="1">
                  <c:v>0.97834006104164617</c:v>
                </c:pt>
              </c:numCache>
            </c:numRef>
          </c:val>
        </c:ser>
        <c:ser>
          <c:idx val="2"/>
          <c:order val="2"/>
          <c:tx>
            <c:strRef>
              <c:f>SituationAnalysis!$E$13</c:f>
              <c:strCache>
                <c:ptCount val="1"/>
                <c:pt idx="0">
                  <c:v>% Bathroom coverage</c:v>
                </c:pt>
              </c:strCache>
            </c:strRef>
          </c:tx>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SituationAnalysis!$B$14:$B$16</c:f>
              <c:strCache>
                <c:ptCount val="2"/>
                <c:pt idx="0">
                  <c:v>GCA</c:v>
                </c:pt>
                <c:pt idx="1">
                  <c:v>NGCA</c:v>
                </c:pt>
              </c:strCache>
            </c:strRef>
          </c:cat>
          <c:val>
            <c:numRef>
              <c:f>SituationAnalysis!$E$14:$E$16</c:f>
              <c:numCache>
                <c:formatCode>0%</c:formatCode>
                <c:ptCount val="2"/>
                <c:pt idx="0">
                  <c:v>0.59693970214311665</c:v>
                </c:pt>
                <c:pt idx="1">
                  <c:v>0.56132059991467298</c:v>
                </c:pt>
              </c:numCache>
            </c:numRef>
          </c:val>
        </c:ser>
        <c:dLbls>
          <c:showLegendKey val="0"/>
          <c:showVal val="1"/>
          <c:showCatName val="0"/>
          <c:showSerName val="0"/>
          <c:showPercent val="0"/>
          <c:showBubbleSize val="0"/>
        </c:dLbls>
        <c:gapWidth val="150"/>
        <c:shape val="box"/>
        <c:axId val="203188712"/>
        <c:axId val="203189104"/>
        <c:axId val="0"/>
      </c:bar3DChart>
      <c:catAx>
        <c:axId val="2031887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189104"/>
        <c:crosses val="autoZero"/>
        <c:auto val="1"/>
        <c:lblAlgn val="ctr"/>
        <c:lblOffset val="100"/>
        <c:noMultiLvlLbl val="0"/>
      </c:catAx>
      <c:valAx>
        <c:axId val="2031891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188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a:scene3d>
      <a:camera prst="orthographicFront"/>
      <a:lightRig rig="threePt" dir="t"/>
    </a:scene3d>
    <a:sp3d>
      <a:bevelT prst="relaxedInset"/>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2015.xlsx]SituationAnalysis!PivotTable5</c:name>
    <c:fmtId val="2"/>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Needs Coverage</a:t>
            </a:r>
          </a:p>
        </c:rich>
      </c:tx>
      <c:layout>
        <c:manualLayout>
          <c:xMode val="edge"/>
          <c:yMode val="edge"/>
          <c:x val="0.38267455621301777"/>
          <c:y val="3.321033210332103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sp3d/>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a:sp3d/>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marker>
          <c:symbol val="none"/>
        </c:marker>
      </c:pivotFmt>
      <c:pivotFmt>
        <c:idx val="4"/>
        <c:marker>
          <c:symbol val="none"/>
        </c:marker>
      </c:pivotFmt>
      <c:pivotFmt>
        <c:idx val="5"/>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pivotFmt>
      <c:pivotFmt>
        <c:idx val="10"/>
        <c:spPr>
          <a:solidFill>
            <a:schemeClr val="accent1"/>
          </a:solidFill>
          <a:ln>
            <a:noFill/>
          </a:ln>
          <a:effectLst/>
          <a:sp3d/>
        </c:spPr>
        <c:marker>
          <c:symbol val="none"/>
        </c:marker>
      </c:pivotFmt>
      <c:pivotFmt>
        <c:idx val="11"/>
        <c:spPr>
          <a:solidFill>
            <a:schemeClr val="accent1"/>
          </a:solidFill>
          <a:ln>
            <a:noFill/>
          </a:ln>
          <a:effectLst/>
          <a:sp3d/>
        </c:spPr>
        <c:marker>
          <c:symbol val="none"/>
        </c:marker>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bar3DChart>
        <c:barDir val="col"/>
        <c:grouping val="clustered"/>
        <c:varyColors val="0"/>
        <c:ser>
          <c:idx val="0"/>
          <c:order val="0"/>
          <c:tx>
            <c:strRef>
              <c:f>SituationAnalysis!$C$32</c:f>
              <c:strCache>
                <c:ptCount val="1"/>
                <c:pt idx="0">
                  <c:v>% Water Need coverage</c:v>
                </c:pt>
              </c:strCache>
            </c:strRef>
          </c:tx>
          <c:spPr>
            <a:solidFill>
              <a:schemeClr val="accent1"/>
            </a:solidFill>
            <a:ln>
              <a:noFill/>
            </a:ln>
            <a:effectLst/>
            <a:sp3d/>
          </c:spPr>
          <c:invertIfNegative val="0"/>
          <c:cat>
            <c:strRef>
              <c:f>SituationAnalysis!$B$33:$B$51</c:f>
              <c:strCache>
                <c:ptCount val="18"/>
                <c:pt idx="0">
                  <c:v>Bhamo</c:v>
                </c:pt>
                <c:pt idx="1">
                  <c:v>Chipwi</c:v>
                </c:pt>
                <c:pt idx="2">
                  <c:v>Hpakan</c:v>
                </c:pt>
                <c:pt idx="3">
                  <c:v>Khaunglanhpu</c:v>
                </c:pt>
                <c:pt idx="4">
                  <c:v>Kutkai</c:v>
                </c:pt>
                <c:pt idx="5">
                  <c:v>Mansi</c:v>
                </c:pt>
                <c:pt idx="6">
                  <c:v>Manton</c:v>
                </c:pt>
                <c:pt idx="7">
                  <c:v>Mogaung</c:v>
                </c:pt>
                <c:pt idx="8">
                  <c:v>Mohnyin</c:v>
                </c:pt>
                <c:pt idx="9">
                  <c:v>Momauk</c:v>
                </c:pt>
                <c:pt idx="10">
                  <c:v>Muse</c:v>
                </c:pt>
                <c:pt idx="11">
                  <c:v>Myitkyina</c:v>
                </c:pt>
                <c:pt idx="12">
                  <c:v>Namkham</c:v>
                </c:pt>
                <c:pt idx="13">
                  <c:v>Namtu</c:v>
                </c:pt>
                <c:pt idx="14">
                  <c:v>Puta-O</c:v>
                </c:pt>
                <c:pt idx="15">
                  <c:v>Shwegu</c:v>
                </c:pt>
                <c:pt idx="16">
                  <c:v>Waingmaw</c:v>
                </c:pt>
                <c:pt idx="17">
                  <c:v>Hseni</c:v>
                </c:pt>
              </c:strCache>
            </c:strRef>
          </c:cat>
          <c:val>
            <c:numRef>
              <c:f>SituationAnalysis!$C$33:$C$51</c:f>
              <c:numCache>
                <c:formatCode>0%</c:formatCode>
                <c:ptCount val="18"/>
                <c:pt idx="0">
                  <c:v>1</c:v>
                </c:pt>
                <c:pt idx="1">
                  <c:v>1</c:v>
                </c:pt>
                <c:pt idx="2">
                  <c:v>1</c:v>
                </c:pt>
                <c:pt idx="3">
                  <c:v>0</c:v>
                </c:pt>
                <c:pt idx="4">
                  <c:v>0.94112769485903824</c:v>
                </c:pt>
                <c:pt idx="5">
                  <c:v>1</c:v>
                </c:pt>
                <c:pt idx="6">
                  <c:v>1</c:v>
                </c:pt>
                <c:pt idx="7">
                  <c:v>1</c:v>
                </c:pt>
                <c:pt idx="8">
                  <c:v>1</c:v>
                </c:pt>
                <c:pt idx="9">
                  <c:v>1</c:v>
                </c:pt>
                <c:pt idx="10">
                  <c:v>0.85669041963578785</c:v>
                </c:pt>
                <c:pt idx="11">
                  <c:v>1</c:v>
                </c:pt>
                <c:pt idx="12">
                  <c:v>1</c:v>
                </c:pt>
                <c:pt idx="13">
                  <c:v>1</c:v>
                </c:pt>
                <c:pt idx="14">
                  <c:v>1</c:v>
                </c:pt>
                <c:pt idx="15">
                  <c:v>1</c:v>
                </c:pt>
                <c:pt idx="16">
                  <c:v>1</c:v>
                </c:pt>
                <c:pt idx="17">
                  <c:v>1</c:v>
                </c:pt>
              </c:numCache>
            </c:numRef>
          </c:val>
        </c:ser>
        <c:ser>
          <c:idx val="1"/>
          <c:order val="1"/>
          <c:tx>
            <c:strRef>
              <c:f>SituationAnalysis!$D$32</c:f>
              <c:strCache>
                <c:ptCount val="1"/>
                <c:pt idx="0">
                  <c:v>%  Latrine need coverage</c:v>
                </c:pt>
              </c:strCache>
            </c:strRef>
          </c:tx>
          <c:spPr>
            <a:solidFill>
              <a:schemeClr val="accent2"/>
            </a:solidFill>
            <a:ln>
              <a:noFill/>
            </a:ln>
            <a:effectLst/>
            <a:sp3d/>
          </c:spPr>
          <c:invertIfNegative val="0"/>
          <c:cat>
            <c:strRef>
              <c:f>SituationAnalysis!$B$33:$B$51</c:f>
              <c:strCache>
                <c:ptCount val="18"/>
                <c:pt idx="0">
                  <c:v>Bhamo</c:v>
                </c:pt>
                <c:pt idx="1">
                  <c:v>Chipwi</c:v>
                </c:pt>
                <c:pt idx="2">
                  <c:v>Hpakan</c:v>
                </c:pt>
                <c:pt idx="3">
                  <c:v>Khaunglanhpu</c:v>
                </c:pt>
                <c:pt idx="4">
                  <c:v>Kutkai</c:v>
                </c:pt>
                <c:pt idx="5">
                  <c:v>Mansi</c:v>
                </c:pt>
                <c:pt idx="6">
                  <c:v>Manton</c:v>
                </c:pt>
                <c:pt idx="7">
                  <c:v>Mogaung</c:v>
                </c:pt>
                <c:pt idx="8">
                  <c:v>Mohnyin</c:v>
                </c:pt>
                <c:pt idx="9">
                  <c:v>Momauk</c:v>
                </c:pt>
                <c:pt idx="10">
                  <c:v>Muse</c:v>
                </c:pt>
                <c:pt idx="11">
                  <c:v>Myitkyina</c:v>
                </c:pt>
                <c:pt idx="12">
                  <c:v>Namkham</c:v>
                </c:pt>
                <c:pt idx="13">
                  <c:v>Namtu</c:v>
                </c:pt>
                <c:pt idx="14">
                  <c:v>Puta-O</c:v>
                </c:pt>
                <c:pt idx="15">
                  <c:v>Shwegu</c:v>
                </c:pt>
                <c:pt idx="16">
                  <c:v>Waingmaw</c:v>
                </c:pt>
                <c:pt idx="17">
                  <c:v>Hseni</c:v>
                </c:pt>
              </c:strCache>
            </c:strRef>
          </c:cat>
          <c:val>
            <c:numRef>
              <c:f>SituationAnalysis!$D$33:$D$51</c:f>
              <c:numCache>
                <c:formatCode>0%</c:formatCode>
                <c:ptCount val="18"/>
                <c:pt idx="0">
                  <c:v>0.78063540090771555</c:v>
                </c:pt>
                <c:pt idx="1">
                  <c:v>0.90234219928543069</c:v>
                </c:pt>
                <c:pt idx="2">
                  <c:v>0.73006303096738834</c:v>
                </c:pt>
                <c:pt idx="3">
                  <c:v>0</c:v>
                </c:pt>
                <c:pt idx="4">
                  <c:v>0.94247512437810943</c:v>
                </c:pt>
                <c:pt idx="5">
                  <c:v>0.86419753086419748</c:v>
                </c:pt>
                <c:pt idx="6">
                  <c:v>1</c:v>
                </c:pt>
                <c:pt idx="7">
                  <c:v>1</c:v>
                </c:pt>
                <c:pt idx="8">
                  <c:v>1</c:v>
                </c:pt>
                <c:pt idx="9">
                  <c:v>0.96866202793859879</c:v>
                </c:pt>
                <c:pt idx="10">
                  <c:v>0.88123515439429934</c:v>
                </c:pt>
                <c:pt idx="11">
                  <c:v>0.8744079699493712</c:v>
                </c:pt>
                <c:pt idx="12">
                  <c:v>0.79667063020214035</c:v>
                </c:pt>
                <c:pt idx="13">
                  <c:v>1</c:v>
                </c:pt>
                <c:pt idx="14">
                  <c:v>0.5161290322580645</c:v>
                </c:pt>
                <c:pt idx="15">
                  <c:v>1</c:v>
                </c:pt>
                <c:pt idx="16">
                  <c:v>0.94174919327918105</c:v>
                </c:pt>
                <c:pt idx="17">
                  <c:v>0.95218295218295224</c:v>
                </c:pt>
              </c:numCache>
            </c:numRef>
          </c:val>
        </c:ser>
        <c:ser>
          <c:idx val="2"/>
          <c:order val="2"/>
          <c:tx>
            <c:strRef>
              <c:f>SituationAnalysis!$E$32</c:f>
              <c:strCache>
                <c:ptCount val="1"/>
                <c:pt idx="0">
                  <c:v>% Bathroom need coverage</c:v>
                </c:pt>
              </c:strCache>
            </c:strRef>
          </c:tx>
          <c:spPr>
            <a:solidFill>
              <a:schemeClr val="accent3"/>
            </a:solidFill>
            <a:ln>
              <a:noFill/>
            </a:ln>
            <a:effectLst/>
            <a:sp3d/>
          </c:spPr>
          <c:invertIfNegative val="0"/>
          <c:cat>
            <c:strRef>
              <c:f>SituationAnalysis!$B$33:$B$51</c:f>
              <c:strCache>
                <c:ptCount val="18"/>
                <c:pt idx="0">
                  <c:v>Bhamo</c:v>
                </c:pt>
                <c:pt idx="1">
                  <c:v>Chipwi</c:v>
                </c:pt>
                <c:pt idx="2">
                  <c:v>Hpakan</c:v>
                </c:pt>
                <c:pt idx="3">
                  <c:v>Khaunglanhpu</c:v>
                </c:pt>
                <c:pt idx="4">
                  <c:v>Kutkai</c:v>
                </c:pt>
                <c:pt idx="5">
                  <c:v>Mansi</c:v>
                </c:pt>
                <c:pt idx="6">
                  <c:v>Manton</c:v>
                </c:pt>
                <c:pt idx="7">
                  <c:v>Mogaung</c:v>
                </c:pt>
                <c:pt idx="8">
                  <c:v>Mohnyin</c:v>
                </c:pt>
                <c:pt idx="9">
                  <c:v>Momauk</c:v>
                </c:pt>
                <c:pt idx="10">
                  <c:v>Muse</c:v>
                </c:pt>
                <c:pt idx="11">
                  <c:v>Myitkyina</c:v>
                </c:pt>
                <c:pt idx="12">
                  <c:v>Namkham</c:v>
                </c:pt>
                <c:pt idx="13">
                  <c:v>Namtu</c:v>
                </c:pt>
                <c:pt idx="14">
                  <c:v>Puta-O</c:v>
                </c:pt>
                <c:pt idx="15">
                  <c:v>Shwegu</c:v>
                </c:pt>
                <c:pt idx="16">
                  <c:v>Waingmaw</c:v>
                </c:pt>
                <c:pt idx="17">
                  <c:v>Hseni</c:v>
                </c:pt>
              </c:strCache>
            </c:strRef>
          </c:cat>
          <c:val>
            <c:numRef>
              <c:f>SituationAnalysis!$E$33:$E$51</c:f>
              <c:numCache>
                <c:formatCode>0%</c:formatCode>
                <c:ptCount val="18"/>
                <c:pt idx="0">
                  <c:v>0.46087195708980883</c:v>
                </c:pt>
                <c:pt idx="1">
                  <c:v>0.63517268757443435</c:v>
                </c:pt>
                <c:pt idx="2">
                  <c:v>0.71416826527815835</c:v>
                </c:pt>
                <c:pt idx="3">
                  <c:v>0</c:v>
                </c:pt>
                <c:pt idx="4">
                  <c:v>0.68065920398009949</c:v>
                </c:pt>
                <c:pt idx="5">
                  <c:v>0.40237768632830362</c:v>
                </c:pt>
                <c:pt idx="6">
                  <c:v>1</c:v>
                </c:pt>
                <c:pt idx="7">
                  <c:v>0.8606060606060606</c:v>
                </c:pt>
                <c:pt idx="8">
                  <c:v>1</c:v>
                </c:pt>
                <c:pt idx="9">
                  <c:v>0.61225898974876503</c:v>
                </c:pt>
                <c:pt idx="10">
                  <c:v>1</c:v>
                </c:pt>
                <c:pt idx="11">
                  <c:v>0.62110076759758293</c:v>
                </c:pt>
                <c:pt idx="12">
                  <c:v>0.82996432818073718</c:v>
                </c:pt>
                <c:pt idx="13">
                  <c:v>1</c:v>
                </c:pt>
                <c:pt idx="14">
                  <c:v>0</c:v>
                </c:pt>
                <c:pt idx="15">
                  <c:v>1</c:v>
                </c:pt>
                <c:pt idx="16">
                  <c:v>0.61388672526983423</c:v>
                </c:pt>
                <c:pt idx="17">
                  <c:v>0</c:v>
                </c:pt>
              </c:numCache>
            </c:numRef>
          </c:val>
        </c:ser>
        <c:dLbls>
          <c:showLegendKey val="0"/>
          <c:showVal val="0"/>
          <c:showCatName val="0"/>
          <c:showSerName val="0"/>
          <c:showPercent val="0"/>
          <c:showBubbleSize val="0"/>
        </c:dLbls>
        <c:gapWidth val="150"/>
        <c:shape val="box"/>
        <c:axId val="203189888"/>
        <c:axId val="203190280"/>
        <c:axId val="0"/>
      </c:bar3DChart>
      <c:catAx>
        <c:axId val="203189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190280"/>
        <c:crosses val="autoZero"/>
        <c:auto val="1"/>
        <c:lblAlgn val="ctr"/>
        <c:lblOffset val="100"/>
        <c:noMultiLvlLbl val="0"/>
      </c:catAx>
      <c:valAx>
        <c:axId val="2031902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189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a:scene3d>
      <a:camera prst="orthographicFront"/>
      <a:lightRig rig="threePt" dir="t"/>
    </a:scene3d>
    <a:sp3d>
      <a:bevelT prst="relaxedInset"/>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2015.xlsx]SituationAnalysis!PivotTable8</c:name>
    <c:fmtId val="2"/>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Needs Coverage</a:t>
            </a:r>
          </a:p>
        </c:rich>
      </c:tx>
      <c:layout>
        <c:manualLayout>
          <c:xMode val="edge"/>
          <c:yMode val="edge"/>
          <c:x val="0.38267455621301777"/>
          <c:y val="3.321033210332103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sp3d/>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a:sp3d/>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marker>
          <c:symbol val="none"/>
        </c:marker>
      </c:pivotFmt>
      <c:pivotFmt>
        <c:idx val="4"/>
        <c:marker>
          <c:symbol val="none"/>
        </c:marker>
      </c:pivotFmt>
      <c:pivotFmt>
        <c:idx val="5"/>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pivotFmt>
      <c:pivotFmt>
        <c:idx val="10"/>
        <c:spPr>
          <a:solidFill>
            <a:schemeClr val="accent1"/>
          </a:solidFill>
          <a:ln>
            <a:noFill/>
          </a:ln>
          <a:effectLst/>
          <a:sp3d/>
        </c:spPr>
        <c:marker>
          <c:symbol val="none"/>
        </c:marker>
      </c:pivotFmt>
      <c:pivotFmt>
        <c:idx val="11"/>
        <c:spPr>
          <a:solidFill>
            <a:schemeClr val="accent1"/>
          </a:solidFill>
          <a:ln>
            <a:noFill/>
          </a:ln>
          <a:effectLst/>
          <a:sp3d/>
        </c:spPr>
        <c:marker>
          <c:symbol val="none"/>
        </c:marker>
      </c:pivotFmt>
      <c:pivotFmt>
        <c:idx val="12"/>
        <c:spPr>
          <a:solidFill>
            <a:schemeClr val="accent1"/>
          </a:solidFill>
          <a:ln>
            <a:noFill/>
          </a:ln>
          <a:effectLst/>
          <a:sp3d/>
        </c:spPr>
        <c:marker>
          <c:symbol val="none"/>
        </c:marker>
      </c:pivotFmt>
      <c:pivotFmt>
        <c:idx val="13"/>
        <c:spPr>
          <a:solidFill>
            <a:schemeClr val="accent1"/>
          </a:solidFill>
          <a:ln>
            <a:noFill/>
          </a:ln>
          <a:effectLst/>
          <a:sp3d/>
        </c:spPr>
        <c:marker>
          <c:symbol val="none"/>
        </c:marker>
      </c:pivotFmt>
      <c:pivotFmt>
        <c:idx val="14"/>
        <c:spPr>
          <a:solidFill>
            <a:schemeClr val="accent1"/>
          </a:solidFill>
          <a:ln>
            <a:noFill/>
          </a:ln>
          <a:effectLst/>
          <a:sp3d/>
        </c:spPr>
        <c:marker>
          <c:symbol val="none"/>
        </c:marker>
      </c:pivotFmt>
      <c:pivotFmt>
        <c:idx val="15"/>
        <c:spPr>
          <a:solidFill>
            <a:schemeClr val="accent1"/>
          </a:solidFill>
          <a:ln>
            <a:noFill/>
          </a:ln>
          <a:effectLst/>
          <a:sp3d/>
        </c:spPr>
        <c:marker>
          <c:symbol val="none"/>
        </c:marker>
      </c:pivotFmt>
      <c:pivotFmt>
        <c:idx val="16"/>
        <c:spPr>
          <a:solidFill>
            <a:schemeClr val="accent1"/>
          </a:solidFill>
          <a:ln>
            <a:noFill/>
          </a:ln>
          <a:effectLst/>
          <a:sp3d/>
        </c:spPr>
        <c:marker>
          <c:symbol val="none"/>
        </c:marker>
      </c:pivotFmt>
      <c:pivotFmt>
        <c:idx val="17"/>
        <c:spPr>
          <a:solidFill>
            <a:schemeClr val="accent1"/>
          </a:solidFill>
          <a:ln>
            <a:noFill/>
          </a:ln>
          <a:effectLst/>
          <a:sp3d/>
        </c:spPr>
        <c:marker>
          <c:symbol val="none"/>
        </c:marker>
      </c:pivotFmt>
      <c:pivotFmt>
        <c:idx val="18"/>
        <c:spPr>
          <a:solidFill>
            <a:schemeClr val="accent1"/>
          </a:solidFill>
          <a:ln>
            <a:noFill/>
          </a:ln>
          <a:effectLst/>
          <a:sp3d/>
        </c:spPr>
        <c:marker>
          <c:symbol val="none"/>
        </c:marker>
      </c:pivotFmt>
      <c:pivotFmt>
        <c:idx val="19"/>
        <c:spPr>
          <a:solidFill>
            <a:schemeClr val="accent1"/>
          </a:solidFill>
          <a:ln>
            <a:noFill/>
          </a:ln>
          <a:effectLst/>
          <a:sp3d/>
        </c:spPr>
        <c:marker>
          <c:symbol val="none"/>
        </c:marker>
      </c:pivotFmt>
      <c:pivotFmt>
        <c:idx val="20"/>
        <c:spPr>
          <a:solidFill>
            <a:schemeClr val="accent1"/>
          </a:solidFill>
          <a:ln>
            <a:noFill/>
          </a:ln>
          <a:effectLst/>
          <a:sp3d/>
        </c:spPr>
        <c:marker>
          <c:symbol val="none"/>
        </c:marker>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bar3DChart>
        <c:barDir val="col"/>
        <c:grouping val="clustered"/>
        <c:varyColors val="0"/>
        <c:ser>
          <c:idx val="0"/>
          <c:order val="0"/>
          <c:tx>
            <c:strRef>
              <c:f>SituationAnalysis!$C$63</c:f>
              <c:strCache>
                <c:ptCount val="1"/>
                <c:pt idx="0">
                  <c:v>% Water Need coverage</c:v>
                </c:pt>
              </c:strCache>
            </c:strRef>
          </c:tx>
          <c:spPr>
            <a:solidFill>
              <a:schemeClr val="accent1"/>
            </a:solidFill>
            <a:ln>
              <a:noFill/>
            </a:ln>
            <a:effectLst/>
            <a:sp3d/>
          </c:spPr>
          <c:invertIfNegative val="0"/>
          <c:cat>
            <c:strRef>
              <c:f>SituationAnalysis!$B$64:$B$74</c:f>
              <c:strCache>
                <c:ptCount val="10"/>
                <c:pt idx="0">
                  <c:v>Cluster 1</c:v>
                </c:pt>
                <c:pt idx="1">
                  <c:v>Cluster 10</c:v>
                </c:pt>
                <c:pt idx="2">
                  <c:v>Cluster 2</c:v>
                </c:pt>
                <c:pt idx="3">
                  <c:v>Cluster 3</c:v>
                </c:pt>
                <c:pt idx="4">
                  <c:v>Cluster 4</c:v>
                </c:pt>
                <c:pt idx="5">
                  <c:v>Cluster 5</c:v>
                </c:pt>
                <c:pt idx="6">
                  <c:v>Cluster 6</c:v>
                </c:pt>
                <c:pt idx="7">
                  <c:v>Cluster 7</c:v>
                </c:pt>
                <c:pt idx="8">
                  <c:v>Cluster 8</c:v>
                </c:pt>
                <c:pt idx="9">
                  <c:v>Cluster 9</c:v>
                </c:pt>
              </c:strCache>
            </c:strRef>
          </c:cat>
          <c:val>
            <c:numRef>
              <c:f>SituationAnalysis!$C$64:$C$74</c:f>
              <c:numCache>
                <c:formatCode>0%</c:formatCode>
                <c:ptCount val="10"/>
                <c:pt idx="0">
                  <c:v>1</c:v>
                </c:pt>
                <c:pt idx="1">
                  <c:v>0.99402670414617011</c:v>
                </c:pt>
                <c:pt idx="2">
                  <c:v>1</c:v>
                </c:pt>
                <c:pt idx="3">
                  <c:v>1</c:v>
                </c:pt>
                <c:pt idx="4">
                  <c:v>1</c:v>
                </c:pt>
                <c:pt idx="5">
                  <c:v>1</c:v>
                </c:pt>
                <c:pt idx="6">
                  <c:v>1</c:v>
                </c:pt>
                <c:pt idx="7">
                  <c:v>0.98982917509552715</c:v>
                </c:pt>
                <c:pt idx="8">
                  <c:v>0.94878730502208997</c:v>
                </c:pt>
                <c:pt idx="9">
                  <c:v>1</c:v>
                </c:pt>
              </c:numCache>
            </c:numRef>
          </c:val>
        </c:ser>
        <c:ser>
          <c:idx val="1"/>
          <c:order val="1"/>
          <c:tx>
            <c:strRef>
              <c:f>SituationAnalysis!$D$63</c:f>
              <c:strCache>
                <c:ptCount val="1"/>
                <c:pt idx="0">
                  <c:v>% Latrine need coverage</c:v>
                </c:pt>
              </c:strCache>
            </c:strRef>
          </c:tx>
          <c:spPr>
            <a:solidFill>
              <a:schemeClr val="accent2"/>
            </a:solidFill>
            <a:ln>
              <a:noFill/>
            </a:ln>
            <a:effectLst/>
            <a:sp3d/>
          </c:spPr>
          <c:invertIfNegative val="0"/>
          <c:cat>
            <c:strRef>
              <c:f>SituationAnalysis!$B$64:$B$74</c:f>
              <c:strCache>
                <c:ptCount val="10"/>
                <c:pt idx="0">
                  <c:v>Cluster 1</c:v>
                </c:pt>
                <c:pt idx="1">
                  <c:v>Cluster 10</c:v>
                </c:pt>
                <c:pt idx="2">
                  <c:v>Cluster 2</c:v>
                </c:pt>
                <c:pt idx="3">
                  <c:v>Cluster 3</c:v>
                </c:pt>
                <c:pt idx="4">
                  <c:v>Cluster 4</c:v>
                </c:pt>
                <c:pt idx="5">
                  <c:v>Cluster 5</c:v>
                </c:pt>
                <c:pt idx="6">
                  <c:v>Cluster 6</c:v>
                </c:pt>
                <c:pt idx="7">
                  <c:v>Cluster 7</c:v>
                </c:pt>
                <c:pt idx="8">
                  <c:v>Cluster 8</c:v>
                </c:pt>
                <c:pt idx="9">
                  <c:v>Cluster 9</c:v>
                </c:pt>
              </c:strCache>
            </c:strRef>
          </c:cat>
          <c:val>
            <c:numRef>
              <c:f>SituationAnalysis!$D$64:$D$74</c:f>
              <c:numCache>
                <c:formatCode>0%</c:formatCode>
                <c:ptCount val="10"/>
                <c:pt idx="0">
                  <c:v>0.73006303096738834</c:v>
                </c:pt>
                <c:pt idx="1">
                  <c:v>0.85488404778636684</c:v>
                </c:pt>
                <c:pt idx="2">
                  <c:v>0.86905502020516012</c:v>
                </c:pt>
                <c:pt idx="3">
                  <c:v>1</c:v>
                </c:pt>
                <c:pt idx="4">
                  <c:v>0.82913653393744013</c:v>
                </c:pt>
                <c:pt idx="5">
                  <c:v>0.99369100366018104</c:v>
                </c:pt>
                <c:pt idx="6">
                  <c:v>0.93962234211361473</c:v>
                </c:pt>
                <c:pt idx="7">
                  <c:v>0.77410654079568442</c:v>
                </c:pt>
                <c:pt idx="8">
                  <c:v>0.9437381660806059</c:v>
                </c:pt>
                <c:pt idx="9">
                  <c:v>1</c:v>
                </c:pt>
              </c:numCache>
            </c:numRef>
          </c:val>
        </c:ser>
        <c:ser>
          <c:idx val="2"/>
          <c:order val="2"/>
          <c:tx>
            <c:strRef>
              <c:f>SituationAnalysis!$E$63</c:f>
              <c:strCache>
                <c:ptCount val="1"/>
                <c:pt idx="0">
                  <c:v>% Bathroom need coverage</c:v>
                </c:pt>
              </c:strCache>
            </c:strRef>
          </c:tx>
          <c:spPr>
            <a:solidFill>
              <a:schemeClr val="accent3"/>
            </a:solidFill>
            <a:ln>
              <a:noFill/>
            </a:ln>
            <a:effectLst/>
            <a:sp3d/>
          </c:spPr>
          <c:invertIfNegative val="0"/>
          <c:cat>
            <c:strRef>
              <c:f>SituationAnalysis!$B$64:$B$74</c:f>
              <c:strCache>
                <c:ptCount val="10"/>
                <c:pt idx="0">
                  <c:v>Cluster 1</c:v>
                </c:pt>
                <c:pt idx="1">
                  <c:v>Cluster 10</c:v>
                </c:pt>
                <c:pt idx="2">
                  <c:v>Cluster 2</c:v>
                </c:pt>
                <c:pt idx="3">
                  <c:v>Cluster 3</c:v>
                </c:pt>
                <c:pt idx="4">
                  <c:v>Cluster 4</c:v>
                </c:pt>
                <c:pt idx="5">
                  <c:v>Cluster 5</c:v>
                </c:pt>
                <c:pt idx="6">
                  <c:v>Cluster 6</c:v>
                </c:pt>
                <c:pt idx="7">
                  <c:v>Cluster 7</c:v>
                </c:pt>
                <c:pt idx="8">
                  <c:v>Cluster 8</c:v>
                </c:pt>
                <c:pt idx="9">
                  <c:v>Cluster 9</c:v>
                </c:pt>
              </c:strCache>
            </c:strRef>
          </c:cat>
          <c:val>
            <c:numRef>
              <c:f>SituationAnalysis!$E$64:$E$74</c:f>
              <c:numCache>
                <c:formatCode>0%</c:formatCode>
                <c:ptCount val="10"/>
                <c:pt idx="0">
                  <c:v>0.71416826527815835</c:v>
                </c:pt>
                <c:pt idx="1">
                  <c:v>0.56219255094869991</c:v>
                </c:pt>
                <c:pt idx="2">
                  <c:v>0.58167547404414055</c:v>
                </c:pt>
                <c:pt idx="3">
                  <c:v>0.92358803986710969</c:v>
                </c:pt>
                <c:pt idx="4">
                  <c:v>0.55972815195608605</c:v>
                </c:pt>
                <c:pt idx="5">
                  <c:v>0.6526680793681372</c:v>
                </c:pt>
                <c:pt idx="6">
                  <c:v>0.42581720088860681</c:v>
                </c:pt>
                <c:pt idx="7">
                  <c:v>0.59271746459878627</c:v>
                </c:pt>
                <c:pt idx="8">
                  <c:v>0.59210170408439278</c:v>
                </c:pt>
                <c:pt idx="9">
                  <c:v>1</c:v>
                </c:pt>
              </c:numCache>
            </c:numRef>
          </c:val>
        </c:ser>
        <c:dLbls>
          <c:showLegendKey val="0"/>
          <c:showVal val="0"/>
          <c:showCatName val="0"/>
          <c:showSerName val="0"/>
          <c:showPercent val="0"/>
          <c:showBubbleSize val="0"/>
        </c:dLbls>
        <c:gapWidth val="150"/>
        <c:shape val="box"/>
        <c:axId val="203191064"/>
        <c:axId val="228807008"/>
        <c:axId val="0"/>
      </c:bar3DChart>
      <c:catAx>
        <c:axId val="2031910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807008"/>
        <c:crosses val="autoZero"/>
        <c:auto val="1"/>
        <c:lblAlgn val="ctr"/>
        <c:lblOffset val="100"/>
        <c:noMultiLvlLbl val="0"/>
      </c:catAx>
      <c:valAx>
        <c:axId val="228807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191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a:scene3d>
      <a:camera prst="orthographicFront"/>
      <a:lightRig rig="threePt" dir="t"/>
    </a:scene3d>
    <a:sp3d>
      <a:bevelT prst="relaxedInset"/>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2015.xlsx]SituationAnalysis!PivotTable12</c:name>
    <c:fmtId val="4"/>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Needs Coverage</a:t>
            </a:r>
          </a:p>
        </c:rich>
      </c:tx>
      <c:layout>
        <c:manualLayout>
          <c:xMode val="edge"/>
          <c:yMode val="edge"/>
          <c:x val="0.38267455621301777"/>
          <c:y val="3.321033210332103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sp3d/>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a:sp3d/>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marker>
          <c:symbol val="none"/>
        </c:marker>
      </c:pivotFmt>
      <c:pivotFmt>
        <c:idx val="4"/>
        <c:marker>
          <c:symbol val="none"/>
        </c:marker>
      </c:pivotFmt>
      <c:pivotFmt>
        <c:idx val="5"/>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pivotFmt>
      <c:pivotFmt>
        <c:idx val="10"/>
        <c:spPr>
          <a:solidFill>
            <a:schemeClr val="accent1"/>
          </a:solidFill>
          <a:ln>
            <a:noFill/>
          </a:ln>
          <a:effectLst/>
          <a:sp3d/>
        </c:spPr>
        <c:marker>
          <c:symbol val="none"/>
        </c:marker>
      </c:pivotFmt>
      <c:pivotFmt>
        <c:idx val="11"/>
        <c:spPr>
          <a:solidFill>
            <a:schemeClr val="accent1"/>
          </a:solidFill>
          <a:ln>
            <a:noFill/>
          </a:ln>
          <a:effectLst/>
          <a:sp3d/>
        </c:spPr>
        <c:marker>
          <c:symbol val="none"/>
        </c:marker>
      </c:pivotFmt>
      <c:pivotFmt>
        <c:idx val="12"/>
        <c:spPr>
          <a:solidFill>
            <a:schemeClr val="accent1"/>
          </a:solidFill>
          <a:ln>
            <a:noFill/>
          </a:ln>
          <a:effectLst/>
          <a:sp3d/>
        </c:spPr>
        <c:marker>
          <c:symbol val="none"/>
        </c:marker>
      </c:pivotFmt>
      <c:pivotFmt>
        <c:idx val="13"/>
        <c:spPr>
          <a:solidFill>
            <a:schemeClr val="accent1"/>
          </a:solidFill>
          <a:ln>
            <a:noFill/>
          </a:ln>
          <a:effectLst/>
          <a:sp3d/>
        </c:spPr>
        <c:marker>
          <c:symbol val="none"/>
        </c:marker>
      </c:pivotFmt>
      <c:pivotFmt>
        <c:idx val="14"/>
        <c:spPr>
          <a:solidFill>
            <a:schemeClr val="accent1"/>
          </a:solidFill>
          <a:ln>
            <a:noFill/>
          </a:ln>
          <a:effectLst/>
          <a:sp3d/>
        </c:spPr>
        <c:marker>
          <c:symbol val="none"/>
        </c:marker>
      </c:pivotFmt>
      <c:pivotFmt>
        <c:idx val="15"/>
        <c:spPr>
          <a:solidFill>
            <a:schemeClr val="accent1"/>
          </a:solidFill>
          <a:ln>
            <a:noFill/>
          </a:ln>
          <a:effectLst/>
          <a:sp3d/>
        </c:spPr>
        <c:marker>
          <c:symbol val="none"/>
        </c:marker>
      </c:pivotFmt>
      <c:pivotFmt>
        <c:idx val="16"/>
        <c:spPr>
          <a:solidFill>
            <a:schemeClr val="accent1"/>
          </a:solidFill>
          <a:ln>
            <a:noFill/>
          </a:ln>
          <a:effectLst/>
          <a:sp3d/>
        </c:spPr>
        <c:marker>
          <c:symbol val="none"/>
        </c:marker>
      </c:pivotFmt>
      <c:pivotFmt>
        <c:idx val="17"/>
        <c:spPr>
          <a:solidFill>
            <a:schemeClr val="accent1"/>
          </a:solidFill>
          <a:ln>
            <a:noFill/>
          </a:ln>
          <a:effectLst/>
          <a:sp3d/>
        </c:spPr>
        <c:marker>
          <c:symbol val="none"/>
        </c:marker>
      </c:pivotFmt>
      <c:pivotFmt>
        <c:idx val="18"/>
        <c:spPr>
          <a:solidFill>
            <a:schemeClr val="accent1"/>
          </a:solidFill>
          <a:ln>
            <a:noFill/>
          </a:ln>
          <a:effectLst/>
          <a:sp3d/>
        </c:spPr>
        <c:marker>
          <c:symbol val="none"/>
        </c:marker>
      </c:pivotFmt>
      <c:pivotFmt>
        <c:idx val="19"/>
        <c:spPr>
          <a:solidFill>
            <a:schemeClr val="accent1"/>
          </a:solidFill>
          <a:ln>
            <a:noFill/>
          </a:ln>
          <a:effectLst/>
          <a:sp3d/>
        </c:spPr>
        <c:marker>
          <c:symbol val="none"/>
        </c:marker>
      </c:pivotFmt>
      <c:pivotFmt>
        <c:idx val="20"/>
        <c:spPr>
          <a:solidFill>
            <a:schemeClr val="accent1"/>
          </a:solidFill>
          <a:ln>
            <a:noFill/>
          </a:ln>
          <a:effectLst/>
          <a:sp3d/>
        </c:spPr>
        <c:marker>
          <c:symbol val="none"/>
        </c:marker>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bar3DChart>
        <c:barDir val="col"/>
        <c:grouping val="clustered"/>
        <c:varyColors val="0"/>
        <c:ser>
          <c:idx val="0"/>
          <c:order val="0"/>
          <c:tx>
            <c:strRef>
              <c:f>SituationAnalysis!$C$118</c:f>
              <c:strCache>
                <c:ptCount val="1"/>
                <c:pt idx="0">
                  <c:v>% Water Need coverage</c:v>
                </c:pt>
              </c:strCache>
            </c:strRef>
          </c:tx>
          <c:spPr>
            <a:solidFill>
              <a:schemeClr val="accent1"/>
            </a:solidFill>
            <a:ln>
              <a:noFill/>
            </a:ln>
            <a:effectLst/>
            <a:sp3d/>
          </c:spPr>
          <c:invertIfNegative val="0"/>
          <c:cat>
            <c:strRef>
              <c:f>SituationAnalysis!$B$119:$B$124</c:f>
              <c:strCache>
                <c:ptCount val="5"/>
                <c:pt idx="0">
                  <c:v>1. Small</c:v>
                </c:pt>
                <c:pt idx="1">
                  <c:v>2. Medium</c:v>
                </c:pt>
                <c:pt idx="2">
                  <c:v>3. Large</c:v>
                </c:pt>
                <c:pt idx="3">
                  <c:v>4. Big</c:v>
                </c:pt>
                <c:pt idx="4">
                  <c:v>5. Massive</c:v>
                </c:pt>
              </c:strCache>
            </c:strRef>
          </c:cat>
          <c:val>
            <c:numRef>
              <c:f>SituationAnalysis!$C$119:$C$124</c:f>
              <c:numCache>
                <c:formatCode>0%</c:formatCode>
                <c:ptCount val="5"/>
                <c:pt idx="0">
                  <c:v>0.990336956974468</c:v>
                </c:pt>
                <c:pt idx="1">
                  <c:v>0.99447105088969345</c:v>
                </c:pt>
                <c:pt idx="2">
                  <c:v>1</c:v>
                </c:pt>
                <c:pt idx="3">
                  <c:v>1</c:v>
                </c:pt>
                <c:pt idx="4">
                  <c:v>1</c:v>
                </c:pt>
              </c:numCache>
            </c:numRef>
          </c:val>
        </c:ser>
        <c:ser>
          <c:idx val="1"/>
          <c:order val="1"/>
          <c:tx>
            <c:strRef>
              <c:f>SituationAnalysis!$D$118</c:f>
              <c:strCache>
                <c:ptCount val="1"/>
                <c:pt idx="0">
                  <c:v>% Latrine need coverage</c:v>
                </c:pt>
              </c:strCache>
            </c:strRef>
          </c:tx>
          <c:spPr>
            <a:solidFill>
              <a:schemeClr val="accent2"/>
            </a:solidFill>
            <a:ln>
              <a:noFill/>
            </a:ln>
            <a:effectLst/>
            <a:sp3d/>
          </c:spPr>
          <c:invertIfNegative val="0"/>
          <c:cat>
            <c:strRef>
              <c:f>SituationAnalysis!$B$119:$B$124</c:f>
              <c:strCache>
                <c:ptCount val="5"/>
                <c:pt idx="0">
                  <c:v>1. Small</c:v>
                </c:pt>
                <c:pt idx="1">
                  <c:v>2. Medium</c:v>
                </c:pt>
                <c:pt idx="2">
                  <c:v>3. Large</c:v>
                </c:pt>
                <c:pt idx="3">
                  <c:v>4. Big</c:v>
                </c:pt>
                <c:pt idx="4">
                  <c:v>5. Massive</c:v>
                </c:pt>
              </c:strCache>
            </c:strRef>
          </c:cat>
          <c:val>
            <c:numRef>
              <c:f>SituationAnalysis!$D$119:$D$124</c:f>
              <c:numCache>
                <c:formatCode>0%</c:formatCode>
                <c:ptCount val="5"/>
                <c:pt idx="0">
                  <c:v>0.92077970760964634</c:v>
                </c:pt>
                <c:pt idx="1">
                  <c:v>0.83740217264338279</c:v>
                </c:pt>
                <c:pt idx="2">
                  <c:v>1</c:v>
                </c:pt>
                <c:pt idx="3">
                  <c:v>0.90606682297772567</c:v>
                </c:pt>
                <c:pt idx="4">
                  <c:v>1</c:v>
                </c:pt>
              </c:numCache>
            </c:numRef>
          </c:val>
        </c:ser>
        <c:ser>
          <c:idx val="2"/>
          <c:order val="2"/>
          <c:tx>
            <c:strRef>
              <c:f>SituationAnalysis!$E$118</c:f>
              <c:strCache>
                <c:ptCount val="1"/>
                <c:pt idx="0">
                  <c:v>% Bathroom need coverage</c:v>
                </c:pt>
              </c:strCache>
            </c:strRef>
          </c:tx>
          <c:spPr>
            <a:solidFill>
              <a:schemeClr val="accent3"/>
            </a:solidFill>
            <a:ln>
              <a:noFill/>
            </a:ln>
            <a:effectLst/>
            <a:sp3d/>
          </c:spPr>
          <c:invertIfNegative val="0"/>
          <c:cat>
            <c:strRef>
              <c:f>SituationAnalysis!$B$119:$B$124</c:f>
              <c:strCache>
                <c:ptCount val="5"/>
                <c:pt idx="0">
                  <c:v>1. Small</c:v>
                </c:pt>
                <c:pt idx="1">
                  <c:v>2. Medium</c:v>
                </c:pt>
                <c:pt idx="2">
                  <c:v>3. Large</c:v>
                </c:pt>
                <c:pt idx="3">
                  <c:v>4. Big</c:v>
                </c:pt>
                <c:pt idx="4">
                  <c:v>5. Massive</c:v>
                </c:pt>
              </c:strCache>
            </c:strRef>
          </c:cat>
          <c:val>
            <c:numRef>
              <c:f>SituationAnalysis!$E$119:$E$124</c:f>
              <c:numCache>
                <c:formatCode>0%</c:formatCode>
                <c:ptCount val="5"/>
                <c:pt idx="0">
                  <c:v>0.8460577283518681</c:v>
                </c:pt>
                <c:pt idx="1">
                  <c:v>0.59260016353229761</c:v>
                </c:pt>
                <c:pt idx="2">
                  <c:v>0.42489232662389032</c:v>
                </c:pt>
                <c:pt idx="3">
                  <c:v>0.43229777256740914</c:v>
                </c:pt>
                <c:pt idx="4">
                  <c:v>0.77273354491513735</c:v>
                </c:pt>
              </c:numCache>
            </c:numRef>
          </c:val>
        </c:ser>
        <c:dLbls>
          <c:showLegendKey val="0"/>
          <c:showVal val="0"/>
          <c:showCatName val="0"/>
          <c:showSerName val="0"/>
          <c:showPercent val="0"/>
          <c:showBubbleSize val="0"/>
        </c:dLbls>
        <c:gapWidth val="150"/>
        <c:shape val="box"/>
        <c:axId val="228807792"/>
        <c:axId val="228808184"/>
        <c:axId val="0"/>
      </c:bar3DChart>
      <c:catAx>
        <c:axId val="22880779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808184"/>
        <c:crosses val="autoZero"/>
        <c:auto val="1"/>
        <c:lblAlgn val="ctr"/>
        <c:lblOffset val="100"/>
        <c:noMultiLvlLbl val="0"/>
      </c:catAx>
      <c:valAx>
        <c:axId val="228808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807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a:scene3d>
      <a:camera prst="orthographicFront"/>
      <a:lightRig rig="threePt" dir="t"/>
    </a:scene3d>
    <a:sp3d>
      <a:bevelT prst="relaxedInset"/>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2015.xlsx]SituationAnalysis!PivotTable13</c:name>
    <c:fmtId val="6"/>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Needs Coverage</a:t>
            </a:r>
          </a:p>
        </c:rich>
      </c:tx>
      <c:layout>
        <c:manualLayout>
          <c:xMode val="edge"/>
          <c:yMode val="edge"/>
          <c:x val="0.38267455621301777"/>
          <c:y val="3.321033210332103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sp3d/>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a:sp3d/>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marker>
          <c:symbol val="none"/>
        </c:marker>
      </c:pivotFmt>
      <c:pivotFmt>
        <c:idx val="4"/>
        <c:marker>
          <c:symbol val="none"/>
        </c:marker>
      </c:pivotFmt>
      <c:pivotFmt>
        <c:idx val="5"/>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pivotFmt>
      <c:pivotFmt>
        <c:idx val="10"/>
        <c:spPr>
          <a:solidFill>
            <a:schemeClr val="accent1"/>
          </a:solidFill>
          <a:ln>
            <a:noFill/>
          </a:ln>
          <a:effectLst/>
          <a:sp3d/>
        </c:spPr>
        <c:marker>
          <c:symbol val="none"/>
        </c:marker>
      </c:pivotFmt>
      <c:pivotFmt>
        <c:idx val="11"/>
        <c:spPr>
          <a:solidFill>
            <a:schemeClr val="accent1"/>
          </a:solidFill>
          <a:ln>
            <a:noFill/>
          </a:ln>
          <a:effectLst/>
          <a:sp3d/>
        </c:spPr>
        <c:marker>
          <c:symbol val="none"/>
        </c:marker>
      </c:pivotFmt>
      <c:pivotFmt>
        <c:idx val="12"/>
        <c:spPr>
          <a:solidFill>
            <a:schemeClr val="accent1"/>
          </a:solidFill>
          <a:ln>
            <a:noFill/>
          </a:ln>
          <a:effectLst/>
          <a:sp3d/>
        </c:spPr>
        <c:marker>
          <c:symbol val="none"/>
        </c:marker>
      </c:pivotFmt>
      <c:pivotFmt>
        <c:idx val="13"/>
        <c:spPr>
          <a:solidFill>
            <a:schemeClr val="accent1"/>
          </a:solidFill>
          <a:ln>
            <a:noFill/>
          </a:ln>
          <a:effectLst/>
          <a:sp3d/>
        </c:spPr>
        <c:marker>
          <c:symbol val="none"/>
        </c:marker>
      </c:pivotFmt>
      <c:pivotFmt>
        <c:idx val="14"/>
        <c:spPr>
          <a:solidFill>
            <a:schemeClr val="accent1"/>
          </a:solidFill>
          <a:ln>
            <a:noFill/>
          </a:ln>
          <a:effectLst/>
          <a:sp3d/>
        </c:spPr>
        <c:marker>
          <c:symbol val="none"/>
        </c:marker>
      </c:pivotFmt>
      <c:pivotFmt>
        <c:idx val="15"/>
        <c:spPr>
          <a:solidFill>
            <a:schemeClr val="accent1"/>
          </a:solidFill>
          <a:ln>
            <a:noFill/>
          </a:ln>
          <a:effectLst/>
          <a:sp3d/>
        </c:spPr>
        <c:marker>
          <c:symbol val="none"/>
        </c:marker>
      </c:pivotFmt>
      <c:pivotFmt>
        <c:idx val="16"/>
        <c:spPr>
          <a:solidFill>
            <a:schemeClr val="accent1"/>
          </a:solidFill>
          <a:ln>
            <a:noFill/>
          </a:ln>
          <a:effectLst/>
          <a:sp3d/>
        </c:spPr>
        <c:marker>
          <c:symbol val="none"/>
        </c:marker>
      </c:pivotFmt>
      <c:pivotFmt>
        <c:idx val="17"/>
        <c:spPr>
          <a:solidFill>
            <a:schemeClr val="accent1"/>
          </a:solidFill>
          <a:ln>
            <a:noFill/>
          </a:ln>
          <a:effectLst/>
          <a:sp3d/>
        </c:spPr>
        <c:marker>
          <c:symbol val="none"/>
        </c:marker>
      </c:pivotFmt>
      <c:pivotFmt>
        <c:idx val="18"/>
        <c:spPr>
          <a:solidFill>
            <a:schemeClr val="accent1"/>
          </a:solidFill>
          <a:ln>
            <a:noFill/>
          </a:ln>
          <a:effectLst/>
          <a:sp3d/>
        </c:spPr>
        <c:marker>
          <c:symbol val="none"/>
        </c:marker>
      </c:pivotFmt>
      <c:pivotFmt>
        <c:idx val="19"/>
        <c:spPr>
          <a:solidFill>
            <a:schemeClr val="accent1"/>
          </a:solidFill>
          <a:ln>
            <a:noFill/>
          </a:ln>
          <a:effectLst/>
          <a:sp3d/>
        </c:spPr>
        <c:marker>
          <c:symbol val="none"/>
        </c:marker>
      </c:pivotFmt>
      <c:pivotFmt>
        <c:idx val="20"/>
        <c:spPr>
          <a:solidFill>
            <a:schemeClr val="accent1"/>
          </a:solidFill>
          <a:ln>
            <a:noFill/>
          </a:ln>
          <a:effectLst/>
          <a:sp3d/>
        </c:spPr>
        <c:marker>
          <c:symbol val="none"/>
        </c:marker>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bar3DChart>
        <c:barDir val="col"/>
        <c:grouping val="clustered"/>
        <c:varyColors val="0"/>
        <c:ser>
          <c:idx val="0"/>
          <c:order val="0"/>
          <c:tx>
            <c:strRef>
              <c:f>SituationAnalysis!$C$137</c:f>
              <c:strCache>
                <c:ptCount val="1"/>
                <c:pt idx="0">
                  <c:v>% Water Need coverage</c:v>
                </c:pt>
              </c:strCache>
            </c:strRef>
          </c:tx>
          <c:spPr>
            <a:solidFill>
              <a:schemeClr val="accent1"/>
            </a:solidFill>
            <a:ln>
              <a:noFill/>
            </a:ln>
            <a:effectLst/>
            <a:sp3d/>
          </c:spPr>
          <c:invertIfNegative val="0"/>
          <c:cat>
            <c:strRef>
              <c:f>SituationAnalysis!$B$138:$B$141</c:f>
              <c:strCache>
                <c:ptCount val="3"/>
                <c:pt idx="0">
                  <c:v>Camp</c:v>
                </c:pt>
                <c:pt idx="1">
                  <c:v>School</c:v>
                </c:pt>
                <c:pt idx="2">
                  <c:v>Village</c:v>
                </c:pt>
              </c:strCache>
            </c:strRef>
          </c:cat>
          <c:val>
            <c:numRef>
              <c:f>SituationAnalysis!$C$138:$C$141</c:f>
              <c:numCache>
                <c:formatCode>0%</c:formatCode>
                <c:ptCount val="3"/>
                <c:pt idx="0">
                  <c:v>0.99642149429452009</c:v>
                </c:pt>
                <c:pt idx="1">
                  <c:v>1</c:v>
                </c:pt>
                <c:pt idx="2">
                  <c:v>0.8414292980671414</c:v>
                </c:pt>
              </c:numCache>
            </c:numRef>
          </c:val>
        </c:ser>
        <c:ser>
          <c:idx val="1"/>
          <c:order val="1"/>
          <c:tx>
            <c:strRef>
              <c:f>SituationAnalysis!$D$137</c:f>
              <c:strCache>
                <c:ptCount val="1"/>
                <c:pt idx="0">
                  <c:v>% Latrine need coverage</c:v>
                </c:pt>
              </c:strCache>
            </c:strRef>
          </c:tx>
          <c:spPr>
            <a:solidFill>
              <a:schemeClr val="accent2"/>
            </a:solidFill>
            <a:ln>
              <a:noFill/>
            </a:ln>
            <a:effectLst/>
            <a:sp3d/>
          </c:spPr>
          <c:invertIfNegative val="0"/>
          <c:cat>
            <c:strRef>
              <c:f>SituationAnalysis!$B$138:$B$141</c:f>
              <c:strCache>
                <c:ptCount val="3"/>
                <c:pt idx="0">
                  <c:v>Camp</c:v>
                </c:pt>
                <c:pt idx="1">
                  <c:v>School</c:v>
                </c:pt>
                <c:pt idx="2">
                  <c:v>Village</c:v>
                </c:pt>
              </c:strCache>
            </c:strRef>
          </c:cat>
          <c:val>
            <c:numRef>
              <c:f>SituationAnalysis!$D$138:$D$141</c:f>
              <c:numCache>
                <c:formatCode>0%</c:formatCode>
                <c:ptCount val="3"/>
                <c:pt idx="0">
                  <c:v>0.89956923737570282</c:v>
                </c:pt>
                <c:pt idx="1">
                  <c:v>0.89135254988913526</c:v>
                </c:pt>
                <c:pt idx="2">
                  <c:v>0.8414292980671414</c:v>
                </c:pt>
              </c:numCache>
            </c:numRef>
          </c:val>
        </c:ser>
        <c:ser>
          <c:idx val="2"/>
          <c:order val="2"/>
          <c:tx>
            <c:strRef>
              <c:f>SituationAnalysis!$E$137</c:f>
              <c:strCache>
                <c:ptCount val="1"/>
                <c:pt idx="0">
                  <c:v>% Bathroom need coverage</c:v>
                </c:pt>
              </c:strCache>
            </c:strRef>
          </c:tx>
          <c:spPr>
            <a:solidFill>
              <a:schemeClr val="accent3"/>
            </a:solidFill>
            <a:ln>
              <a:noFill/>
            </a:ln>
            <a:effectLst/>
            <a:sp3d/>
          </c:spPr>
          <c:invertIfNegative val="0"/>
          <c:cat>
            <c:strRef>
              <c:f>SituationAnalysis!$B$138:$B$141</c:f>
              <c:strCache>
                <c:ptCount val="3"/>
                <c:pt idx="0">
                  <c:v>Camp</c:v>
                </c:pt>
                <c:pt idx="1">
                  <c:v>School</c:v>
                </c:pt>
                <c:pt idx="2">
                  <c:v>Village</c:v>
                </c:pt>
              </c:strCache>
            </c:strRef>
          </c:cat>
          <c:val>
            <c:numRef>
              <c:f>SituationAnalysis!$E$138:$E$141</c:f>
              <c:numCache>
                <c:formatCode>0%</c:formatCode>
                <c:ptCount val="3"/>
                <c:pt idx="0">
                  <c:v>0.58237496477408446</c:v>
                </c:pt>
                <c:pt idx="1">
                  <c:v>0.74013303769401328</c:v>
                </c:pt>
                <c:pt idx="2">
                  <c:v>0.31396236012207529</c:v>
                </c:pt>
              </c:numCache>
            </c:numRef>
          </c:val>
        </c:ser>
        <c:dLbls>
          <c:showLegendKey val="0"/>
          <c:showVal val="0"/>
          <c:showCatName val="0"/>
          <c:showSerName val="0"/>
          <c:showPercent val="0"/>
          <c:showBubbleSize val="0"/>
        </c:dLbls>
        <c:gapWidth val="150"/>
        <c:shape val="box"/>
        <c:axId val="228808968"/>
        <c:axId val="228809360"/>
        <c:axId val="0"/>
      </c:bar3DChart>
      <c:catAx>
        <c:axId val="22880896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809360"/>
        <c:crosses val="autoZero"/>
        <c:auto val="1"/>
        <c:lblAlgn val="ctr"/>
        <c:lblOffset val="100"/>
        <c:noMultiLvlLbl val="0"/>
      </c:catAx>
      <c:valAx>
        <c:axId val="228809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808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a:scene3d>
      <a:camera prst="orthographicFront"/>
      <a:lightRig rig="threePt" dir="t"/>
    </a:scene3d>
    <a:sp3d>
      <a:bevelT prst="relaxedInset"/>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2015.xlsx]SituationAnalysis!PivotTable18</c:name>
    <c:fmtId val="12"/>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Type of latrine coverage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pivotFmt>
      <c:pivotFmt>
        <c:idx val="1"/>
        <c:spPr>
          <a:solidFill>
            <a:schemeClr val="accent1"/>
          </a:solidFill>
          <a:ln>
            <a:noFill/>
          </a:ln>
          <a:effectLst/>
          <a:sp3d/>
        </c:spPr>
        <c:marker>
          <c:symbol val="none"/>
        </c:marker>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bar3DChart>
        <c:barDir val="col"/>
        <c:grouping val="stacked"/>
        <c:varyColors val="0"/>
        <c:ser>
          <c:idx val="0"/>
          <c:order val="0"/>
          <c:tx>
            <c:strRef>
              <c:f>SituationAnalysis!$C$252</c:f>
              <c:strCache>
                <c:ptCount val="1"/>
                <c:pt idx="0">
                  <c:v>% Coverage Permanent Latrine</c:v>
                </c:pt>
              </c:strCache>
            </c:strRef>
          </c:tx>
          <c:spPr>
            <a:solidFill>
              <a:schemeClr val="accent1"/>
            </a:solidFill>
            <a:ln>
              <a:noFill/>
            </a:ln>
            <a:effectLst/>
            <a:sp3d/>
          </c:spPr>
          <c:invertIfNegative val="0"/>
          <c:cat>
            <c:strRef>
              <c:f>SituationAnalysis!$B$253:$B$271</c:f>
              <c:strCache>
                <c:ptCount val="18"/>
                <c:pt idx="0">
                  <c:v>Bhamo</c:v>
                </c:pt>
                <c:pt idx="1">
                  <c:v>Chipwi</c:v>
                </c:pt>
                <c:pt idx="2">
                  <c:v>Hpakan</c:v>
                </c:pt>
                <c:pt idx="3">
                  <c:v>Khaunglanhpu</c:v>
                </c:pt>
                <c:pt idx="4">
                  <c:v>Kutkai</c:v>
                </c:pt>
                <c:pt idx="5">
                  <c:v>Mansi</c:v>
                </c:pt>
                <c:pt idx="6">
                  <c:v>Manton</c:v>
                </c:pt>
                <c:pt idx="7">
                  <c:v>Mogaung</c:v>
                </c:pt>
                <c:pt idx="8">
                  <c:v>Mohnyin</c:v>
                </c:pt>
                <c:pt idx="9">
                  <c:v>Momauk</c:v>
                </c:pt>
                <c:pt idx="10">
                  <c:v>Muse</c:v>
                </c:pt>
                <c:pt idx="11">
                  <c:v>Myitkyina</c:v>
                </c:pt>
                <c:pt idx="12">
                  <c:v>Namkham</c:v>
                </c:pt>
                <c:pt idx="13">
                  <c:v>Namtu</c:v>
                </c:pt>
                <c:pt idx="14">
                  <c:v>Puta-O</c:v>
                </c:pt>
                <c:pt idx="15">
                  <c:v>Shwegu</c:v>
                </c:pt>
                <c:pt idx="16">
                  <c:v>Waingmaw</c:v>
                </c:pt>
                <c:pt idx="17">
                  <c:v>Hseni</c:v>
                </c:pt>
              </c:strCache>
            </c:strRef>
          </c:cat>
          <c:val>
            <c:numRef>
              <c:f>SituationAnalysis!$C$253:$C$271</c:f>
              <c:numCache>
                <c:formatCode>0%</c:formatCode>
                <c:ptCount val="18"/>
                <c:pt idx="0">
                  <c:v>0.57062302296795486</c:v>
                </c:pt>
                <c:pt idx="1">
                  <c:v>0.40492258832870187</c:v>
                </c:pt>
                <c:pt idx="2">
                  <c:v>0.68018635242532199</c:v>
                </c:pt>
                <c:pt idx="3">
                  <c:v>0</c:v>
                </c:pt>
                <c:pt idx="4">
                  <c:v>0.13339552238805971</c:v>
                </c:pt>
                <c:pt idx="5">
                  <c:v>0.70041152263374484</c:v>
                </c:pt>
                <c:pt idx="6">
                  <c:v>0.23460410557184752</c:v>
                </c:pt>
                <c:pt idx="7">
                  <c:v>0.8606060606060606</c:v>
                </c:pt>
                <c:pt idx="8">
                  <c:v>1</c:v>
                </c:pt>
                <c:pt idx="9">
                  <c:v>0.90168375205821427</c:v>
                </c:pt>
                <c:pt idx="10">
                  <c:v>0</c:v>
                </c:pt>
                <c:pt idx="11">
                  <c:v>0.83668136534378568</c:v>
                </c:pt>
                <c:pt idx="12">
                  <c:v>0.38049940546967898</c:v>
                </c:pt>
                <c:pt idx="13">
                  <c:v>1</c:v>
                </c:pt>
                <c:pt idx="14">
                  <c:v>0</c:v>
                </c:pt>
                <c:pt idx="15">
                  <c:v>0.9563106796116505</c:v>
                </c:pt>
                <c:pt idx="16">
                  <c:v>0.37120284855902969</c:v>
                </c:pt>
                <c:pt idx="17">
                  <c:v>0.41580041580041582</c:v>
                </c:pt>
              </c:numCache>
            </c:numRef>
          </c:val>
        </c:ser>
        <c:ser>
          <c:idx val="1"/>
          <c:order val="1"/>
          <c:tx>
            <c:strRef>
              <c:f>SituationAnalysis!$D$252</c:f>
              <c:strCache>
                <c:ptCount val="1"/>
                <c:pt idx="0">
                  <c:v>% Coverage Emergency latrine</c:v>
                </c:pt>
              </c:strCache>
            </c:strRef>
          </c:tx>
          <c:spPr>
            <a:solidFill>
              <a:schemeClr val="accent2"/>
            </a:solidFill>
            <a:ln>
              <a:noFill/>
            </a:ln>
            <a:effectLst/>
            <a:sp3d/>
          </c:spPr>
          <c:invertIfNegative val="0"/>
          <c:cat>
            <c:strRef>
              <c:f>SituationAnalysis!$B$253:$B$271</c:f>
              <c:strCache>
                <c:ptCount val="18"/>
                <c:pt idx="0">
                  <c:v>Bhamo</c:v>
                </c:pt>
                <c:pt idx="1">
                  <c:v>Chipwi</c:v>
                </c:pt>
                <c:pt idx="2">
                  <c:v>Hpakan</c:v>
                </c:pt>
                <c:pt idx="3">
                  <c:v>Khaunglanhpu</c:v>
                </c:pt>
                <c:pt idx="4">
                  <c:v>Kutkai</c:v>
                </c:pt>
                <c:pt idx="5">
                  <c:v>Mansi</c:v>
                </c:pt>
                <c:pt idx="6">
                  <c:v>Manton</c:v>
                </c:pt>
                <c:pt idx="7">
                  <c:v>Mogaung</c:v>
                </c:pt>
                <c:pt idx="8">
                  <c:v>Mohnyin</c:v>
                </c:pt>
                <c:pt idx="9">
                  <c:v>Momauk</c:v>
                </c:pt>
                <c:pt idx="10">
                  <c:v>Muse</c:v>
                </c:pt>
                <c:pt idx="11">
                  <c:v>Myitkyina</c:v>
                </c:pt>
                <c:pt idx="12">
                  <c:v>Namkham</c:v>
                </c:pt>
                <c:pt idx="13">
                  <c:v>Namtu</c:v>
                </c:pt>
                <c:pt idx="14">
                  <c:v>Puta-O</c:v>
                </c:pt>
                <c:pt idx="15">
                  <c:v>Shwegu</c:v>
                </c:pt>
                <c:pt idx="16">
                  <c:v>Waingmaw</c:v>
                </c:pt>
                <c:pt idx="17">
                  <c:v>Hseni</c:v>
                </c:pt>
              </c:strCache>
            </c:strRef>
          </c:cat>
          <c:val>
            <c:numRef>
              <c:f>SituationAnalysis!$D$253:$D$271</c:f>
              <c:numCache>
                <c:formatCode>0%</c:formatCode>
                <c:ptCount val="18"/>
                <c:pt idx="0">
                  <c:v>0.21001237793976069</c:v>
                </c:pt>
                <c:pt idx="1">
                  <c:v>0.49741961095672887</c:v>
                </c:pt>
                <c:pt idx="2">
                  <c:v>4.9876678542066316E-2</c:v>
                </c:pt>
                <c:pt idx="3">
                  <c:v>0</c:v>
                </c:pt>
                <c:pt idx="4">
                  <c:v>0.8090796019900498</c:v>
                </c:pt>
                <c:pt idx="5">
                  <c:v>0.1637860082304527</c:v>
                </c:pt>
                <c:pt idx="6">
                  <c:v>0.76539589442815248</c:v>
                </c:pt>
                <c:pt idx="7">
                  <c:v>0.1393939393939394</c:v>
                </c:pt>
                <c:pt idx="8">
                  <c:v>0</c:v>
                </c:pt>
                <c:pt idx="9">
                  <c:v>6.6978275880384561E-2</c:v>
                </c:pt>
                <c:pt idx="10">
                  <c:v>0.88123515439429934</c:v>
                </c:pt>
                <c:pt idx="11">
                  <c:v>3.7726604605585495E-2</c:v>
                </c:pt>
                <c:pt idx="12">
                  <c:v>0.41617122473246138</c:v>
                </c:pt>
                <c:pt idx="13">
                  <c:v>0</c:v>
                </c:pt>
                <c:pt idx="14">
                  <c:v>0.5161290322580645</c:v>
                </c:pt>
                <c:pt idx="15">
                  <c:v>4.3689320388349488E-2</c:v>
                </c:pt>
                <c:pt idx="16">
                  <c:v>0.57054634472015131</c:v>
                </c:pt>
                <c:pt idx="17">
                  <c:v>0.53638253638253641</c:v>
                </c:pt>
              </c:numCache>
            </c:numRef>
          </c:val>
        </c:ser>
        <c:dLbls>
          <c:showLegendKey val="0"/>
          <c:showVal val="0"/>
          <c:showCatName val="0"/>
          <c:showSerName val="0"/>
          <c:showPercent val="0"/>
          <c:showBubbleSize val="0"/>
        </c:dLbls>
        <c:gapWidth val="150"/>
        <c:shape val="box"/>
        <c:axId val="228810144"/>
        <c:axId val="228810536"/>
        <c:axId val="0"/>
      </c:bar3DChart>
      <c:catAx>
        <c:axId val="22881014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810536"/>
        <c:crosses val="autoZero"/>
        <c:auto val="1"/>
        <c:lblAlgn val="ctr"/>
        <c:lblOffset val="100"/>
        <c:noMultiLvlLbl val="0"/>
      </c:catAx>
      <c:valAx>
        <c:axId val="228810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810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a:scene3d>
      <a:camera prst="orthographicFront"/>
      <a:lightRig rig="threePt" dir="t"/>
    </a:scene3d>
    <a:sp3d>
      <a:bevelT prst="relaxedInset"/>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2015.xlsx]SituationAnalysis!PivotTable17</c:name>
    <c:fmtId val="49"/>
  </c:pivotSource>
  <c:chart>
    <c:title>
      <c:tx>
        <c:rich>
          <a:bodyPr rot="0" spcFirstLastPara="1" vertOverflow="ellipsis" vert="horz" wrap="square" anchor="ctr" anchorCtr="1"/>
          <a:lstStyle/>
          <a:p>
            <a:pPr>
              <a:defRPr sz="800" b="1" i="0" u="none" strike="noStrike" kern="1200" spc="0" baseline="0">
                <a:solidFill>
                  <a:schemeClr val="tx1">
                    <a:lumMod val="65000"/>
                    <a:lumOff val="35000"/>
                  </a:schemeClr>
                </a:solidFill>
                <a:latin typeface="+mn-lt"/>
                <a:ea typeface="+mn-ea"/>
                <a:cs typeface="+mn-cs"/>
              </a:defRPr>
            </a:pPr>
            <a:r>
              <a:rPr lang="en-US" sz="800" b="1"/>
              <a:t>Population covered</a:t>
            </a:r>
          </a:p>
        </c:rich>
      </c:tx>
      <c:layout>
        <c:manualLayout>
          <c:xMode val="edge"/>
          <c:yMode val="edge"/>
          <c:x val="0.33871861166607908"/>
          <c:y val="9.6618283983199073E-3"/>
        </c:manualLayout>
      </c:layout>
      <c:overlay val="0"/>
      <c:spPr>
        <a:noFill/>
        <a:ln>
          <a:noFill/>
        </a:ln>
        <a:effectLst/>
      </c:spPr>
      <c:txPr>
        <a:bodyPr rot="0" spcFirstLastPara="1" vertOverflow="ellipsis" vert="horz" wrap="square" anchor="ctr" anchorCtr="1"/>
        <a:lstStyle/>
        <a:p>
          <a:pPr>
            <a:defRPr sz="8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a:sp3d/>
        </c:spPr>
        <c:marker>
          <c:symbol val="none"/>
        </c:marker>
        <c:dLbl>
          <c:idx val="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a:sp3d/>
        </c:spPr>
        <c:marker>
          <c:symbol val="none"/>
        </c:marker>
        <c:dLbl>
          <c:idx val="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manualLayout>
          <c:layoutTarget val="inner"/>
          <c:xMode val="edge"/>
          <c:yMode val="edge"/>
          <c:x val="0.11078348415403298"/>
          <c:y val="0.13299544828981832"/>
          <c:w val="0.88921651584596706"/>
          <c:h val="0.62655359537936384"/>
        </c:manualLayout>
      </c:layout>
      <c:bar3DChart>
        <c:barDir val="col"/>
        <c:grouping val="stacked"/>
        <c:varyColors val="0"/>
        <c:ser>
          <c:idx val="0"/>
          <c:order val="0"/>
          <c:tx>
            <c:strRef>
              <c:f>SituationAnalysis!$C$630:$C$631</c:f>
              <c:strCache>
                <c:ptCount val="1"/>
                <c:pt idx="0">
                  <c:v>Covered</c:v>
                </c:pt>
              </c:strCache>
            </c:strRef>
          </c:tx>
          <c:spPr>
            <a:solidFill>
              <a:schemeClr val="accent1"/>
            </a:solidFill>
            <a:ln>
              <a:noFill/>
            </a:ln>
            <a:effectLst/>
            <a:sp3d/>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SituationAnalysis!$B$632:$B$634</c:f>
              <c:strCache>
                <c:ptCount val="2"/>
                <c:pt idx="0">
                  <c:v>GCA</c:v>
                </c:pt>
                <c:pt idx="1">
                  <c:v>NGCA</c:v>
                </c:pt>
              </c:strCache>
            </c:strRef>
          </c:cat>
          <c:val>
            <c:numRef>
              <c:f>SituationAnalysis!$C$632:$C$634</c:f>
              <c:numCache>
                <c:formatCode>0</c:formatCode>
                <c:ptCount val="2"/>
                <c:pt idx="0">
                  <c:v>27731</c:v>
                </c:pt>
                <c:pt idx="1">
                  <c:v>13103</c:v>
                </c:pt>
              </c:numCache>
            </c:numRef>
          </c:val>
        </c:ser>
        <c:ser>
          <c:idx val="1"/>
          <c:order val="1"/>
          <c:tx>
            <c:strRef>
              <c:f>SituationAnalysis!$D$630:$D$631</c:f>
              <c:strCache>
                <c:ptCount val="1"/>
                <c:pt idx="0">
                  <c:v>Not covered</c:v>
                </c:pt>
              </c:strCache>
            </c:strRef>
          </c:tx>
          <c:spPr>
            <a:solidFill>
              <a:schemeClr val="accent2"/>
            </a:solidFill>
            <a:ln>
              <a:noFill/>
            </a:ln>
            <a:effectLst/>
            <a:sp3d/>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SituationAnalysis!$B$632:$B$634</c:f>
              <c:strCache>
                <c:ptCount val="2"/>
                <c:pt idx="0">
                  <c:v>GCA</c:v>
                </c:pt>
                <c:pt idx="1">
                  <c:v>NGCA</c:v>
                </c:pt>
              </c:strCache>
            </c:strRef>
          </c:cat>
          <c:val>
            <c:numRef>
              <c:f>SituationAnalysis!$D$632:$D$634</c:f>
              <c:numCache>
                <c:formatCode>0</c:formatCode>
                <c:ptCount val="2"/>
                <c:pt idx="0">
                  <c:v>20154</c:v>
                </c:pt>
                <c:pt idx="1">
                  <c:v>23650</c:v>
                </c:pt>
              </c:numCache>
            </c:numRef>
          </c:val>
        </c:ser>
        <c:dLbls>
          <c:showLegendKey val="0"/>
          <c:showVal val="1"/>
          <c:showCatName val="0"/>
          <c:showSerName val="0"/>
          <c:showPercent val="0"/>
          <c:showBubbleSize val="0"/>
        </c:dLbls>
        <c:gapWidth val="150"/>
        <c:shape val="box"/>
        <c:axId val="202108040"/>
        <c:axId val="202044856"/>
        <c:axId val="0"/>
      </c:bar3DChart>
      <c:catAx>
        <c:axId val="2021080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202044856"/>
        <c:crosses val="autoZero"/>
        <c:auto val="1"/>
        <c:lblAlgn val="ctr"/>
        <c:lblOffset val="100"/>
        <c:noMultiLvlLbl val="0"/>
      </c:catAx>
      <c:valAx>
        <c:axId val="202044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202108040"/>
        <c:crosses val="autoZero"/>
        <c:crossBetween val="between"/>
        <c:majorUnit val="10000"/>
      </c:valAx>
      <c:spPr>
        <a:noFill/>
        <a:ln>
          <a:noFill/>
        </a:ln>
        <a:effectLst/>
      </c:spPr>
    </c:plotArea>
    <c:legend>
      <c:legendPos val="b"/>
      <c:layout>
        <c:manualLayout>
          <c:xMode val="edge"/>
          <c:yMode val="edge"/>
          <c:x val="0.31046147216672543"/>
          <c:y val="0.87196403669668932"/>
          <c:w val="0.37907705566654915"/>
          <c:h val="0.12803596330331066"/>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10800000" algn="r" rotWithShape="0">
        <a:prstClr val="black">
          <a:alpha val="40000"/>
        </a:prstClr>
      </a:outerShdw>
    </a:effectLst>
    <a:scene3d>
      <a:camera prst="orthographicFront"/>
      <a:lightRig rig="threePt" dir="t"/>
    </a:scene3d>
    <a:sp3d/>
  </c:spPr>
  <c:txPr>
    <a:bodyPr/>
    <a:lstStyle/>
    <a:p>
      <a:pPr>
        <a:defRPr sz="600"/>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2015.xlsx]SituationAnalysis!PivotTable20</c:name>
    <c:fmtId val="18"/>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Type</a:t>
            </a:r>
            <a:r>
              <a:rPr lang="en-US" b="1" baseline="0"/>
              <a:t> of latrine coverage</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bar3DChart>
        <c:barDir val="col"/>
        <c:grouping val="stacked"/>
        <c:varyColors val="0"/>
        <c:ser>
          <c:idx val="0"/>
          <c:order val="0"/>
          <c:tx>
            <c:strRef>
              <c:f>SituationAnalysis!$C$304</c:f>
              <c:strCache>
                <c:ptCount val="1"/>
                <c:pt idx="0">
                  <c:v>%Coverage Permanent Latrine</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SituationAnalysis!$B$305:$B$307</c:f>
              <c:strCache>
                <c:ptCount val="2"/>
                <c:pt idx="0">
                  <c:v>GCA</c:v>
                </c:pt>
                <c:pt idx="1">
                  <c:v>NGCA</c:v>
                </c:pt>
              </c:strCache>
            </c:strRef>
          </c:cat>
          <c:val>
            <c:numRef>
              <c:f>SituationAnalysis!$C$305:$C$307</c:f>
              <c:numCache>
                <c:formatCode>0%</c:formatCode>
                <c:ptCount val="2"/>
                <c:pt idx="0">
                  <c:v>0.60190038634227838</c:v>
                </c:pt>
                <c:pt idx="1">
                  <c:v>0.61954126193780101</c:v>
                </c:pt>
              </c:numCache>
            </c:numRef>
          </c:val>
        </c:ser>
        <c:ser>
          <c:idx val="1"/>
          <c:order val="1"/>
          <c:tx>
            <c:strRef>
              <c:f>SituationAnalysis!$D$304</c:f>
              <c:strCache>
                <c:ptCount val="1"/>
                <c:pt idx="0">
                  <c:v>% Coverage Emergency latrine</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SituationAnalysis!$B$305:$B$307</c:f>
              <c:strCache>
                <c:ptCount val="2"/>
                <c:pt idx="0">
                  <c:v>GCA</c:v>
                </c:pt>
                <c:pt idx="1">
                  <c:v>NGCA</c:v>
                </c:pt>
              </c:strCache>
            </c:strRef>
          </c:cat>
          <c:val>
            <c:numRef>
              <c:f>SituationAnalysis!$D$305:$D$307</c:f>
              <c:numCache>
                <c:formatCode>0%</c:formatCode>
                <c:ptCount val="2"/>
                <c:pt idx="0">
                  <c:v>0.23886394486791271</c:v>
                </c:pt>
                <c:pt idx="1">
                  <c:v>0.34369983402715426</c:v>
                </c:pt>
              </c:numCache>
            </c:numRef>
          </c:val>
        </c:ser>
        <c:dLbls>
          <c:showLegendKey val="0"/>
          <c:showVal val="1"/>
          <c:showCatName val="0"/>
          <c:showSerName val="0"/>
          <c:showPercent val="0"/>
          <c:showBubbleSize val="0"/>
        </c:dLbls>
        <c:gapWidth val="150"/>
        <c:shape val="box"/>
        <c:axId val="228811320"/>
        <c:axId val="228811712"/>
        <c:axId val="0"/>
      </c:bar3DChart>
      <c:catAx>
        <c:axId val="2288113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811712"/>
        <c:crosses val="autoZero"/>
        <c:auto val="1"/>
        <c:lblAlgn val="ctr"/>
        <c:lblOffset val="100"/>
        <c:noMultiLvlLbl val="0"/>
      </c:catAx>
      <c:valAx>
        <c:axId val="22881171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811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a:scene3d>
      <a:camera prst="orthographicFront"/>
      <a:lightRig rig="threePt" dir="t"/>
    </a:scene3d>
    <a:sp3d>
      <a:bevelT prst="relaxedInset"/>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2015.xlsx]SituationAnalysis!PivotTable21</c:name>
    <c:fmtId val="20"/>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Repartition of Monthly refilling kit missing</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25400">
            <a:solidFill>
              <a:schemeClr val="lt1"/>
            </a:solidFill>
          </a:ln>
          <a:effectLst/>
          <a:sp3d contourW="25400">
            <a:contourClr>
              <a:schemeClr val="lt1"/>
            </a:contourClr>
          </a:sp3d>
        </c:spPr>
      </c:pivotFmt>
      <c:pivotFmt>
        <c:idx val="2"/>
        <c:spPr>
          <a:solidFill>
            <a:schemeClr val="accent1"/>
          </a:solidFill>
          <a:ln w="25400">
            <a:solidFill>
              <a:schemeClr val="lt1"/>
            </a:solidFill>
          </a:ln>
          <a:effectLst/>
          <a:sp3d contourW="25400">
            <a:contourClr>
              <a:schemeClr val="lt1"/>
            </a:contourClr>
          </a:sp3d>
        </c:spPr>
      </c:pivotFmt>
      <c:pivotFmt>
        <c:idx val="3"/>
        <c:spPr>
          <a:solidFill>
            <a:schemeClr val="accent1"/>
          </a:solidFill>
          <a:ln w="25400">
            <a:solidFill>
              <a:schemeClr val="lt1"/>
            </a:solidFill>
          </a:ln>
          <a:effectLst/>
          <a:sp3d contourW="25400">
            <a:contourClr>
              <a:schemeClr val="lt1"/>
            </a:contourClr>
          </a:sp3d>
        </c:spPr>
      </c:pivotFmt>
      <c:pivotFmt>
        <c:idx val="4"/>
        <c:spPr>
          <a:solidFill>
            <a:schemeClr val="accent1"/>
          </a:solidFill>
          <a:ln w="25400">
            <a:solidFill>
              <a:schemeClr val="lt1"/>
            </a:solidFill>
          </a:ln>
          <a:effectLst/>
          <a:sp3d contourW="25400">
            <a:contourClr>
              <a:schemeClr val="lt1"/>
            </a:contourClr>
          </a:sp3d>
        </c:spPr>
      </c:pivotFmt>
      <c:pivotFmt>
        <c:idx val="5"/>
        <c:spPr>
          <a:solidFill>
            <a:schemeClr val="accent1"/>
          </a:solidFill>
          <a:ln w="25400">
            <a:solidFill>
              <a:schemeClr val="lt1"/>
            </a:solidFill>
          </a:ln>
          <a:effectLst/>
          <a:sp3d contourW="25400">
            <a:contourClr>
              <a:schemeClr val="lt1"/>
            </a:contourClr>
          </a:sp3d>
        </c:spPr>
      </c:pivotFmt>
      <c:pivotFmt>
        <c:idx val="6"/>
        <c:spPr>
          <a:solidFill>
            <a:schemeClr val="accent1"/>
          </a:solidFill>
          <a:ln w="25400">
            <a:solidFill>
              <a:schemeClr val="lt1"/>
            </a:solidFill>
          </a:ln>
          <a:effectLst/>
          <a:sp3d contourW="25400">
            <a:contourClr>
              <a:schemeClr val="lt1"/>
            </a:contourClr>
          </a:sp3d>
        </c:spPr>
      </c:pivotFmt>
      <c:pivotFmt>
        <c:idx val="7"/>
        <c:spPr>
          <a:solidFill>
            <a:schemeClr val="accent1"/>
          </a:solidFill>
          <a:ln w="25400">
            <a:solidFill>
              <a:schemeClr val="lt1"/>
            </a:solidFill>
          </a:ln>
          <a:effectLst/>
          <a:sp3d contourW="25400">
            <a:contourClr>
              <a:schemeClr val="lt1"/>
            </a:contourClr>
          </a:sp3d>
        </c:spPr>
      </c:pivotFmt>
      <c:pivotFmt>
        <c:idx val="8"/>
        <c:spPr>
          <a:solidFill>
            <a:schemeClr val="accent1"/>
          </a:solidFill>
          <a:ln w="25400">
            <a:solidFill>
              <a:schemeClr val="lt1"/>
            </a:solidFill>
          </a:ln>
          <a:effectLst/>
          <a:sp3d contourW="25400">
            <a:contourClr>
              <a:schemeClr val="lt1"/>
            </a:contourClr>
          </a:sp3d>
        </c:spPr>
      </c:pivotFmt>
      <c:pivotFmt>
        <c:idx val="9"/>
        <c:spPr>
          <a:solidFill>
            <a:schemeClr val="accent1"/>
          </a:solidFill>
          <a:ln w="25400">
            <a:solidFill>
              <a:schemeClr val="lt1"/>
            </a:solidFill>
          </a:ln>
          <a:effectLst/>
          <a:sp3d contourW="25400">
            <a:contourClr>
              <a:schemeClr val="lt1"/>
            </a:contourClr>
          </a:sp3d>
        </c:spPr>
      </c:pivotFmt>
      <c:pivotFmt>
        <c:idx val="10"/>
        <c:spPr>
          <a:solidFill>
            <a:schemeClr val="accent1"/>
          </a:solidFill>
          <a:ln w="25400">
            <a:solidFill>
              <a:schemeClr val="lt1"/>
            </a:solidFill>
          </a:ln>
          <a:effectLst/>
          <a:sp3d contourW="25400">
            <a:contourClr>
              <a:schemeClr val="lt1"/>
            </a:contourClr>
          </a:sp3d>
        </c:spPr>
      </c:pivotFmt>
      <c:pivotFmt>
        <c:idx val="11"/>
        <c:spPr>
          <a:solidFill>
            <a:schemeClr val="accent1"/>
          </a:solidFill>
          <a:ln w="25400">
            <a:solidFill>
              <a:schemeClr val="lt1"/>
            </a:solidFill>
          </a:ln>
          <a:effectLst/>
          <a:sp3d contourW="25400">
            <a:contourClr>
              <a:schemeClr val="lt1"/>
            </a:contourClr>
          </a:sp3d>
        </c:spPr>
      </c:pivotFmt>
      <c:pivotFmt>
        <c:idx val="12"/>
        <c:spPr>
          <a:solidFill>
            <a:schemeClr val="accent1"/>
          </a:solidFill>
          <a:ln w="25400">
            <a:solidFill>
              <a:schemeClr val="lt1"/>
            </a:solidFill>
          </a:ln>
          <a:effectLst/>
          <a:sp3d contourW="25400">
            <a:contourClr>
              <a:schemeClr val="lt1"/>
            </a:contourClr>
          </a:sp3d>
        </c:spPr>
      </c:pivotFmt>
      <c:pivotFmt>
        <c:idx val="13"/>
        <c:spPr>
          <a:solidFill>
            <a:schemeClr val="accent1"/>
          </a:solidFill>
          <a:ln w="25400">
            <a:solidFill>
              <a:schemeClr val="lt1"/>
            </a:solidFill>
          </a:ln>
          <a:effectLst/>
          <a:sp3d contourW="25400">
            <a:contourClr>
              <a:schemeClr val="lt1"/>
            </a:contourClr>
          </a:sp3d>
        </c:spPr>
      </c:pivotFmt>
      <c:pivotFmt>
        <c:idx val="14"/>
        <c:spPr>
          <a:solidFill>
            <a:schemeClr val="accent1"/>
          </a:solidFill>
          <a:ln w="25400">
            <a:solidFill>
              <a:schemeClr val="lt1"/>
            </a:solidFill>
          </a:ln>
          <a:effectLst/>
          <a:sp3d contourW="25400">
            <a:contourClr>
              <a:schemeClr val="lt1"/>
            </a:contourClr>
          </a:sp3d>
        </c:spPr>
      </c:pivotFmt>
      <c:pivotFmt>
        <c:idx val="15"/>
        <c:spPr>
          <a:solidFill>
            <a:schemeClr val="accent1"/>
          </a:solidFill>
          <a:ln w="25400">
            <a:solidFill>
              <a:schemeClr val="lt1"/>
            </a:solidFill>
          </a:ln>
          <a:effectLst/>
          <a:sp3d contourW="25400">
            <a:contourClr>
              <a:schemeClr val="lt1"/>
            </a:contourClr>
          </a:sp3d>
        </c:spPr>
      </c:pivotFmt>
      <c:pivotFmt>
        <c:idx val="16"/>
        <c:spPr>
          <a:solidFill>
            <a:schemeClr val="accent1"/>
          </a:solidFill>
          <a:ln w="25400">
            <a:solidFill>
              <a:schemeClr val="lt1"/>
            </a:solidFill>
          </a:ln>
          <a:effectLst/>
          <a:sp3d contourW="25400">
            <a:contourClr>
              <a:schemeClr val="lt1"/>
            </a:contourClr>
          </a:sp3d>
        </c:spPr>
      </c:pivotFmt>
      <c:pivotFmt>
        <c:idx val="17"/>
        <c:spPr>
          <a:solidFill>
            <a:schemeClr val="accent1"/>
          </a:solidFill>
          <a:ln w="25400">
            <a:solidFill>
              <a:schemeClr val="lt1"/>
            </a:solidFill>
          </a:ln>
          <a:effectLst/>
          <a:sp3d contourW="25400">
            <a:contourClr>
              <a:schemeClr val="lt1"/>
            </a:contourClr>
          </a:sp3d>
        </c:spPr>
      </c:pivotFmt>
      <c:pivotFmt>
        <c:idx val="18"/>
        <c:spPr>
          <a:solidFill>
            <a:schemeClr val="accent1"/>
          </a:solidFill>
          <a:ln w="25400">
            <a:solidFill>
              <a:schemeClr val="lt1"/>
            </a:solidFill>
          </a:ln>
          <a:effectLst/>
          <a:sp3d contourW="25400">
            <a:contourClr>
              <a:schemeClr val="lt1"/>
            </a:contourClr>
          </a:sp3d>
        </c:spPr>
      </c:pivotFmt>
      <c:pivotFmt>
        <c:idx val="19"/>
        <c:spPr>
          <a:solidFill>
            <a:schemeClr val="accent1"/>
          </a:solidFill>
          <a:ln w="25400">
            <a:solidFill>
              <a:schemeClr val="lt1"/>
            </a:solidFill>
          </a:ln>
          <a:effectLst/>
          <a:sp3d contourW="25400">
            <a:contourClr>
              <a:schemeClr val="lt1"/>
            </a:contourClr>
          </a:sp3d>
        </c:spPr>
      </c:pivotFmt>
      <c:pivotFmt>
        <c:idx val="20"/>
        <c:spPr>
          <a:solidFill>
            <a:schemeClr val="accent1"/>
          </a:solidFill>
          <a:ln w="25400">
            <a:solidFill>
              <a:schemeClr val="lt1"/>
            </a:solidFill>
          </a:ln>
          <a:effectLst/>
          <a:sp3d contourW="25400">
            <a:contourClr>
              <a:schemeClr val="lt1"/>
            </a:contourClr>
          </a:sp3d>
        </c:spPr>
      </c:pivotFmt>
      <c:pivotFmt>
        <c:idx val="21"/>
        <c:spPr>
          <a:solidFill>
            <a:schemeClr val="accent1"/>
          </a:solidFill>
          <a:ln w="25400">
            <a:solidFill>
              <a:schemeClr val="lt1"/>
            </a:solidFill>
          </a:ln>
          <a:effectLst/>
          <a:sp3d contourW="25400">
            <a:contourClr>
              <a:schemeClr val="lt1"/>
            </a:contourClr>
          </a:sp3d>
        </c:spPr>
      </c:pivotFmt>
      <c:pivotFmt>
        <c:idx val="22"/>
        <c:spPr>
          <a:solidFill>
            <a:schemeClr val="accent1"/>
          </a:solidFill>
          <a:ln w="25400">
            <a:solidFill>
              <a:schemeClr val="lt1"/>
            </a:solidFill>
          </a:ln>
          <a:effectLst/>
          <a:sp3d contourW="25400">
            <a:contourClr>
              <a:schemeClr val="lt1"/>
            </a:contourClr>
          </a:sp3d>
        </c:spPr>
      </c:pivotFmt>
      <c:pivotFmt>
        <c:idx val="23"/>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SituationAnalysis!$C$351</c:f>
              <c:strCache>
                <c:ptCount val="1"/>
                <c:pt idx="0">
                  <c:v>Total</c:v>
                </c:pt>
              </c:strCache>
            </c:strRef>
          </c:tx>
          <c:explosion val="26"/>
          <c:dPt>
            <c:idx val="0"/>
            <c:bubble3D val="0"/>
            <c:spPr>
              <a:solidFill>
                <a:schemeClr val="accent1"/>
              </a:solidFill>
              <a:ln w="25400">
                <a:solidFill>
                  <a:schemeClr val="lt1"/>
                </a:solidFill>
              </a:ln>
              <a:effectLst/>
              <a:sp3d contourW="25400">
                <a:contourClr>
                  <a:schemeClr val="lt1"/>
                </a:contourClr>
              </a:sp3d>
            </c:spPr>
          </c:dPt>
          <c:dPt>
            <c:idx val="1"/>
            <c:bubble3D val="0"/>
            <c:spPr>
              <a:solidFill>
                <a:schemeClr val="accent2"/>
              </a:solidFill>
              <a:ln w="25400">
                <a:solidFill>
                  <a:schemeClr val="lt1"/>
                </a:solidFill>
              </a:ln>
              <a:effectLst/>
              <a:sp3d contourW="25400">
                <a:contourClr>
                  <a:schemeClr val="lt1"/>
                </a:contourClr>
              </a:sp3d>
            </c:spPr>
          </c:dPt>
          <c:dPt>
            <c:idx val="2"/>
            <c:bubble3D val="0"/>
            <c:spPr>
              <a:solidFill>
                <a:schemeClr val="accent3"/>
              </a:solidFill>
              <a:ln w="25400">
                <a:solidFill>
                  <a:schemeClr val="lt1"/>
                </a:solidFill>
              </a:ln>
              <a:effectLst/>
              <a:sp3d contourW="25400">
                <a:contourClr>
                  <a:schemeClr val="lt1"/>
                </a:contourClr>
              </a:sp3d>
            </c:spPr>
          </c:dPt>
          <c:dPt>
            <c:idx val="3"/>
            <c:bubble3D val="0"/>
            <c:spPr>
              <a:solidFill>
                <a:schemeClr val="accent4"/>
              </a:solidFill>
              <a:ln w="25400">
                <a:solidFill>
                  <a:schemeClr val="lt1"/>
                </a:solidFill>
              </a:ln>
              <a:effectLst/>
              <a:sp3d contourW="25400">
                <a:contourClr>
                  <a:schemeClr val="lt1"/>
                </a:contourClr>
              </a:sp3d>
            </c:spPr>
          </c:dPt>
          <c:dPt>
            <c:idx val="4"/>
            <c:bubble3D val="0"/>
            <c:spPr>
              <a:solidFill>
                <a:schemeClr val="accent5"/>
              </a:solidFill>
              <a:ln w="25400">
                <a:solidFill>
                  <a:schemeClr val="lt1"/>
                </a:solidFill>
              </a:ln>
              <a:effectLst/>
              <a:sp3d contourW="25400">
                <a:contourClr>
                  <a:schemeClr val="lt1"/>
                </a:contourClr>
              </a:sp3d>
            </c:spPr>
          </c:dPt>
          <c:dPt>
            <c:idx val="5"/>
            <c:bubble3D val="0"/>
            <c:spPr>
              <a:solidFill>
                <a:schemeClr val="accent6"/>
              </a:solidFill>
              <a:ln w="25400">
                <a:solidFill>
                  <a:schemeClr val="lt1"/>
                </a:solidFill>
              </a:ln>
              <a:effectLst/>
              <a:sp3d contourW="25400">
                <a:contourClr>
                  <a:schemeClr val="lt1"/>
                </a:contourClr>
              </a:sp3d>
            </c:spPr>
          </c:dPt>
          <c:dPt>
            <c:idx val="6"/>
            <c:bubble3D val="0"/>
            <c:spPr>
              <a:solidFill>
                <a:schemeClr val="accent1">
                  <a:lumMod val="60000"/>
                </a:schemeClr>
              </a:solidFill>
              <a:ln w="25400">
                <a:solidFill>
                  <a:schemeClr val="lt1"/>
                </a:solidFill>
              </a:ln>
              <a:effectLst/>
              <a:sp3d contourW="25400">
                <a:contourClr>
                  <a:schemeClr val="lt1"/>
                </a:contourClr>
              </a:sp3d>
            </c:spPr>
          </c:dPt>
          <c:dPt>
            <c:idx val="7"/>
            <c:bubble3D val="0"/>
            <c:spPr>
              <a:solidFill>
                <a:schemeClr val="accent2">
                  <a:lumMod val="60000"/>
                </a:schemeClr>
              </a:solidFill>
              <a:ln w="25400">
                <a:solidFill>
                  <a:schemeClr val="lt1"/>
                </a:solidFill>
              </a:ln>
              <a:effectLst/>
              <a:sp3d contourW="25400">
                <a:contourClr>
                  <a:schemeClr val="lt1"/>
                </a:contourClr>
              </a:sp3d>
            </c:spPr>
          </c:dPt>
          <c:dPt>
            <c:idx val="8"/>
            <c:bubble3D val="0"/>
            <c:spPr>
              <a:solidFill>
                <a:schemeClr val="accent3">
                  <a:lumMod val="60000"/>
                </a:schemeClr>
              </a:solidFill>
              <a:ln w="25400">
                <a:solidFill>
                  <a:schemeClr val="lt1"/>
                </a:solidFill>
              </a:ln>
              <a:effectLst/>
              <a:sp3d contourW="25400">
                <a:contourClr>
                  <a:schemeClr val="lt1"/>
                </a:contourClr>
              </a:sp3d>
            </c:spPr>
          </c:dPt>
          <c:dPt>
            <c:idx val="9"/>
            <c:bubble3D val="0"/>
            <c:spPr>
              <a:solidFill>
                <a:schemeClr val="accent4">
                  <a:lumMod val="60000"/>
                </a:schemeClr>
              </a:solidFill>
              <a:ln w="25400">
                <a:solidFill>
                  <a:schemeClr val="lt1"/>
                </a:solidFill>
              </a:ln>
              <a:effectLst/>
              <a:sp3d contourW="25400">
                <a:contourClr>
                  <a:schemeClr val="lt1"/>
                </a:contourClr>
              </a:sp3d>
            </c:spPr>
          </c:dPt>
          <c:dPt>
            <c:idx val="10"/>
            <c:bubble3D val="0"/>
            <c:spPr>
              <a:solidFill>
                <a:schemeClr val="accent5">
                  <a:lumMod val="60000"/>
                </a:schemeClr>
              </a:solidFill>
              <a:ln w="25400">
                <a:solidFill>
                  <a:schemeClr val="lt1"/>
                </a:solidFill>
              </a:ln>
              <a:effectLst/>
              <a:sp3d contourW="25400">
                <a:contourClr>
                  <a:schemeClr val="lt1"/>
                </a:contourClr>
              </a:sp3d>
            </c:spPr>
          </c:dPt>
          <c:dPt>
            <c:idx val="11"/>
            <c:bubble3D val="0"/>
            <c:spPr>
              <a:solidFill>
                <a:schemeClr val="accent6">
                  <a:lumMod val="60000"/>
                </a:schemeClr>
              </a:solidFill>
              <a:ln w="25400">
                <a:solidFill>
                  <a:schemeClr val="lt1"/>
                </a:solidFill>
              </a:ln>
              <a:effectLst/>
              <a:sp3d contourW="25400">
                <a:contourClr>
                  <a:schemeClr val="lt1"/>
                </a:contourClr>
              </a:sp3d>
            </c:spPr>
          </c:dPt>
          <c:dPt>
            <c:idx val="12"/>
            <c:bubble3D val="0"/>
            <c:spPr>
              <a:solidFill>
                <a:schemeClr val="accent1">
                  <a:lumMod val="80000"/>
                  <a:lumOff val="20000"/>
                </a:schemeClr>
              </a:solidFill>
              <a:ln w="25400">
                <a:solidFill>
                  <a:schemeClr val="lt1"/>
                </a:solidFill>
              </a:ln>
              <a:effectLst/>
              <a:sp3d contourW="25400">
                <a:contourClr>
                  <a:schemeClr val="lt1"/>
                </a:contourClr>
              </a:sp3d>
            </c:spPr>
          </c:dPt>
          <c:dPt>
            <c:idx val="13"/>
            <c:bubble3D val="0"/>
            <c:spPr>
              <a:solidFill>
                <a:schemeClr val="accent2">
                  <a:lumMod val="80000"/>
                  <a:lumOff val="20000"/>
                </a:schemeClr>
              </a:solidFill>
              <a:ln w="25400">
                <a:solidFill>
                  <a:schemeClr val="lt1"/>
                </a:solidFill>
              </a:ln>
              <a:effectLst/>
              <a:sp3d contourW="25400">
                <a:contourClr>
                  <a:schemeClr val="lt1"/>
                </a:contourClr>
              </a:sp3d>
            </c:spPr>
          </c:dPt>
          <c:dPt>
            <c:idx val="14"/>
            <c:bubble3D val="0"/>
            <c:spPr>
              <a:solidFill>
                <a:schemeClr val="accent3">
                  <a:lumMod val="80000"/>
                  <a:lumOff val="20000"/>
                </a:schemeClr>
              </a:solidFill>
              <a:ln w="25400">
                <a:solidFill>
                  <a:schemeClr val="lt1"/>
                </a:solidFill>
              </a:ln>
              <a:effectLst/>
              <a:sp3d contourW="25400">
                <a:contourClr>
                  <a:schemeClr val="lt1"/>
                </a:contourClr>
              </a:sp3d>
            </c:spPr>
          </c:dPt>
          <c:dPt>
            <c:idx val="15"/>
            <c:bubble3D val="0"/>
            <c:spPr>
              <a:solidFill>
                <a:schemeClr val="accent4">
                  <a:lumMod val="80000"/>
                  <a:lumOff val="20000"/>
                </a:schemeClr>
              </a:solidFill>
              <a:ln w="25400">
                <a:solidFill>
                  <a:schemeClr val="lt1"/>
                </a:solidFill>
              </a:ln>
              <a:effectLst/>
              <a:sp3d contourW="25400">
                <a:contourClr>
                  <a:schemeClr val="lt1"/>
                </a:contourClr>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SituationAnalysis!$B$352:$B$367</c:f>
              <c:strCach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14</c:v>
                </c:pt>
                <c:pt idx="14">
                  <c:v>17</c:v>
                </c:pt>
              </c:strCache>
            </c:strRef>
          </c:cat>
          <c:val>
            <c:numRef>
              <c:f>SituationAnalysis!$C$352:$C$367</c:f>
              <c:numCache>
                <c:formatCode>#,##0</c:formatCode>
                <c:ptCount val="15"/>
                <c:pt idx="0">
                  <c:v>1801</c:v>
                </c:pt>
                <c:pt idx="1">
                  <c:v>242</c:v>
                </c:pt>
                <c:pt idx="2">
                  <c:v>4773</c:v>
                </c:pt>
                <c:pt idx="3">
                  <c:v>613</c:v>
                </c:pt>
                <c:pt idx="4">
                  <c:v>808</c:v>
                </c:pt>
                <c:pt idx="5">
                  <c:v>350</c:v>
                </c:pt>
                <c:pt idx="6">
                  <c:v>98</c:v>
                </c:pt>
                <c:pt idx="7">
                  <c:v>31</c:v>
                </c:pt>
                <c:pt idx="8">
                  <c:v>2058</c:v>
                </c:pt>
                <c:pt idx="9">
                  <c:v>886</c:v>
                </c:pt>
                <c:pt idx="10">
                  <c:v>1515</c:v>
                </c:pt>
                <c:pt idx="11">
                  <c:v>75</c:v>
                </c:pt>
                <c:pt idx="12">
                  <c:v>150</c:v>
                </c:pt>
                <c:pt idx="13">
                  <c:v>727</c:v>
                </c:pt>
                <c:pt idx="14">
                  <c:v>1548</c:v>
                </c:pt>
              </c:numCache>
            </c:numRef>
          </c:val>
        </c:ser>
        <c:dLbls>
          <c:dLblPos val="bestFit"/>
          <c:showLegendKey val="0"/>
          <c:showVal val="1"/>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a:scene3d>
      <a:camera prst="orthographicFront"/>
      <a:lightRig rig="threePt" dir="t"/>
    </a:scene3d>
    <a:sp3d>
      <a:bevelT prst="relaxedInset"/>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2015.xlsx]SituationAnalysis!PivotTable23</c:name>
    <c:fmtId val="22"/>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Full HK coverage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bar3DChart>
        <c:barDir val="col"/>
        <c:grouping val="clustered"/>
        <c:varyColors val="0"/>
        <c:ser>
          <c:idx val="0"/>
          <c:order val="0"/>
          <c:tx>
            <c:strRef>
              <c:f>SituationAnalysis!$C$374</c:f>
              <c:strCache>
                <c:ptCount val="1"/>
                <c:pt idx="0">
                  <c:v>Total</c:v>
                </c:pt>
              </c:strCache>
            </c:strRef>
          </c:tx>
          <c:spPr>
            <a:solidFill>
              <a:schemeClr val="accent1"/>
            </a:solidFill>
            <a:ln>
              <a:noFill/>
            </a:ln>
            <a:effectLst/>
            <a:sp3d/>
          </c:spPr>
          <c:invertIfNegative val="0"/>
          <c:cat>
            <c:strRef>
              <c:f>SituationAnalysis!$B$375:$B$393</c:f>
              <c:strCache>
                <c:ptCount val="18"/>
                <c:pt idx="0">
                  <c:v>Bhamo</c:v>
                </c:pt>
                <c:pt idx="1">
                  <c:v>Chipwi</c:v>
                </c:pt>
                <c:pt idx="2">
                  <c:v>Hpakan</c:v>
                </c:pt>
                <c:pt idx="3">
                  <c:v>Khaunglanhpu</c:v>
                </c:pt>
                <c:pt idx="4">
                  <c:v>Kutkai</c:v>
                </c:pt>
                <c:pt idx="5">
                  <c:v>Mansi</c:v>
                </c:pt>
                <c:pt idx="6">
                  <c:v>Manton</c:v>
                </c:pt>
                <c:pt idx="7">
                  <c:v>Mogaung</c:v>
                </c:pt>
                <c:pt idx="8">
                  <c:v>Mohnyin</c:v>
                </c:pt>
                <c:pt idx="9">
                  <c:v>Momauk</c:v>
                </c:pt>
                <c:pt idx="10">
                  <c:v>Muse</c:v>
                </c:pt>
                <c:pt idx="11">
                  <c:v>Myitkyina</c:v>
                </c:pt>
                <c:pt idx="12">
                  <c:v>Namkham</c:v>
                </c:pt>
                <c:pt idx="13">
                  <c:v>Namtu</c:v>
                </c:pt>
                <c:pt idx="14">
                  <c:v>Puta-O</c:v>
                </c:pt>
                <c:pt idx="15">
                  <c:v>Shwegu</c:v>
                </c:pt>
                <c:pt idx="16">
                  <c:v>Waingmaw</c:v>
                </c:pt>
                <c:pt idx="17">
                  <c:v>Hseni</c:v>
                </c:pt>
              </c:strCache>
            </c:strRef>
          </c:cat>
          <c:val>
            <c:numRef>
              <c:f>SituationAnalysis!$C$375:$C$393</c:f>
              <c:numCache>
                <c:formatCode>0%</c:formatCode>
                <c:ptCount val="18"/>
                <c:pt idx="0">
                  <c:v>0</c:v>
                </c:pt>
                <c:pt idx="1">
                  <c:v>0.8062723302897975</c:v>
                </c:pt>
                <c:pt idx="2">
                  <c:v>1.4031241436009867E-2</c:v>
                </c:pt>
                <c:pt idx="3">
                  <c:v>0</c:v>
                </c:pt>
                <c:pt idx="4">
                  <c:v>0.81790715823527149</c:v>
                </c:pt>
                <c:pt idx="5">
                  <c:v>0.78016288585844962</c:v>
                </c:pt>
                <c:pt idx="6">
                  <c:v>0.46041055718475071</c:v>
                </c:pt>
                <c:pt idx="7">
                  <c:v>0.83449883449883444</c:v>
                </c:pt>
                <c:pt idx="8">
                  <c:v>0.625</c:v>
                </c:pt>
                <c:pt idx="9">
                  <c:v>0.23285706697827588</c:v>
                </c:pt>
                <c:pt idx="10">
                  <c:v>0.69833729216152018</c:v>
                </c:pt>
                <c:pt idx="11">
                  <c:v>0.81029977807122178</c:v>
                </c:pt>
                <c:pt idx="12">
                  <c:v>0.99711881459800611</c:v>
                </c:pt>
                <c:pt idx="13">
                  <c:v>1</c:v>
                </c:pt>
                <c:pt idx="14">
                  <c:v>1</c:v>
                </c:pt>
                <c:pt idx="15">
                  <c:v>0</c:v>
                </c:pt>
                <c:pt idx="16">
                  <c:v>0.82281009336617461</c:v>
                </c:pt>
                <c:pt idx="17">
                  <c:v>0.46361746361746364</c:v>
                </c:pt>
              </c:numCache>
            </c:numRef>
          </c:val>
        </c:ser>
        <c:dLbls>
          <c:showLegendKey val="0"/>
          <c:showVal val="0"/>
          <c:showCatName val="0"/>
          <c:showSerName val="0"/>
          <c:showPercent val="0"/>
          <c:showBubbleSize val="0"/>
        </c:dLbls>
        <c:gapWidth val="150"/>
        <c:shape val="box"/>
        <c:axId val="228812888"/>
        <c:axId val="228813280"/>
        <c:axId val="0"/>
      </c:bar3DChart>
      <c:catAx>
        <c:axId val="228812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813280"/>
        <c:crosses val="autoZero"/>
        <c:auto val="1"/>
        <c:lblAlgn val="ctr"/>
        <c:lblOffset val="100"/>
        <c:noMultiLvlLbl val="0"/>
      </c:catAx>
      <c:valAx>
        <c:axId val="2288132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8128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a:scene3d>
      <a:camera prst="orthographicFront"/>
      <a:lightRig rig="threePt" dir="t"/>
    </a:scene3d>
    <a:sp3d>
      <a:bevelT prst="relaxedInset"/>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2015.xlsx]SituationAnalysis!PivotTable24</c:name>
    <c:fmtId val="24"/>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Full HK coverage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pivotFmt>
      <c:pivotFmt>
        <c:idx val="1"/>
        <c:marker>
          <c:symbol val="none"/>
        </c:marker>
      </c:pivotFmt>
      <c:pivotFmt>
        <c:idx val="2"/>
        <c:spPr>
          <a:solidFill>
            <a:schemeClr val="accent1"/>
          </a:solidFill>
          <a:ln>
            <a:noFill/>
          </a:ln>
          <a:effectLst/>
          <a:sp3d/>
        </c:spPr>
        <c:marker>
          <c:symbol val="none"/>
        </c:marker>
      </c:pivotFmt>
      <c:pivotFmt>
        <c:idx val="3"/>
        <c:spPr>
          <a:solidFill>
            <a:schemeClr val="accent1"/>
          </a:solidFill>
          <a:ln>
            <a:noFill/>
          </a:ln>
          <a:effectLst/>
          <a:sp3d/>
        </c:spPr>
        <c:marker>
          <c:symbol val="none"/>
        </c:marker>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bar3DChart>
        <c:barDir val="col"/>
        <c:grouping val="clustered"/>
        <c:varyColors val="0"/>
        <c:ser>
          <c:idx val="0"/>
          <c:order val="0"/>
          <c:tx>
            <c:strRef>
              <c:f>SituationAnalysis!$C$402</c:f>
              <c:strCache>
                <c:ptCount val="1"/>
                <c:pt idx="0">
                  <c:v>Total</c:v>
                </c:pt>
              </c:strCache>
            </c:strRef>
          </c:tx>
          <c:spPr>
            <a:solidFill>
              <a:schemeClr val="accent1"/>
            </a:solidFill>
            <a:ln>
              <a:noFill/>
            </a:ln>
            <a:effectLst/>
            <a:sp3d/>
          </c:spPr>
          <c:invertIfNegative val="0"/>
          <c:cat>
            <c:strRef>
              <c:f>SituationAnalysis!$B$403:$B$413</c:f>
              <c:strCache>
                <c:ptCount val="10"/>
                <c:pt idx="0">
                  <c:v>Cluster 1</c:v>
                </c:pt>
                <c:pt idx="1">
                  <c:v>Cluster 2</c:v>
                </c:pt>
                <c:pt idx="2">
                  <c:v>Cluster 3</c:v>
                </c:pt>
                <c:pt idx="3">
                  <c:v>Cluster 4</c:v>
                </c:pt>
                <c:pt idx="4">
                  <c:v>Cluster 5</c:v>
                </c:pt>
                <c:pt idx="5">
                  <c:v>Cluster 6</c:v>
                </c:pt>
                <c:pt idx="6">
                  <c:v>Cluster 7</c:v>
                </c:pt>
                <c:pt idx="7">
                  <c:v>Cluster 8</c:v>
                </c:pt>
                <c:pt idx="8">
                  <c:v>Cluster 9</c:v>
                </c:pt>
                <c:pt idx="9">
                  <c:v>Cluster 10</c:v>
                </c:pt>
              </c:strCache>
            </c:strRef>
          </c:cat>
          <c:val>
            <c:numRef>
              <c:f>SituationAnalysis!$C$403:$C$413</c:f>
              <c:numCache>
                <c:formatCode>0%</c:formatCode>
                <c:ptCount val="10"/>
                <c:pt idx="0">
                  <c:v>1.4031241436009867E-2</c:v>
                </c:pt>
                <c:pt idx="1">
                  <c:v>0.80952759479658509</c:v>
                </c:pt>
                <c:pt idx="2">
                  <c:v>0.73984155379504213</c:v>
                </c:pt>
                <c:pt idx="3">
                  <c:v>0</c:v>
                </c:pt>
                <c:pt idx="4">
                  <c:v>0.44951132100998165</c:v>
                </c:pt>
                <c:pt idx="5">
                  <c:v>0.77003286261031467</c:v>
                </c:pt>
                <c:pt idx="6">
                  <c:v>0.87335482175920187</c:v>
                </c:pt>
                <c:pt idx="7">
                  <c:v>0.77181212358253537</c:v>
                </c:pt>
                <c:pt idx="8">
                  <c:v>0.51706036745406825</c:v>
                </c:pt>
                <c:pt idx="9">
                  <c:v>0.82255797610681658</c:v>
                </c:pt>
              </c:numCache>
            </c:numRef>
          </c:val>
        </c:ser>
        <c:dLbls>
          <c:showLegendKey val="0"/>
          <c:showVal val="0"/>
          <c:showCatName val="0"/>
          <c:showSerName val="0"/>
          <c:showPercent val="0"/>
          <c:showBubbleSize val="0"/>
        </c:dLbls>
        <c:gapWidth val="150"/>
        <c:shape val="box"/>
        <c:axId val="228814064"/>
        <c:axId val="228814456"/>
        <c:axId val="0"/>
      </c:bar3DChart>
      <c:catAx>
        <c:axId val="2288140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814456"/>
        <c:crosses val="autoZero"/>
        <c:auto val="1"/>
        <c:lblAlgn val="ctr"/>
        <c:lblOffset val="100"/>
        <c:noMultiLvlLbl val="0"/>
      </c:catAx>
      <c:valAx>
        <c:axId val="228814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8140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a:scene3d>
      <a:camera prst="orthographicFront"/>
      <a:lightRig rig="threePt" dir="t"/>
    </a:scene3d>
    <a:sp3d>
      <a:bevelT prst="relaxedInset"/>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2015.xlsx]SituationAnalysis!PivotTable25</c:name>
    <c:fmtId val="26"/>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 of HH receiving monthly</a:t>
            </a:r>
            <a:r>
              <a:rPr lang="en-US" b="1" baseline="0"/>
              <a:t> HP visit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pivotFmt>
      <c:pivotFmt>
        <c:idx val="1"/>
        <c:marker>
          <c:symbol val="none"/>
        </c:marker>
      </c:pivotFmt>
      <c:pivotFmt>
        <c:idx val="2"/>
        <c:spPr>
          <a:solidFill>
            <a:schemeClr val="accent1"/>
          </a:solidFill>
          <a:ln>
            <a:noFill/>
          </a:ln>
          <a:effectLst/>
          <a:sp3d/>
        </c:spPr>
        <c:marker>
          <c:symbol val="none"/>
        </c:marker>
      </c:pivotFmt>
      <c:pivotFmt>
        <c:idx val="3"/>
        <c:spPr>
          <a:solidFill>
            <a:schemeClr val="accent1"/>
          </a:solidFill>
          <a:ln>
            <a:noFill/>
          </a:ln>
          <a:effectLst/>
          <a:sp3d/>
        </c:spPr>
        <c:marker>
          <c:symbol val="none"/>
        </c:marker>
      </c:pivotFmt>
      <c:pivotFmt>
        <c:idx val="4"/>
        <c:marker>
          <c:symbol val="none"/>
        </c:marker>
      </c:pivotFmt>
      <c:pivotFmt>
        <c:idx val="5"/>
        <c:spPr>
          <a:solidFill>
            <a:schemeClr val="accent1"/>
          </a:solidFill>
          <a:ln>
            <a:noFill/>
          </a:ln>
          <a:effectLst/>
          <a:sp3d/>
        </c:spPr>
        <c:marker>
          <c:symbol val="none"/>
        </c:marker>
      </c:pivotFmt>
      <c:pivotFmt>
        <c:idx val="6"/>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bar3DChart>
        <c:barDir val="col"/>
        <c:grouping val="clustered"/>
        <c:varyColors val="0"/>
        <c:ser>
          <c:idx val="0"/>
          <c:order val="0"/>
          <c:tx>
            <c:strRef>
              <c:f>SituationAnalysis!$C$425</c:f>
              <c:strCache>
                <c:ptCount val="1"/>
                <c:pt idx="0">
                  <c:v>Total</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SituationAnalysis!$B$426:$B$428</c:f>
              <c:strCache>
                <c:ptCount val="2"/>
                <c:pt idx="0">
                  <c:v>GCA</c:v>
                </c:pt>
                <c:pt idx="1">
                  <c:v>NGCA</c:v>
                </c:pt>
              </c:strCache>
            </c:strRef>
          </c:cat>
          <c:val>
            <c:numRef>
              <c:f>SituationAnalysis!$C$426:$C$428</c:f>
              <c:numCache>
                <c:formatCode>0%</c:formatCode>
                <c:ptCount val="2"/>
                <c:pt idx="0">
                  <c:v>0.3762524798997598</c:v>
                </c:pt>
                <c:pt idx="1">
                  <c:v>0.15145430305009114</c:v>
                </c:pt>
              </c:numCache>
            </c:numRef>
          </c:val>
        </c:ser>
        <c:dLbls>
          <c:showLegendKey val="0"/>
          <c:showVal val="1"/>
          <c:showCatName val="0"/>
          <c:showSerName val="0"/>
          <c:showPercent val="0"/>
          <c:showBubbleSize val="0"/>
        </c:dLbls>
        <c:gapWidth val="150"/>
        <c:shape val="box"/>
        <c:axId val="229339896"/>
        <c:axId val="229340288"/>
        <c:axId val="0"/>
      </c:bar3DChart>
      <c:catAx>
        <c:axId val="2293398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340288"/>
        <c:crosses val="autoZero"/>
        <c:auto val="1"/>
        <c:lblAlgn val="ctr"/>
        <c:lblOffset val="100"/>
        <c:noMultiLvlLbl val="0"/>
      </c:catAx>
      <c:valAx>
        <c:axId val="22934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3398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a:scene3d>
      <a:camera prst="orthographicFront"/>
      <a:lightRig rig="threePt" dir="t"/>
    </a:scene3d>
    <a:sp3d>
      <a:bevelT prst="relaxedInset"/>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2015.xlsx]SituationAnalysis!PivotTable26</c:name>
    <c:fmtId val="28"/>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Community</a:t>
            </a:r>
            <a:r>
              <a:rPr lang="en-US" b="1" baseline="0"/>
              <a:t> management organisation in camps</a:t>
            </a:r>
            <a:endParaRPr lang="en-US" b="1"/>
          </a:p>
        </c:rich>
      </c:tx>
      <c:layout>
        <c:manualLayout>
          <c:xMode val="edge"/>
          <c:yMode val="edge"/>
          <c:x val="0.20189483560931695"/>
          <c:y val="5.839416058394160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25400">
            <a:solidFill>
              <a:schemeClr val="lt1"/>
            </a:solidFill>
          </a:ln>
          <a:effectLst/>
          <a:sp3d contourW="25400">
            <a:contourClr>
              <a:schemeClr val="lt1"/>
            </a:contourClr>
          </a:sp3d>
        </c:spPr>
      </c:pivotFmt>
      <c:pivotFmt>
        <c:idx val="2"/>
        <c:spPr>
          <a:solidFill>
            <a:schemeClr val="accent1"/>
          </a:solidFill>
          <a:ln w="25400">
            <a:solidFill>
              <a:schemeClr val="lt1"/>
            </a:solidFill>
          </a:ln>
          <a:effectLst/>
          <a:sp3d contourW="25400">
            <a:contourClr>
              <a:schemeClr val="lt1"/>
            </a:contourClr>
          </a:sp3d>
        </c:spPr>
      </c:pivotFmt>
      <c:pivotFmt>
        <c:idx val="3"/>
        <c:spPr>
          <a:solidFill>
            <a:schemeClr val="accent1"/>
          </a:solidFill>
          <a:ln w="25400">
            <a:solidFill>
              <a:schemeClr val="lt1"/>
            </a:solidFill>
          </a:ln>
          <a:effectLst/>
          <a:sp3d contourW="25400">
            <a:contourClr>
              <a:schemeClr val="lt1"/>
            </a:contourClr>
          </a:sp3d>
        </c:spPr>
      </c:pivotFmt>
      <c:pivotFmt>
        <c:idx val="4"/>
        <c:spPr>
          <a:solidFill>
            <a:schemeClr val="accent1"/>
          </a:solidFill>
          <a:ln w="25400">
            <a:solidFill>
              <a:schemeClr val="lt1"/>
            </a:solidFill>
          </a:ln>
          <a:effectLst/>
          <a:sp3d contourW="25400">
            <a:contourClr>
              <a:schemeClr val="lt1"/>
            </a:contourClr>
          </a:sp3d>
        </c:spPr>
      </c:pivotFmt>
      <c:pivotFmt>
        <c:idx val="5"/>
        <c:spPr>
          <a:solidFill>
            <a:schemeClr val="accent1"/>
          </a:solidFill>
          <a:ln w="25400">
            <a:solidFill>
              <a:schemeClr val="lt1"/>
            </a:solidFill>
          </a:ln>
          <a:effectLst/>
          <a:sp3d contourW="25400">
            <a:contourClr>
              <a:schemeClr val="lt1"/>
            </a:contourClr>
          </a:sp3d>
        </c:spPr>
      </c:pivotFmt>
      <c:pivotFmt>
        <c:idx val="6"/>
        <c:spPr>
          <a:solidFill>
            <a:schemeClr val="accent1"/>
          </a:solidFill>
          <a:ln w="25400">
            <a:solidFill>
              <a:schemeClr val="lt1"/>
            </a:solidFill>
          </a:ln>
          <a:effectLst/>
          <a:sp3d contourW="25400">
            <a:contourClr>
              <a:schemeClr val="lt1"/>
            </a:contourClr>
          </a:sp3d>
        </c:spPr>
      </c:pivotFmt>
      <c:pivotFmt>
        <c:idx val="7"/>
        <c:spPr>
          <a:solidFill>
            <a:schemeClr val="accent1"/>
          </a:solidFill>
          <a:ln w="25400">
            <a:solidFill>
              <a:schemeClr val="lt1"/>
            </a:solidFill>
          </a:ln>
          <a:effectLst/>
          <a:sp3d contourW="25400">
            <a:contourClr>
              <a:schemeClr val="lt1"/>
            </a:contourClr>
          </a:sp3d>
        </c:spPr>
      </c:pivotFmt>
      <c:pivotFmt>
        <c:idx val="8"/>
        <c:spPr>
          <a:solidFill>
            <a:schemeClr val="accent1"/>
          </a:solidFill>
          <a:ln w="25400">
            <a:solidFill>
              <a:schemeClr val="lt1"/>
            </a:solidFill>
          </a:ln>
          <a:effectLst/>
          <a:sp3d contourW="25400">
            <a:contourClr>
              <a:schemeClr val="lt1"/>
            </a:contourClr>
          </a:sp3d>
        </c:spPr>
      </c:pivotFmt>
      <c:pivotFmt>
        <c:idx val="9"/>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SituationAnalysis!$C$445</c:f>
              <c:strCache>
                <c:ptCount val="1"/>
                <c:pt idx="0">
                  <c:v>Total</c:v>
                </c:pt>
              </c:strCache>
            </c:strRef>
          </c:tx>
          <c:explosion val="25"/>
          <c:dPt>
            <c:idx val="0"/>
            <c:bubble3D val="0"/>
            <c:spPr>
              <a:solidFill>
                <a:schemeClr val="accent1"/>
              </a:solidFill>
              <a:ln w="25400">
                <a:solidFill>
                  <a:schemeClr val="lt1"/>
                </a:solidFill>
              </a:ln>
              <a:effectLst/>
              <a:sp3d contourW="25400">
                <a:contourClr>
                  <a:schemeClr val="lt1"/>
                </a:contourClr>
              </a:sp3d>
            </c:spPr>
          </c:dPt>
          <c:dPt>
            <c:idx val="1"/>
            <c:bubble3D val="0"/>
            <c:spPr>
              <a:solidFill>
                <a:schemeClr val="accent2"/>
              </a:solidFill>
              <a:ln w="25400">
                <a:solidFill>
                  <a:schemeClr val="lt1"/>
                </a:solidFill>
              </a:ln>
              <a:effectLst/>
              <a:sp3d contourW="25400">
                <a:contourClr>
                  <a:schemeClr val="lt1"/>
                </a:contourClr>
              </a:sp3d>
            </c:spPr>
          </c:dPt>
          <c:dPt>
            <c:idx val="2"/>
            <c:bubble3D val="0"/>
            <c:spPr>
              <a:solidFill>
                <a:schemeClr val="accent3"/>
              </a:solidFill>
              <a:ln w="25400">
                <a:solidFill>
                  <a:schemeClr val="lt1"/>
                </a:solidFill>
              </a:ln>
              <a:effectLst/>
              <a:sp3d contourW="25400">
                <a:contourClr>
                  <a:schemeClr val="lt1"/>
                </a:contourClr>
              </a:sp3d>
            </c:spPr>
          </c:dPt>
          <c:dPt>
            <c:idx val="3"/>
            <c:bubble3D val="0"/>
            <c:spPr>
              <a:solidFill>
                <a:schemeClr val="accent4"/>
              </a:solidFill>
              <a:ln w="25400">
                <a:solidFill>
                  <a:schemeClr val="lt1"/>
                </a:solidFill>
              </a:ln>
              <a:effectLst/>
              <a:sp3d contourW="25400">
                <a:contourClr>
                  <a:schemeClr val="lt1"/>
                </a:contourClr>
              </a:sp3d>
            </c:spPr>
          </c:dPt>
          <c:dPt>
            <c:idx val="4"/>
            <c:bubble3D val="0"/>
            <c:spPr>
              <a:solidFill>
                <a:schemeClr val="accent5"/>
              </a:solidFill>
              <a:ln w="25400">
                <a:solidFill>
                  <a:schemeClr val="lt1"/>
                </a:solidFill>
              </a:ln>
              <a:effectLst/>
              <a:sp3d contourW="25400">
                <a:contourClr>
                  <a:schemeClr val="lt1"/>
                </a:contourClr>
              </a:sp3d>
            </c:spPr>
          </c:dPt>
          <c:dPt>
            <c:idx val="5"/>
            <c:bubble3D val="0"/>
            <c:spPr>
              <a:solidFill>
                <a:schemeClr val="accent6"/>
              </a:solidFill>
              <a:ln w="25400">
                <a:solidFill>
                  <a:schemeClr val="lt1"/>
                </a:solidFill>
              </a:ln>
              <a:effectLst/>
              <a:sp3d contourW="25400">
                <a:contourClr>
                  <a:schemeClr val="lt1"/>
                </a:contourClr>
              </a:sp3d>
            </c:spPr>
          </c:dPt>
          <c:dPt>
            <c:idx val="6"/>
            <c:bubble3D val="0"/>
            <c:spPr>
              <a:solidFill>
                <a:schemeClr val="accent1">
                  <a:lumMod val="60000"/>
                </a:schemeClr>
              </a:solidFill>
              <a:ln w="25400">
                <a:solidFill>
                  <a:schemeClr val="lt1"/>
                </a:solidFill>
              </a:ln>
              <a:effectLst/>
              <a:sp3d contourW="25400">
                <a:contourClr>
                  <a:schemeClr val="lt1"/>
                </a:contourClr>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SituationAnalysis!$B$446:$B$449</c:f>
              <c:strCache>
                <c:ptCount val="3"/>
                <c:pt idx="0">
                  <c:v>Functional and efficient</c:v>
                </c:pt>
                <c:pt idx="1">
                  <c:v>Not yet set up</c:v>
                </c:pt>
                <c:pt idx="2">
                  <c:v>Set up but low results </c:v>
                </c:pt>
              </c:strCache>
            </c:strRef>
          </c:cat>
          <c:val>
            <c:numRef>
              <c:f>SituationAnalysis!$C$446:$C$449</c:f>
              <c:numCache>
                <c:formatCode>#,##0</c:formatCode>
                <c:ptCount val="3"/>
                <c:pt idx="0">
                  <c:v>58</c:v>
                </c:pt>
                <c:pt idx="1">
                  <c:v>10</c:v>
                </c:pt>
                <c:pt idx="2">
                  <c:v>83</c:v>
                </c:pt>
              </c:numCache>
            </c:numRef>
          </c:val>
        </c:ser>
        <c:dLbls>
          <c:dLblPos val="bestFit"/>
          <c:showLegendKey val="0"/>
          <c:showVal val="1"/>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a:scene3d>
      <a:camera prst="orthographicFront"/>
      <a:lightRig rig="threePt" dir="t"/>
    </a:scene3d>
    <a:sp3d>
      <a:bevelT prst="relaxedInset"/>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2015.xlsx]SituationAnalysis!PivotTable27</c:name>
    <c:fmtId val="30"/>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Gender</a:t>
            </a:r>
            <a:r>
              <a:rPr lang="en-US" b="1" baseline="0"/>
              <a:t> consideration for latrines</a:t>
            </a:r>
            <a:endParaRPr lang="en-US" b="1"/>
          </a:p>
        </c:rich>
      </c:tx>
      <c:layout>
        <c:manualLayout>
          <c:xMode val="edge"/>
          <c:yMode val="edge"/>
          <c:x val="0.45214921379995354"/>
          <c:y val="9.052272080447774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25400">
            <a:solidFill>
              <a:schemeClr val="lt1"/>
            </a:solidFill>
          </a:ln>
          <a:effectLst/>
          <a:sp3d contourW="25400">
            <a:contourClr>
              <a:schemeClr val="lt1"/>
            </a:contourClr>
          </a:sp3d>
        </c:spPr>
      </c:pivotFmt>
      <c:pivotFmt>
        <c:idx val="2"/>
        <c:spPr>
          <a:solidFill>
            <a:schemeClr val="accent1"/>
          </a:solidFill>
          <a:ln w="25400">
            <a:solidFill>
              <a:schemeClr val="lt1"/>
            </a:solidFill>
          </a:ln>
          <a:effectLst/>
          <a:sp3d contourW="25400">
            <a:contourClr>
              <a:schemeClr val="lt1"/>
            </a:contourClr>
          </a:sp3d>
        </c:spPr>
      </c:pivotFmt>
      <c:pivotFmt>
        <c:idx val="3"/>
        <c:spPr>
          <a:solidFill>
            <a:schemeClr val="accent1"/>
          </a:solidFill>
          <a:ln w="25400">
            <a:solidFill>
              <a:schemeClr val="lt1"/>
            </a:solidFill>
          </a:ln>
          <a:effectLst/>
          <a:sp3d contourW="25400">
            <a:contourClr>
              <a:schemeClr val="lt1"/>
            </a:contourClr>
          </a:sp3d>
        </c:spPr>
      </c:pivotFmt>
      <c:pivotFmt>
        <c:idx val="4"/>
        <c:spPr>
          <a:solidFill>
            <a:schemeClr val="accent1"/>
          </a:solidFill>
          <a:ln w="25400">
            <a:solidFill>
              <a:schemeClr val="lt1"/>
            </a:solidFill>
          </a:ln>
          <a:effectLst/>
          <a:sp3d contourW="25400">
            <a:contourClr>
              <a:schemeClr val="lt1"/>
            </a:contourClr>
          </a:sp3d>
        </c:spPr>
      </c:pivotFmt>
      <c:pivotFmt>
        <c:idx val="5"/>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6"/>
      </c:pivotFmt>
      <c:pivotFmt>
        <c:idx val="7"/>
      </c:pivotFmt>
      <c:pivotFmt>
        <c:idx val="8"/>
      </c:pivotFmt>
      <c:pivotFmt>
        <c:idx val="9"/>
      </c:pivotFmt>
      <c:pivotFmt>
        <c:idx val="10"/>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1"/>
        <c:spPr>
          <a:solidFill>
            <a:schemeClr val="accent1"/>
          </a:solidFill>
          <a:ln w="25400">
            <a:solidFill>
              <a:schemeClr val="lt1"/>
            </a:solidFill>
          </a:ln>
          <a:effectLst/>
          <a:sp3d contourW="25400">
            <a:contourClr>
              <a:schemeClr val="lt1"/>
            </a:contourClr>
          </a:sp3d>
        </c:spPr>
      </c:pivotFmt>
      <c:pivotFmt>
        <c:idx val="12"/>
        <c:spPr>
          <a:solidFill>
            <a:schemeClr val="accent1"/>
          </a:solidFill>
          <a:ln w="25400">
            <a:solidFill>
              <a:schemeClr val="lt1"/>
            </a:solidFill>
          </a:ln>
          <a:effectLst/>
          <a:sp3d contourW="25400">
            <a:contourClr>
              <a:schemeClr val="lt1"/>
            </a:contourClr>
          </a:sp3d>
        </c:spPr>
      </c:pivotFmt>
      <c:pivotFmt>
        <c:idx val="13"/>
        <c:spPr>
          <a:solidFill>
            <a:schemeClr val="accent1"/>
          </a:solidFill>
          <a:ln w="25400">
            <a:solidFill>
              <a:schemeClr val="lt1"/>
            </a:solidFill>
          </a:ln>
          <a:effectLst/>
          <a:sp3d contourW="25400">
            <a:contourClr>
              <a:schemeClr val="lt1"/>
            </a:contourClr>
          </a:sp3d>
        </c:spPr>
      </c:pivotFmt>
      <c:pivotFmt>
        <c:idx val="14"/>
        <c:spPr>
          <a:solidFill>
            <a:schemeClr val="accent1"/>
          </a:solidFill>
          <a:ln w="25400">
            <a:solidFill>
              <a:schemeClr val="lt1"/>
            </a:solidFill>
          </a:ln>
          <a:effectLst/>
          <a:sp3d contourW="25400">
            <a:contourClr>
              <a:schemeClr val="lt1"/>
            </a:contourClr>
          </a:sp3d>
        </c:spPr>
      </c:pivotFmt>
      <c:pivotFmt>
        <c:idx val="15"/>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6"/>
        <c:spPr>
          <a:solidFill>
            <a:schemeClr val="accent1"/>
          </a:solidFill>
          <a:ln w="25400">
            <a:solidFill>
              <a:schemeClr val="lt1"/>
            </a:solidFill>
          </a:ln>
          <a:effectLst/>
          <a:sp3d contourW="25400">
            <a:contourClr>
              <a:schemeClr val="lt1"/>
            </a:contourClr>
          </a:sp3d>
        </c:spPr>
      </c:pivotFmt>
      <c:pivotFmt>
        <c:idx val="17"/>
        <c:spPr>
          <a:solidFill>
            <a:schemeClr val="accent1"/>
          </a:solidFill>
          <a:ln w="25400">
            <a:solidFill>
              <a:schemeClr val="lt1"/>
            </a:solidFill>
          </a:ln>
          <a:effectLst/>
          <a:sp3d contourW="25400">
            <a:contourClr>
              <a:schemeClr val="lt1"/>
            </a:contourClr>
          </a:sp3d>
        </c:spPr>
      </c:pivotFmt>
      <c:pivotFmt>
        <c:idx val="18"/>
        <c:spPr>
          <a:solidFill>
            <a:schemeClr val="accent1"/>
          </a:solidFill>
          <a:ln w="25400">
            <a:solidFill>
              <a:schemeClr val="lt1"/>
            </a:solidFill>
          </a:ln>
          <a:effectLst/>
          <a:sp3d contourW="25400">
            <a:contourClr>
              <a:schemeClr val="lt1"/>
            </a:contourClr>
          </a:sp3d>
        </c:spPr>
      </c:pivotFmt>
      <c:pivotFmt>
        <c:idx val="19"/>
        <c:spPr>
          <a:solidFill>
            <a:schemeClr val="accent1"/>
          </a:solidFill>
          <a:ln w="25400">
            <a:solidFill>
              <a:schemeClr val="lt1"/>
            </a:solidFill>
          </a:ln>
          <a:effectLst/>
          <a:sp3d contourW="25400">
            <a:contourClr>
              <a:schemeClr val="lt1"/>
            </a:contourClr>
          </a:sp3d>
        </c:spPr>
      </c:pivotFmt>
      <c:pivotFmt>
        <c:idx val="20"/>
        <c:spPr>
          <a:solidFill>
            <a:schemeClr val="accent1"/>
          </a:solidFill>
          <a:ln w="25400">
            <a:solidFill>
              <a:schemeClr val="lt1"/>
            </a:solidFill>
          </a:ln>
          <a:effectLst/>
          <a:sp3d contourW="25400">
            <a:contourClr>
              <a:schemeClr val="lt1"/>
            </a:contourClr>
          </a:sp3d>
        </c:spPr>
      </c:pivotFmt>
      <c:pivotFmt>
        <c:idx val="21"/>
        <c:spPr>
          <a:solidFill>
            <a:schemeClr val="accent1"/>
          </a:solidFill>
          <a:ln w="25400">
            <a:solidFill>
              <a:schemeClr val="lt1"/>
            </a:solidFill>
          </a:ln>
          <a:effectLst/>
          <a:sp3d contourW="25400">
            <a:contourClr>
              <a:schemeClr val="lt1"/>
            </a:contourClr>
          </a:sp3d>
        </c:spPr>
      </c:pivotFmt>
      <c:pivotFmt>
        <c:idx val="22"/>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SituationAnalysis!$C$464</c:f>
              <c:strCache>
                <c:ptCount val="1"/>
                <c:pt idx="0">
                  <c:v>Total</c:v>
                </c:pt>
              </c:strCache>
            </c:strRef>
          </c:tx>
          <c:explosion val="25"/>
          <c:dPt>
            <c:idx val="0"/>
            <c:bubble3D val="0"/>
            <c:spPr>
              <a:solidFill>
                <a:schemeClr val="accent1"/>
              </a:solidFill>
              <a:ln w="25400">
                <a:solidFill>
                  <a:schemeClr val="lt1"/>
                </a:solidFill>
              </a:ln>
              <a:effectLst/>
              <a:sp3d contourW="25400">
                <a:contourClr>
                  <a:schemeClr val="lt1"/>
                </a:contourClr>
              </a:sp3d>
            </c:spPr>
          </c:dPt>
          <c:dPt>
            <c:idx val="1"/>
            <c:bubble3D val="0"/>
            <c:spPr>
              <a:solidFill>
                <a:schemeClr val="accent2"/>
              </a:solidFill>
              <a:ln w="25400">
                <a:solidFill>
                  <a:schemeClr val="lt1"/>
                </a:solidFill>
              </a:ln>
              <a:effectLst/>
              <a:sp3d contourW="25400">
                <a:contourClr>
                  <a:schemeClr val="lt1"/>
                </a:contourClr>
              </a:sp3d>
            </c:spPr>
          </c:dPt>
          <c:dPt>
            <c:idx val="2"/>
            <c:bubble3D val="0"/>
            <c:spPr>
              <a:solidFill>
                <a:schemeClr val="accent3"/>
              </a:solidFill>
              <a:ln w="25400">
                <a:solidFill>
                  <a:schemeClr val="lt1"/>
                </a:solidFill>
              </a:ln>
              <a:effectLst/>
              <a:sp3d contourW="25400">
                <a:contourClr>
                  <a:schemeClr val="lt1"/>
                </a:contourClr>
              </a:sp3d>
            </c:spPr>
          </c:dPt>
          <c:dPt>
            <c:idx val="3"/>
            <c:bubble3D val="0"/>
            <c:spPr>
              <a:solidFill>
                <a:schemeClr val="accent4"/>
              </a:solidFill>
              <a:ln w="25400">
                <a:solidFill>
                  <a:schemeClr val="lt1"/>
                </a:solidFill>
              </a:ln>
              <a:effectLst/>
              <a:sp3d contourW="25400">
                <a:contourClr>
                  <a:schemeClr val="lt1"/>
                </a:contourClr>
              </a:sp3d>
            </c:spPr>
          </c:dPt>
          <c:dPt>
            <c:idx val="4"/>
            <c:bubble3D val="0"/>
            <c:spPr>
              <a:solidFill>
                <a:schemeClr val="accent5"/>
              </a:solidFill>
              <a:ln w="25400">
                <a:solidFill>
                  <a:schemeClr val="lt1"/>
                </a:solidFill>
              </a:ln>
              <a:effectLst/>
              <a:sp3d contourW="25400">
                <a:contourClr>
                  <a:schemeClr val="lt1"/>
                </a:contourClr>
              </a:sp3d>
            </c:spPr>
          </c:dPt>
          <c:dPt>
            <c:idx val="5"/>
            <c:bubble3D val="0"/>
            <c:spPr>
              <a:solidFill>
                <a:schemeClr val="accent6"/>
              </a:solidFill>
              <a:ln w="25400">
                <a:solidFill>
                  <a:schemeClr val="lt1"/>
                </a:solidFill>
              </a:ln>
              <a:effectLst/>
              <a:sp3d contourW="25400">
                <a:contourClr>
                  <a:schemeClr val="lt1"/>
                </a:contourClr>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SituationAnalysis!$B$465:$B$469</c:f>
              <c:strCache>
                <c:ptCount val="4"/>
                <c:pt idx="0">
                  <c:v>Latrine shared by families , not separated</c:v>
                </c:pt>
                <c:pt idx="1">
                  <c:v>Not separated yet</c:v>
                </c:pt>
                <c:pt idx="2">
                  <c:v>Separate, but not clearly perceived</c:v>
                </c:pt>
                <c:pt idx="3">
                  <c:v>Separate, clearly perceived</c:v>
                </c:pt>
              </c:strCache>
            </c:strRef>
          </c:cat>
          <c:val>
            <c:numRef>
              <c:f>SituationAnalysis!$C$465:$C$469</c:f>
              <c:numCache>
                <c:formatCode>0</c:formatCode>
                <c:ptCount val="4"/>
                <c:pt idx="0">
                  <c:v>74</c:v>
                </c:pt>
                <c:pt idx="1">
                  <c:v>40</c:v>
                </c:pt>
                <c:pt idx="2">
                  <c:v>8</c:v>
                </c:pt>
                <c:pt idx="3">
                  <c:v>29</c:v>
                </c:pt>
              </c:numCache>
            </c:numRef>
          </c:val>
        </c:ser>
        <c:dLbls>
          <c:dLblPos val="bestFit"/>
          <c:showLegendKey val="0"/>
          <c:showVal val="1"/>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a:scene3d>
      <a:camera prst="orthographicFront"/>
      <a:lightRig rig="threePt" dir="t"/>
    </a:scene3d>
    <a:sp3d>
      <a:bevelT prst="relaxedInset"/>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2015.xlsx]SituationAnalysis!PivotTable6</c:name>
    <c:fmtId val="34"/>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Projection of Water coverage end of project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bar3DChart>
        <c:barDir val="col"/>
        <c:grouping val="stacked"/>
        <c:varyColors val="0"/>
        <c:ser>
          <c:idx val="0"/>
          <c:order val="0"/>
          <c:tx>
            <c:strRef>
              <c:f>SituationAnalysis!$C$178</c:f>
              <c:strCache>
                <c:ptCount val="1"/>
                <c:pt idx="0">
                  <c:v>% Water Need coverage</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SituationAnalysis!$B$179:$B$181</c:f>
              <c:strCache>
                <c:ptCount val="2"/>
                <c:pt idx="0">
                  <c:v>GCA</c:v>
                </c:pt>
                <c:pt idx="1">
                  <c:v>NGCA</c:v>
                </c:pt>
              </c:strCache>
            </c:strRef>
          </c:cat>
          <c:val>
            <c:numRef>
              <c:f>SituationAnalysis!$C$179:$C$181</c:f>
              <c:numCache>
                <c:formatCode>0%</c:formatCode>
                <c:ptCount val="2"/>
                <c:pt idx="0">
                  <c:v>0.99394599830487962</c:v>
                </c:pt>
                <c:pt idx="1">
                  <c:v>1</c:v>
                </c:pt>
              </c:numCache>
            </c:numRef>
          </c:val>
        </c:ser>
        <c:ser>
          <c:idx val="1"/>
          <c:order val="1"/>
          <c:tx>
            <c:strRef>
              <c:f>SituationAnalysis!$D$178</c:f>
              <c:strCache>
                <c:ptCount val="1"/>
                <c:pt idx="0">
                  <c:v>% Coverage projection end of project</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SituationAnalysis!$B$179:$B$181</c:f>
              <c:strCache>
                <c:ptCount val="2"/>
                <c:pt idx="0">
                  <c:v>GCA</c:v>
                </c:pt>
                <c:pt idx="1">
                  <c:v>NGCA</c:v>
                </c:pt>
              </c:strCache>
            </c:strRef>
          </c:cat>
          <c:val>
            <c:numRef>
              <c:f>SituationAnalysis!$D$179:$D$181</c:f>
              <c:numCache>
                <c:formatCode>0%</c:formatCode>
                <c:ptCount val="2"/>
                <c:pt idx="0">
                  <c:v>5.6680590870564892E-3</c:v>
                </c:pt>
                <c:pt idx="1">
                  <c:v>0</c:v>
                </c:pt>
              </c:numCache>
            </c:numRef>
          </c:val>
        </c:ser>
        <c:dLbls>
          <c:showLegendKey val="0"/>
          <c:showVal val="1"/>
          <c:showCatName val="0"/>
          <c:showSerName val="0"/>
          <c:showPercent val="0"/>
          <c:showBubbleSize val="0"/>
        </c:dLbls>
        <c:gapWidth val="150"/>
        <c:shape val="box"/>
        <c:axId val="229341856"/>
        <c:axId val="229342248"/>
        <c:axId val="0"/>
      </c:bar3DChart>
      <c:catAx>
        <c:axId val="22934185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342248"/>
        <c:crosses val="autoZero"/>
        <c:auto val="1"/>
        <c:lblAlgn val="ctr"/>
        <c:lblOffset val="100"/>
        <c:noMultiLvlLbl val="0"/>
      </c:catAx>
      <c:valAx>
        <c:axId val="22934224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341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a:scene3d>
      <a:camera prst="orthographicFront"/>
      <a:lightRig rig="threePt" dir="t"/>
    </a:scene3d>
    <a:sp3d>
      <a:bevelT prst="relaxedInset"/>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2015.xlsx]SituationAnalysis!PivotTable9</c:name>
    <c:fmtId val="36"/>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Projection of latrine coverage end of project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manualLayout>
          <c:layoutTarget val="inner"/>
          <c:xMode val="edge"/>
          <c:yMode val="edge"/>
          <c:x val="5.1381662793491441E-2"/>
          <c:y val="0.19112397417181087"/>
          <c:w val="0.93046450347775755"/>
          <c:h val="0.57146085724464146"/>
        </c:manualLayout>
      </c:layout>
      <c:bar3DChart>
        <c:barDir val="col"/>
        <c:grouping val="stacked"/>
        <c:varyColors val="0"/>
        <c:ser>
          <c:idx val="0"/>
          <c:order val="0"/>
          <c:tx>
            <c:strRef>
              <c:f>SituationAnalysis!$C$322</c:f>
              <c:strCache>
                <c:ptCount val="1"/>
                <c:pt idx="0">
                  <c:v>% Latrine need coverage</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SituationAnalysis!$B$323:$B$325</c:f>
              <c:strCache>
                <c:ptCount val="2"/>
                <c:pt idx="0">
                  <c:v>GCA</c:v>
                </c:pt>
                <c:pt idx="1">
                  <c:v>NGCA</c:v>
                </c:pt>
              </c:strCache>
            </c:strRef>
          </c:cat>
          <c:val>
            <c:numRef>
              <c:f>SituationAnalysis!$C$323:$C$325</c:f>
              <c:numCache>
                <c:formatCode>0%</c:formatCode>
                <c:ptCount val="2"/>
                <c:pt idx="0">
                  <c:v>0.84507809662186706</c:v>
                </c:pt>
                <c:pt idx="1">
                  <c:v>0.97834006104164617</c:v>
                </c:pt>
              </c:numCache>
            </c:numRef>
          </c:val>
        </c:ser>
        <c:ser>
          <c:idx val="1"/>
          <c:order val="1"/>
          <c:tx>
            <c:strRef>
              <c:f>SituationAnalysis!$D$322</c:f>
              <c:strCache>
                <c:ptCount val="1"/>
                <c:pt idx="0">
                  <c:v>% Projection latrine need coverage EOP</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SituationAnalysis!$B$323:$B$325</c:f>
              <c:strCache>
                <c:ptCount val="2"/>
                <c:pt idx="0">
                  <c:v>GCA</c:v>
                </c:pt>
                <c:pt idx="1">
                  <c:v>NGCA</c:v>
                </c:pt>
              </c:strCache>
            </c:strRef>
          </c:cat>
          <c:val>
            <c:numRef>
              <c:f>SituationAnalysis!$D$323:$D$325</c:f>
              <c:numCache>
                <c:formatCode>0%</c:formatCode>
                <c:ptCount val="2"/>
                <c:pt idx="0">
                  <c:v>5.3394932800581239E-2</c:v>
                </c:pt>
                <c:pt idx="1">
                  <c:v>2.9175281415114103E-4</c:v>
                </c:pt>
              </c:numCache>
            </c:numRef>
          </c:val>
        </c:ser>
        <c:dLbls>
          <c:showLegendKey val="0"/>
          <c:showVal val="1"/>
          <c:showCatName val="0"/>
          <c:showSerName val="0"/>
          <c:showPercent val="0"/>
          <c:showBubbleSize val="0"/>
        </c:dLbls>
        <c:gapWidth val="150"/>
        <c:shape val="box"/>
        <c:axId val="229343032"/>
        <c:axId val="229343424"/>
        <c:axId val="0"/>
      </c:bar3DChart>
      <c:catAx>
        <c:axId val="22934303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343424"/>
        <c:crosses val="autoZero"/>
        <c:auto val="1"/>
        <c:lblAlgn val="ctr"/>
        <c:lblOffset val="100"/>
        <c:noMultiLvlLbl val="0"/>
      </c:catAx>
      <c:valAx>
        <c:axId val="22934342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343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a:scene3d>
      <a:camera prst="orthographicFront"/>
      <a:lightRig rig="threePt" dir="t"/>
    </a:scene3d>
    <a:sp3d>
      <a:bevelT prst="relaxedInset"/>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2015.xlsx]SituationAnalysis!PivotTable11</c:name>
    <c:fmtId val="38"/>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Location coverage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bar3DChart>
        <c:barDir val="col"/>
        <c:grouping val="stacked"/>
        <c:varyColors val="0"/>
        <c:ser>
          <c:idx val="0"/>
          <c:order val="0"/>
          <c:tx>
            <c:strRef>
              <c:f>SituationAnalysis!$C$589:$C$590</c:f>
              <c:strCache>
                <c:ptCount val="1"/>
                <c:pt idx="0">
                  <c:v>Covered</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SituationAnalysis!$B$591:$B$593</c:f>
              <c:strCache>
                <c:ptCount val="2"/>
                <c:pt idx="0">
                  <c:v>GCA</c:v>
                </c:pt>
                <c:pt idx="1">
                  <c:v>NGCA</c:v>
                </c:pt>
              </c:strCache>
            </c:strRef>
          </c:cat>
          <c:val>
            <c:numRef>
              <c:f>SituationAnalysis!$C$591:$C$593</c:f>
              <c:numCache>
                <c:formatCode>0</c:formatCode>
                <c:ptCount val="2"/>
                <c:pt idx="0">
                  <c:v>96</c:v>
                </c:pt>
                <c:pt idx="1">
                  <c:v>9</c:v>
                </c:pt>
              </c:numCache>
            </c:numRef>
          </c:val>
        </c:ser>
        <c:ser>
          <c:idx val="1"/>
          <c:order val="1"/>
          <c:tx>
            <c:strRef>
              <c:f>SituationAnalysis!$D$589:$D$590</c:f>
              <c:strCache>
                <c:ptCount val="1"/>
                <c:pt idx="0">
                  <c:v>Not covered</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SituationAnalysis!$B$591:$B$593</c:f>
              <c:strCache>
                <c:ptCount val="2"/>
                <c:pt idx="0">
                  <c:v>GCA</c:v>
                </c:pt>
                <c:pt idx="1">
                  <c:v>NGCA</c:v>
                </c:pt>
              </c:strCache>
            </c:strRef>
          </c:cat>
          <c:val>
            <c:numRef>
              <c:f>SituationAnalysis!$D$591:$D$593</c:f>
              <c:numCache>
                <c:formatCode>0</c:formatCode>
                <c:ptCount val="2"/>
                <c:pt idx="0">
                  <c:v>46</c:v>
                </c:pt>
                <c:pt idx="1">
                  <c:v>16</c:v>
                </c:pt>
              </c:numCache>
            </c:numRef>
          </c:val>
        </c:ser>
        <c:dLbls>
          <c:showLegendKey val="0"/>
          <c:showVal val="1"/>
          <c:showCatName val="0"/>
          <c:showSerName val="0"/>
          <c:showPercent val="0"/>
          <c:showBubbleSize val="0"/>
        </c:dLbls>
        <c:gapWidth val="150"/>
        <c:shape val="box"/>
        <c:axId val="229344208"/>
        <c:axId val="229344600"/>
        <c:axId val="0"/>
      </c:bar3DChart>
      <c:catAx>
        <c:axId val="22934420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344600"/>
        <c:crosses val="autoZero"/>
        <c:auto val="1"/>
        <c:lblAlgn val="ctr"/>
        <c:lblOffset val="100"/>
        <c:noMultiLvlLbl val="0"/>
      </c:catAx>
      <c:valAx>
        <c:axId val="2293446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344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a:scene3d>
      <a:camera prst="orthographicFront"/>
      <a:lightRig rig="threePt" dir="t"/>
    </a:scene3d>
    <a:sp3d>
      <a:bevelT prst="relaxedInset"/>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2015.xlsx]Funds analysis!PivotTable5</c:name>
    <c:fmtId val="16"/>
  </c:pivotSource>
  <c:chart>
    <c:title>
      <c:tx>
        <c:rich>
          <a:bodyPr/>
          <a:lstStyle/>
          <a:p>
            <a:pPr>
              <a:defRPr sz="800"/>
            </a:pPr>
            <a:r>
              <a:rPr lang="en-US" sz="800"/>
              <a:t>APPROXIMATE FUND</a:t>
            </a:r>
            <a:r>
              <a:rPr lang="en-US" sz="800" baseline="0"/>
              <a:t> </a:t>
            </a:r>
            <a:r>
              <a:rPr lang="en-US" sz="800"/>
              <a:t>ENGAGED PER YEAR (US$)</a:t>
            </a:r>
          </a:p>
        </c:rich>
      </c:tx>
      <c:layout>
        <c:manualLayout>
          <c:xMode val="edge"/>
          <c:yMode val="edge"/>
          <c:x val="0.16547852654064929"/>
          <c:y val="1.8912515468799563E-2"/>
        </c:manualLayout>
      </c:layout>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pivotFmt>
      <c:pivotFmt>
        <c:idx val="11"/>
        <c:marker>
          <c:symbol val="none"/>
        </c:marker>
      </c:pivotFmt>
      <c:pivotFmt>
        <c:idx val="12"/>
        <c:marker>
          <c:symbol val="none"/>
        </c:marker>
      </c:pivotFmt>
      <c:pivotFmt>
        <c:idx val="13"/>
        <c:marker>
          <c:symbol val="none"/>
        </c:marker>
      </c:pivotFmt>
      <c:pivotFmt>
        <c:idx val="14"/>
        <c:marker>
          <c:symbol val="none"/>
        </c:marker>
      </c:pivotFmt>
      <c:pivotFmt>
        <c:idx val="15"/>
        <c:marker>
          <c:symbol val="none"/>
        </c:marker>
      </c:pivotFmt>
      <c:pivotFmt>
        <c:idx val="16"/>
        <c:marker>
          <c:symbol val="none"/>
        </c:marker>
      </c:pivotFmt>
      <c:pivotFmt>
        <c:idx val="17"/>
        <c:marker>
          <c:symbol val="none"/>
        </c:marker>
      </c:pivotFmt>
      <c:pivotFmt>
        <c:idx val="18"/>
        <c:marker>
          <c:symbol val="none"/>
        </c:marker>
      </c:pivotFmt>
      <c:pivotFmt>
        <c:idx val="19"/>
        <c:marker>
          <c:symbol val="none"/>
        </c:marker>
      </c:pivotFmt>
      <c:pivotFmt>
        <c:idx val="20"/>
        <c:marker>
          <c:symbol val="none"/>
        </c:marker>
      </c:pivotFmt>
      <c:pivotFmt>
        <c:idx val="21"/>
        <c:marker>
          <c:symbol val="none"/>
        </c:marker>
      </c:pivotFmt>
      <c:pivotFmt>
        <c:idx val="22"/>
        <c:marker>
          <c:symbol val="none"/>
        </c:marker>
      </c:pivotFmt>
      <c:pivotFmt>
        <c:idx val="23"/>
        <c:marker>
          <c:symbol val="none"/>
        </c:marker>
      </c:pivotFmt>
      <c:pivotFmt>
        <c:idx val="24"/>
        <c:marker>
          <c:symbol val="none"/>
        </c:marker>
      </c:pivotFmt>
      <c:pivotFmt>
        <c:idx val="25"/>
        <c:marker>
          <c:symbol val="none"/>
        </c:marker>
      </c:pivotFmt>
      <c:pivotFmt>
        <c:idx val="26"/>
        <c:marker>
          <c:symbol val="none"/>
        </c:marker>
      </c:pivotFmt>
      <c:pivotFmt>
        <c:idx val="27"/>
        <c:marker>
          <c:symbol val="none"/>
        </c:marker>
      </c:pivotFmt>
      <c:pivotFmt>
        <c:idx val="28"/>
        <c:marker>
          <c:symbol val="none"/>
        </c:marker>
      </c:pivotFmt>
      <c:pivotFmt>
        <c:idx val="29"/>
        <c:marker>
          <c:symbol val="none"/>
        </c:marker>
      </c:pivotFmt>
      <c:pivotFmt>
        <c:idx val="30"/>
        <c:marker>
          <c:symbol val="none"/>
        </c:marker>
      </c:pivotFmt>
      <c:pivotFmt>
        <c:idx val="31"/>
        <c:marker>
          <c:symbol val="none"/>
        </c:marker>
      </c:pivotFmt>
      <c:pivotFmt>
        <c:idx val="32"/>
        <c:marker>
          <c:symbol val="none"/>
        </c:marker>
      </c:pivotFmt>
      <c:pivotFmt>
        <c:idx val="33"/>
        <c:marker>
          <c:symbol val="none"/>
        </c:marker>
      </c:pivotFmt>
      <c:pivotFmt>
        <c:idx val="34"/>
        <c:marker>
          <c:symbol val="none"/>
        </c:marker>
      </c:pivotFmt>
      <c:pivotFmt>
        <c:idx val="35"/>
        <c:marker>
          <c:symbol val="none"/>
        </c:marker>
      </c:pivotFmt>
      <c:pivotFmt>
        <c:idx val="36"/>
        <c:marker>
          <c:symbol val="none"/>
        </c:marker>
      </c:pivotFmt>
      <c:pivotFmt>
        <c:idx val="37"/>
        <c:marker>
          <c:symbol val="none"/>
        </c:marker>
      </c:pivotFmt>
    </c:pivotFmts>
    <c:view3D>
      <c:rotX val="15"/>
      <c:rotY val="20"/>
      <c:depthPercent val="100"/>
      <c:rAngAx val="1"/>
    </c:view3D>
    <c:floor>
      <c:thickness val="0"/>
      <c:spPr>
        <a:solidFill>
          <a:schemeClr val="bg1">
            <a:lumMod val="65000"/>
          </a:schemeClr>
        </a:solidFill>
      </c:spPr>
    </c:floor>
    <c:sideWall>
      <c:thickness val="0"/>
      <c:spPr>
        <a:solidFill>
          <a:schemeClr val="bg1">
            <a:lumMod val="65000"/>
          </a:schemeClr>
        </a:solidFill>
      </c:spPr>
    </c:sideWall>
    <c:backWall>
      <c:thickness val="0"/>
      <c:spPr>
        <a:solidFill>
          <a:schemeClr val="bg1">
            <a:lumMod val="65000"/>
          </a:schemeClr>
        </a:solidFill>
      </c:spPr>
    </c:backWall>
    <c:plotArea>
      <c:layout>
        <c:manualLayout>
          <c:layoutTarget val="inner"/>
          <c:xMode val="edge"/>
          <c:yMode val="edge"/>
          <c:x val="3.4089458964377171E-2"/>
          <c:y val="0.13786404730809382"/>
          <c:w val="0.84323099191474149"/>
          <c:h val="0.74265650851137655"/>
        </c:manualLayout>
      </c:layout>
      <c:bar3DChart>
        <c:barDir val="col"/>
        <c:grouping val="stacked"/>
        <c:varyColors val="0"/>
        <c:ser>
          <c:idx val="0"/>
          <c:order val="0"/>
          <c:tx>
            <c:strRef>
              <c:f>'Funds analysis'!$C$69:$C$70</c:f>
              <c:strCache>
                <c:ptCount val="1"/>
                <c:pt idx="0">
                  <c:v>ECHO</c:v>
                </c:pt>
              </c:strCache>
            </c:strRef>
          </c:tx>
          <c:invertIfNegative val="0"/>
          <c:cat>
            <c:strRef>
              <c:f>'Funds analysis'!$B$71:$B$73</c:f>
              <c:strCache>
                <c:ptCount val="3"/>
                <c:pt idx="0">
                  <c:v>Before 2014</c:v>
                </c:pt>
                <c:pt idx="1">
                  <c:v>2014</c:v>
                </c:pt>
                <c:pt idx="2">
                  <c:v>2015</c:v>
                </c:pt>
              </c:strCache>
            </c:strRef>
          </c:cat>
          <c:val>
            <c:numRef>
              <c:f>'Funds analysis'!$C$71:$C$73</c:f>
              <c:numCache>
                <c:formatCode>#,##0</c:formatCode>
                <c:ptCount val="3"/>
                <c:pt idx="0">
                  <c:v>2174530.0636635181</c:v>
                </c:pt>
                <c:pt idx="1">
                  <c:v>1331418.2826844645</c:v>
                </c:pt>
                <c:pt idx="2">
                  <c:v>923764.65365201782</c:v>
                </c:pt>
              </c:numCache>
            </c:numRef>
          </c:val>
        </c:ser>
        <c:ser>
          <c:idx val="1"/>
          <c:order val="1"/>
          <c:tx>
            <c:strRef>
              <c:f>'Funds analysis'!$D$69:$D$70</c:f>
              <c:strCache>
                <c:ptCount val="1"/>
                <c:pt idx="0">
                  <c:v>Germany</c:v>
                </c:pt>
              </c:strCache>
            </c:strRef>
          </c:tx>
          <c:invertIfNegative val="0"/>
          <c:cat>
            <c:strRef>
              <c:f>'Funds analysis'!$B$71:$B$73</c:f>
              <c:strCache>
                <c:ptCount val="3"/>
                <c:pt idx="0">
                  <c:v>Before 2014</c:v>
                </c:pt>
                <c:pt idx="1">
                  <c:v>2014</c:v>
                </c:pt>
                <c:pt idx="2">
                  <c:v>2015</c:v>
                </c:pt>
              </c:strCache>
            </c:strRef>
          </c:cat>
          <c:val>
            <c:numRef>
              <c:f>'Funds analysis'!$D$71:$D$73</c:f>
              <c:numCache>
                <c:formatCode>#,##0</c:formatCode>
                <c:ptCount val="3"/>
                <c:pt idx="0">
                  <c:v>338770</c:v>
                </c:pt>
                <c:pt idx="1">
                  <c:v>0</c:v>
                </c:pt>
                <c:pt idx="2">
                  <c:v>75653</c:v>
                </c:pt>
              </c:numCache>
            </c:numRef>
          </c:val>
        </c:ser>
        <c:ser>
          <c:idx val="2"/>
          <c:order val="2"/>
          <c:tx>
            <c:strRef>
              <c:f>'Funds analysis'!$E$69:$E$70</c:f>
              <c:strCache>
                <c:ptCount val="1"/>
                <c:pt idx="0">
                  <c:v>OFDA</c:v>
                </c:pt>
              </c:strCache>
            </c:strRef>
          </c:tx>
          <c:invertIfNegative val="0"/>
          <c:cat>
            <c:strRef>
              <c:f>'Funds analysis'!$B$71:$B$73</c:f>
              <c:strCache>
                <c:ptCount val="3"/>
                <c:pt idx="0">
                  <c:v>Before 2014</c:v>
                </c:pt>
                <c:pt idx="1">
                  <c:v>2014</c:v>
                </c:pt>
                <c:pt idx="2">
                  <c:v>2015</c:v>
                </c:pt>
              </c:strCache>
            </c:strRef>
          </c:cat>
          <c:val>
            <c:numRef>
              <c:f>'Funds analysis'!$E$71:$E$73</c:f>
              <c:numCache>
                <c:formatCode>#,##0</c:formatCode>
                <c:ptCount val="3"/>
                <c:pt idx="0">
                  <c:v>1067394.5833333333</c:v>
                </c:pt>
                <c:pt idx="1">
                  <c:v>968695.31498302927</c:v>
                </c:pt>
                <c:pt idx="2">
                  <c:v>1725089.1016836374</c:v>
                </c:pt>
              </c:numCache>
            </c:numRef>
          </c:val>
        </c:ser>
        <c:ser>
          <c:idx val="3"/>
          <c:order val="3"/>
          <c:tx>
            <c:strRef>
              <c:f>'Funds analysis'!$F$69:$F$70</c:f>
              <c:strCache>
                <c:ptCount val="1"/>
                <c:pt idx="0">
                  <c:v>CERF</c:v>
                </c:pt>
              </c:strCache>
            </c:strRef>
          </c:tx>
          <c:invertIfNegative val="0"/>
          <c:cat>
            <c:strRef>
              <c:f>'Funds analysis'!$B$71:$B$73</c:f>
              <c:strCache>
                <c:ptCount val="3"/>
                <c:pt idx="0">
                  <c:v>Before 2014</c:v>
                </c:pt>
                <c:pt idx="1">
                  <c:v>2014</c:v>
                </c:pt>
                <c:pt idx="2">
                  <c:v>2015</c:v>
                </c:pt>
              </c:strCache>
            </c:strRef>
          </c:cat>
          <c:val>
            <c:numRef>
              <c:f>'Funds analysis'!$F$71:$F$73</c:f>
              <c:numCache>
                <c:formatCode>#,##0</c:formatCode>
                <c:ptCount val="3"/>
                <c:pt idx="0">
                  <c:v>1172664.4566898956</c:v>
                </c:pt>
                <c:pt idx="1">
                  <c:v>1022388.1533101045</c:v>
                </c:pt>
                <c:pt idx="2">
                  <c:v>0</c:v>
                </c:pt>
              </c:numCache>
            </c:numRef>
          </c:val>
        </c:ser>
        <c:ser>
          <c:idx val="4"/>
          <c:order val="4"/>
          <c:tx>
            <c:strRef>
              <c:f>'Funds analysis'!$G$69:$G$70</c:f>
              <c:strCache>
                <c:ptCount val="1"/>
                <c:pt idx="0">
                  <c:v>Canada</c:v>
                </c:pt>
              </c:strCache>
            </c:strRef>
          </c:tx>
          <c:invertIfNegative val="0"/>
          <c:cat>
            <c:strRef>
              <c:f>'Funds analysis'!$B$71:$B$73</c:f>
              <c:strCache>
                <c:ptCount val="3"/>
                <c:pt idx="0">
                  <c:v>Before 2014</c:v>
                </c:pt>
                <c:pt idx="1">
                  <c:v>2014</c:v>
                </c:pt>
                <c:pt idx="2">
                  <c:v>2015</c:v>
                </c:pt>
              </c:strCache>
            </c:strRef>
          </c:cat>
          <c:val>
            <c:numRef>
              <c:f>'Funds analysis'!$G$71:$G$73</c:f>
              <c:numCache>
                <c:formatCode>#,##0</c:formatCode>
                <c:ptCount val="3"/>
                <c:pt idx="0">
                  <c:v>292113</c:v>
                </c:pt>
                <c:pt idx="1">
                  <c:v>0</c:v>
                </c:pt>
                <c:pt idx="2">
                  <c:v>0</c:v>
                </c:pt>
              </c:numCache>
            </c:numRef>
          </c:val>
        </c:ser>
        <c:ser>
          <c:idx val="5"/>
          <c:order val="5"/>
          <c:tx>
            <c:strRef>
              <c:f>'Funds analysis'!$H$69:$H$70</c:f>
              <c:strCache>
                <c:ptCount val="1"/>
                <c:pt idx="0">
                  <c:v>Australian</c:v>
                </c:pt>
              </c:strCache>
            </c:strRef>
          </c:tx>
          <c:invertIfNegative val="0"/>
          <c:cat>
            <c:strRef>
              <c:f>'Funds analysis'!$B$71:$B$73</c:f>
              <c:strCache>
                <c:ptCount val="3"/>
                <c:pt idx="0">
                  <c:v>Before 2014</c:v>
                </c:pt>
                <c:pt idx="1">
                  <c:v>2014</c:v>
                </c:pt>
                <c:pt idx="2">
                  <c:v>2015</c:v>
                </c:pt>
              </c:strCache>
            </c:strRef>
          </c:cat>
          <c:val>
            <c:numRef>
              <c:f>'Funds analysis'!$H$71:$H$73</c:f>
              <c:numCache>
                <c:formatCode>#,##0</c:formatCode>
                <c:ptCount val="3"/>
                <c:pt idx="0">
                  <c:v>414065.16519823787</c:v>
                </c:pt>
                <c:pt idx="1">
                  <c:v>100963.83480176212</c:v>
                </c:pt>
                <c:pt idx="2">
                  <c:v>0</c:v>
                </c:pt>
              </c:numCache>
            </c:numRef>
          </c:val>
        </c:ser>
        <c:ser>
          <c:idx val="6"/>
          <c:order val="6"/>
          <c:tx>
            <c:strRef>
              <c:f>'Funds analysis'!$I$69:$I$70</c:f>
              <c:strCache>
                <c:ptCount val="1"/>
                <c:pt idx="0">
                  <c:v>France</c:v>
                </c:pt>
              </c:strCache>
            </c:strRef>
          </c:tx>
          <c:invertIfNegative val="0"/>
          <c:cat>
            <c:strRef>
              <c:f>'Funds analysis'!$B$71:$B$73</c:f>
              <c:strCache>
                <c:ptCount val="3"/>
                <c:pt idx="0">
                  <c:v>Before 2014</c:v>
                </c:pt>
                <c:pt idx="1">
                  <c:v>2014</c:v>
                </c:pt>
                <c:pt idx="2">
                  <c:v>2015</c:v>
                </c:pt>
              </c:strCache>
            </c:strRef>
          </c:cat>
          <c:val>
            <c:numRef>
              <c:f>'Funds analysis'!$I$71:$I$73</c:f>
              <c:numCache>
                <c:formatCode>#,##0</c:formatCode>
                <c:ptCount val="3"/>
                <c:pt idx="0">
                  <c:v>197000</c:v>
                </c:pt>
                <c:pt idx="1">
                  <c:v>0</c:v>
                </c:pt>
                <c:pt idx="2">
                  <c:v>0</c:v>
                </c:pt>
              </c:numCache>
            </c:numRef>
          </c:val>
        </c:ser>
        <c:ser>
          <c:idx val="7"/>
          <c:order val="7"/>
          <c:tx>
            <c:strRef>
              <c:f>'Funds analysis'!$J$69:$J$70</c:f>
              <c:strCache>
                <c:ptCount val="1"/>
                <c:pt idx="0">
                  <c:v>Sweden</c:v>
                </c:pt>
              </c:strCache>
            </c:strRef>
          </c:tx>
          <c:invertIfNegative val="0"/>
          <c:cat>
            <c:strRef>
              <c:f>'Funds analysis'!$B$71:$B$73</c:f>
              <c:strCache>
                <c:ptCount val="3"/>
                <c:pt idx="0">
                  <c:v>Before 2014</c:v>
                </c:pt>
                <c:pt idx="1">
                  <c:v>2014</c:v>
                </c:pt>
                <c:pt idx="2">
                  <c:v>2015</c:v>
                </c:pt>
              </c:strCache>
            </c:strRef>
          </c:cat>
          <c:val>
            <c:numRef>
              <c:f>'Funds analysis'!$J$71:$J$73</c:f>
              <c:numCache>
                <c:formatCode>#,##0</c:formatCode>
                <c:ptCount val="3"/>
                <c:pt idx="0">
                  <c:v>106270</c:v>
                </c:pt>
                <c:pt idx="1">
                  <c:v>50000</c:v>
                </c:pt>
                <c:pt idx="2">
                  <c:v>0</c:v>
                </c:pt>
              </c:numCache>
            </c:numRef>
          </c:val>
        </c:ser>
        <c:ser>
          <c:idx val="8"/>
          <c:order val="8"/>
          <c:tx>
            <c:strRef>
              <c:f>'Funds analysis'!$K$69:$K$70</c:f>
              <c:strCache>
                <c:ptCount val="1"/>
                <c:pt idx="0">
                  <c:v>CIDA</c:v>
                </c:pt>
              </c:strCache>
            </c:strRef>
          </c:tx>
          <c:invertIfNegative val="0"/>
          <c:cat>
            <c:strRef>
              <c:f>'Funds analysis'!$B$71:$B$73</c:f>
              <c:strCache>
                <c:ptCount val="3"/>
                <c:pt idx="0">
                  <c:v>Before 2014</c:v>
                </c:pt>
                <c:pt idx="1">
                  <c:v>2014</c:v>
                </c:pt>
                <c:pt idx="2">
                  <c:v>2015</c:v>
                </c:pt>
              </c:strCache>
            </c:strRef>
          </c:cat>
          <c:val>
            <c:numRef>
              <c:f>'Funds analysis'!$K$71:$K$73</c:f>
              <c:numCache>
                <c:formatCode>#,##0</c:formatCode>
                <c:ptCount val="3"/>
                <c:pt idx="0">
                  <c:v>153948.79955947137</c:v>
                </c:pt>
                <c:pt idx="1">
                  <c:v>37538.200440528635</c:v>
                </c:pt>
                <c:pt idx="2">
                  <c:v>205305</c:v>
                </c:pt>
              </c:numCache>
            </c:numRef>
          </c:val>
        </c:ser>
        <c:ser>
          <c:idx val="9"/>
          <c:order val="9"/>
          <c:tx>
            <c:strRef>
              <c:f>'Funds analysis'!$L$69:$L$70</c:f>
              <c:strCache>
                <c:ptCount val="1"/>
                <c:pt idx="0">
                  <c:v>Japan</c:v>
                </c:pt>
              </c:strCache>
            </c:strRef>
          </c:tx>
          <c:invertIfNegative val="0"/>
          <c:cat>
            <c:strRef>
              <c:f>'Funds analysis'!$B$71:$B$73</c:f>
              <c:strCache>
                <c:ptCount val="3"/>
                <c:pt idx="0">
                  <c:v>Before 2014</c:v>
                </c:pt>
                <c:pt idx="1">
                  <c:v>2014</c:v>
                </c:pt>
                <c:pt idx="2">
                  <c:v>2015</c:v>
                </c:pt>
              </c:strCache>
            </c:strRef>
          </c:cat>
          <c:val>
            <c:numRef>
              <c:f>'Funds analysis'!$L$71:$L$73</c:f>
              <c:numCache>
                <c:formatCode>#,##0</c:formatCode>
                <c:ptCount val="3"/>
                <c:pt idx="0">
                  <c:v>0</c:v>
                </c:pt>
                <c:pt idx="1">
                  <c:v>564560.43956043955</c:v>
                </c:pt>
                <c:pt idx="2">
                  <c:v>185439.56043956045</c:v>
                </c:pt>
              </c:numCache>
            </c:numRef>
          </c:val>
        </c:ser>
        <c:ser>
          <c:idx val="10"/>
          <c:order val="10"/>
          <c:tx>
            <c:strRef>
              <c:f>'Funds analysis'!$M$69:$M$70</c:f>
              <c:strCache>
                <c:ptCount val="1"/>
                <c:pt idx="0">
                  <c:v>SC seed funding</c:v>
                </c:pt>
              </c:strCache>
            </c:strRef>
          </c:tx>
          <c:invertIfNegative val="0"/>
          <c:cat>
            <c:strRef>
              <c:f>'Funds analysis'!$B$71:$B$73</c:f>
              <c:strCache>
                <c:ptCount val="3"/>
                <c:pt idx="0">
                  <c:v>Before 2014</c:v>
                </c:pt>
                <c:pt idx="1">
                  <c:v>2014</c:v>
                </c:pt>
                <c:pt idx="2">
                  <c:v>2015</c:v>
                </c:pt>
              </c:strCache>
            </c:strRef>
          </c:cat>
          <c:val>
            <c:numRef>
              <c:f>'Funds analysis'!$M$71:$M$73</c:f>
              <c:numCache>
                <c:formatCode>#,##0</c:formatCode>
                <c:ptCount val="3"/>
                <c:pt idx="0">
                  <c:v>0</c:v>
                </c:pt>
                <c:pt idx="1">
                  <c:v>17000</c:v>
                </c:pt>
                <c:pt idx="2">
                  <c:v>0</c:v>
                </c:pt>
              </c:numCache>
            </c:numRef>
          </c:val>
        </c:ser>
        <c:ser>
          <c:idx val="11"/>
          <c:order val="11"/>
          <c:tx>
            <c:strRef>
              <c:f>'Funds analysis'!$N$69:$N$70</c:f>
              <c:strCache>
                <c:ptCount val="1"/>
                <c:pt idx="0">
                  <c:v>SIDA</c:v>
                </c:pt>
              </c:strCache>
            </c:strRef>
          </c:tx>
          <c:invertIfNegative val="0"/>
          <c:cat>
            <c:strRef>
              <c:f>'Funds analysis'!$B$71:$B$73</c:f>
              <c:strCache>
                <c:ptCount val="3"/>
                <c:pt idx="0">
                  <c:v>Before 2014</c:v>
                </c:pt>
                <c:pt idx="1">
                  <c:v>2014</c:v>
                </c:pt>
                <c:pt idx="2">
                  <c:v>2015</c:v>
                </c:pt>
              </c:strCache>
            </c:strRef>
          </c:cat>
          <c:val>
            <c:numRef>
              <c:f>'Funds analysis'!$N$71:$N$73</c:f>
              <c:numCache>
                <c:formatCode>#,##0</c:formatCode>
                <c:ptCount val="3"/>
                <c:pt idx="0">
                  <c:v>0</c:v>
                </c:pt>
                <c:pt idx="1">
                  <c:v>80400</c:v>
                </c:pt>
                <c:pt idx="2">
                  <c:v>0</c:v>
                </c:pt>
              </c:numCache>
            </c:numRef>
          </c:val>
        </c:ser>
        <c:ser>
          <c:idx val="12"/>
          <c:order val="12"/>
          <c:tx>
            <c:strRef>
              <c:f>'Funds analysis'!$O$69:$O$70</c:f>
              <c:strCache>
                <c:ptCount val="1"/>
                <c:pt idx="0">
                  <c:v>Start fund</c:v>
                </c:pt>
              </c:strCache>
            </c:strRef>
          </c:tx>
          <c:invertIfNegative val="0"/>
          <c:cat>
            <c:strRef>
              <c:f>'Funds analysis'!$B$71:$B$73</c:f>
              <c:strCache>
                <c:ptCount val="3"/>
                <c:pt idx="0">
                  <c:v>Before 2014</c:v>
                </c:pt>
                <c:pt idx="1">
                  <c:v>2014</c:v>
                </c:pt>
                <c:pt idx="2">
                  <c:v>2015</c:v>
                </c:pt>
              </c:strCache>
            </c:strRef>
          </c:cat>
          <c:val>
            <c:numRef>
              <c:f>'Funds analysis'!$O$71:$O$73</c:f>
              <c:numCache>
                <c:formatCode>#,##0</c:formatCode>
                <c:ptCount val="3"/>
                <c:pt idx="0">
                  <c:v>0</c:v>
                </c:pt>
                <c:pt idx="1">
                  <c:v>43482</c:v>
                </c:pt>
                <c:pt idx="2">
                  <c:v>0</c:v>
                </c:pt>
              </c:numCache>
            </c:numRef>
          </c:val>
        </c:ser>
        <c:ser>
          <c:idx val="13"/>
          <c:order val="13"/>
          <c:tx>
            <c:strRef>
              <c:f>'Funds analysis'!$P$69:$P$70</c:f>
              <c:strCache>
                <c:ptCount val="1"/>
                <c:pt idx="0">
                  <c:v>DFAT</c:v>
                </c:pt>
              </c:strCache>
            </c:strRef>
          </c:tx>
          <c:invertIfNegative val="0"/>
          <c:cat>
            <c:strRef>
              <c:f>'Funds analysis'!$B$71:$B$73</c:f>
              <c:strCache>
                <c:ptCount val="3"/>
                <c:pt idx="0">
                  <c:v>Before 2014</c:v>
                </c:pt>
                <c:pt idx="1">
                  <c:v>2014</c:v>
                </c:pt>
                <c:pt idx="2">
                  <c:v>2015</c:v>
                </c:pt>
              </c:strCache>
            </c:strRef>
          </c:cat>
          <c:val>
            <c:numRef>
              <c:f>'Funds analysis'!$P$71:$P$73</c:f>
              <c:numCache>
                <c:formatCode>#,##0</c:formatCode>
                <c:ptCount val="3"/>
                <c:pt idx="0">
                  <c:v>0</c:v>
                </c:pt>
                <c:pt idx="1">
                  <c:v>439801.04303797468</c:v>
                </c:pt>
                <c:pt idx="2">
                  <c:v>272171.95696202532</c:v>
                </c:pt>
              </c:numCache>
            </c:numRef>
          </c:val>
        </c:ser>
        <c:ser>
          <c:idx val="14"/>
          <c:order val="14"/>
          <c:tx>
            <c:strRef>
              <c:f>'Funds analysis'!$Q$69:$Q$70</c:f>
              <c:strCache>
                <c:ptCount val="1"/>
                <c:pt idx="0">
                  <c:v>ERF</c:v>
                </c:pt>
              </c:strCache>
            </c:strRef>
          </c:tx>
          <c:invertIfNegative val="0"/>
          <c:cat>
            <c:strRef>
              <c:f>'Funds analysis'!$B$71:$B$73</c:f>
              <c:strCache>
                <c:ptCount val="3"/>
                <c:pt idx="0">
                  <c:v>Before 2014</c:v>
                </c:pt>
                <c:pt idx="1">
                  <c:v>2014</c:v>
                </c:pt>
                <c:pt idx="2">
                  <c:v>2015</c:v>
                </c:pt>
              </c:strCache>
            </c:strRef>
          </c:cat>
          <c:val>
            <c:numRef>
              <c:f>'Funds analysis'!$Q$71:$Q$73</c:f>
              <c:numCache>
                <c:formatCode>#,##0</c:formatCode>
                <c:ptCount val="3"/>
                <c:pt idx="0">
                  <c:v>0</c:v>
                </c:pt>
                <c:pt idx="1">
                  <c:v>161000.81218274112</c:v>
                </c:pt>
                <c:pt idx="2">
                  <c:v>185134.18781725888</c:v>
                </c:pt>
              </c:numCache>
            </c:numRef>
          </c:val>
        </c:ser>
        <c:ser>
          <c:idx val="15"/>
          <c:order val="15"/>
          <c:tx>
            <c:strRef>
              <c:f>'Funds analysis'!$R$69:$R$70</c:f>
              <c:strCache>
                <c:ptCount val="1"/>
                <c:pt idx="0">
                  <c:v>FCA</c:v>
                </c:pt>
              </c:strCache>
            </c:strRef>
          </c:tx>
          <c:invertIfNegative val="0"/>
          <c:cat>
            <c:strRef>
              <c:f>'Funds analysis'!$B$71:$B$73</c:f>
              <c:strCache>
                <c:ptCount val="3"/>
                <c:pt idx="0">
                  <c:v>Before 2014</c:v>
                </c:pt>
                <c:pt idx="1">
                  <c:v>2014</c:v>
                </c:pt>
                <c:pt idx="2">
                  <c:v>2015</c:v>
                </c:pt>
              </c:strCache>
            </c:strRef>
          </c:cat>
          <c:val>
            <c:numRef>
              <c:f>'Funds analysis'!$R$71:$R$73</c:f>
              <c:numCache>
                <c:formatCode>#,##0</c:formatCode>
                <c:ptCount val="3"/>
                <c:pt idx="0">
                  <c:v>0</c:v>
                </c:pt>
                <c:pt idx="1">
                  <c:v>0</c:v>
                </c:pt>
                <c:pt idx="2">
                  <c:v>400000</c:v>
                </c:pt>
              </c:numCache>
            </c:numRef>
          </c:val>
        </c:ser>
        <c:ser>
          <c:idx val="16"/>
          <c:order val="16"/>
          <c:tx>
            <c:strRef>
              <c:f>'Funds analysis'!$S$69:$S$70</c:f>
              <c:strCache>
                <c:ptCount val="1"/>
                <c:pt idx="0">
                  <c:v>HIDA( HOPE)</c:v>
                </c:pt>
              </c:strCache>
            </c:strRef>
          </c:tx>
          <c:invertIfNegative val="0"/>
          <c:cat>
            <c:strRef>
              <c:f>'Funds analysis'!$B$71:$B$73</c:f>
              <c:strCache>
                <c:ptCount val="3"/>
                <c:pt idx="0">
                  <c:v>Before 2014</c:v>
                </c:pt>
                <c:pt idx="1">
                  <c:v>2014</c:v>
                </c:pt>
                <c:pt idx="2">
                  <c:v>2015</c:v>
                </c:pt>
              </c:strCache>
            </c:strRef>
          </c:cat>
          <c:val>
            <c:numRef>
              <c:f>'Funds analysis'!$S$71:$S$73</c:f>
              <c:numCache>
                <c:formatCode>#,##0</c:formatCode>
                <c:ptCount val="3"/>
                <c:pt idx="0">
                  <c:v>0</c:v>
                </c:pt>
                <c:pt idx="1">
                  <c:v>0</c:v>
                </c:pt>
                <c:pt idx="2">
                  <c:v>0</c:v>
                </c:pt>
              </c:numCache>
            </c:numRef>
          </c:val>
        </c:ser>
        <c:ser>
          <c:idx val="17"/>
          <c:order val="17"/>
          <c:tx>
            <c:strRef>
              <c:f>'Funds analysis'!$T$69:$T$70</c:f>
              <c:strCache>
                <c:ptCount val="1"/>
                <c:pt idx="0">
                  <c:v>DIFID</c:v>
                </c:pt>
              </c:strCache>
            </c:strRef>
          </c:tx>
          <c:invertIfNegative val="0"/>
          <c:cat>
            <c:strRef>
              <c:f>'Funds analysis'!$B$71:$B$73</c:f>
              <c:strCache>
                <c:ptCount val="3"/>
                <c:pt idx="0">
                  <c:v>Before 2014</c:v>
                </c:pt>
                <c:pt idx="1">
                  <c:v>2014</c:v>
                </c:pt>
                <c:pt idx="2">
                  <c:v>2015</c:v>
                </c:pt>
              </c:strCache>
            </c:strRef>
          </c:cat>
          <c:val>
            <c:numRef>
              <c:f>'Funds analysis'!$T$71:$T$73</c:f>
              <c:numCache>
                <c:formatCode>#,##0</c:formatCode>
                <c:ptCount val="3"/>
                <c:pt idx="0">
                  <c:v>165239.41391941393</c:v>
                </c:pt>
                <c:pt idx="1">
                  <c:v>79925.586080586087</c:v>
                </c:pt>
                <c:pt idx="2">
                  <c:v>154118</c:v>
                </c:pt>
              </c:numCache>
            </c:numRef>
          </c:val>
        </c:ser>
        <c:dLbls>
          <c:showLegendKey val="0"/>
          <c:showVal val="0"/>
          <c:showCatName val="0"/>
          <c:showSerName val="0"/>
          <c:showPercent val="0"/>
          <c:showBubbleSize val="0"/>
        </c:dLbls>
        <c:gapWidth val="150"/>
        <c:shape val="box"/>
        <c:axId val="202573856"/>
        <c:axId val="202247216"/>
        <c:axId val="0"/>
      </c:bar3DChart>
      <c:catAx>
        <c:axId val="202573856"/>
        <c:scaling>
          <c:orientation val="minMax"/>
        </c:scaling>
        <c:delete val="0"/>
        <c:axPos val="b"/>
        <c:numFmt formatCode="General" sourceLinked="1"/>
        <c:majorTickMark val="out"/>
        <c:minorTickMark val="none"/>
        <c:tickLblPos val="nextTo"/>
        <c:crossAx val="202247216"/>
        <c:crosses val="autoZero"/>
        <c:auto val="0"/>
        <c:lblAlgn val="ctr"/>
        <c:lblOffset val="100"/>
        <c:noMultiLvlLbl val="0"/>
      </c:catAx>
      <c:valAx>
        <c:axId val="202247216"/>
        <c:scaling>
          <c:orientation val="minMax"/>
          <c:max val="8000000"/>
        </c:scaling>
        <c:delete val="0"/>
        <c:axPos val="l"/>
        <c:majorGridlines/>
        <c:numFmt formatCode="#,##0" sourceLinked="0"/>
        <c:majorTickMark val="out"/>
        <c:minorTickMark val="none"/>
        <c:tickLblPos val="nextTo"/>
        <c:crossAx val="202573856"/>
        <c:crosses val="autoZero"/>
        <c:crossBetween val="between"/>
        <c:dispUnits>
          <c:builtInUnit val="millions"/>
          <c:dispUnitsLbl/>
        </c:dispUnits>
      </c:valAx>
      <c:spPr>
        <a:noFill/>
        <a:ln w="25400">
          <a:noFill/>
        </a:ln>
      </c:spPr>
    </c:plotArea>
    <c:legend>
      <c:legendPos val="r"/>
      <c:layout>
        <c:manualLayout>
          <c:xMode val="edge"/>
          <c:yMode val="edge"/>
          <c:x val="0.78578589902044471"/>
          <c:y val="2.3662981952694888E-2"/>
          <c:w val="0.20108785470439655"/>
          <c:h val="0.67182392869517726"/>
        </c:manualLayout>
      </c:layout>
      <c:overlay val="0"/>
    </c:legend>
    <c:plotVisOnly val="1"/>
    <c:dispBlanksAs val="gap"/>
    <c:showDLblsOverMax val="0"/>
  </c:chart>
  <c:spPr>
    <a:effectLst>
      <a:outerShdw blurRad="50800" dist="38100" dir="10800000" algn="r" rotWithShape="0">
        <a:prstClr val="black">
          <a:alpha val="40000"/>
        </a:prstClr>
      </a:outerShdw>
    </a:effectLst>
    <a:scene3d>
      <a:camera prst="orthographicFront"/>
      <a:lightRig rig="threePt" dir="t"/>
    </a:scene3d>
    <a:sp3d/>
  </c:spPr>
  <c:txPr>
    <a:bodyPr/>
    <a:lstStyle/>
    <a:p>
      <a:pPr>
        <a:defRPr sz="600"/>
      </a:pPr>
      <a:endParaRPr lang="en-US"/>
    </a:p>
  </c:txPr>
  <c:printSettings>
    <c:headerFooter/>
    <c:pageMargins b="0.75000000000000022" l="0.70000000000000018" r="0.70000000000000018" t="0.75000000000000022" header="0.3000000000000001" footer="0.3000000000000001"/>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2015.xlsx]SituationAnalysis!PivotTable14</c:name>
    <c:fmtId val="40"/>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Location coverage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pivotFmt>
      <c:pivotFmt>
        <c:idx val="1"/>
        <c:spPr>
          <a:solidFill>
            <a:schemeClr val="accent1"/>
          </a:solidFill>
          <a:ln>
            <a:noFill/>
          </a:ln>
          <a:effectLst/>
          <a:sp3d/>
        </c:spPr>
        <c:marker>
          <c:symbol val="none"/>
        </c:marker>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bar3DChart>
        <c:barDir val="col"/>
        <c:grouping val="stacked"/>
        <c:varyColors val="0"/>
        <c:ser>
          <c:idx val="0"/>
          <c:order val="0"/>
          <c:tx>
            <c:strRef>
              <c:f>SituationAnalysis!$C$610:$C$611</c:f>
              <c:strCache>
                <c:ptCount val="1"/>
                <c:pt idx="0">
                  <c:v>Covered</c:v>
                </c:pt>
              </c:strCache>
            </c:strRef>
          </c:tx>
          <c:spPr>
            <a:solidFill>
              <a:schemeClr val="accent1"/>
            </a:solidFill>
            <a:ln>
              <a:noFill/>
            </a:ln>
            <a:effectLst/>
            <a:sp3d/>
          </c:spPr>
          <c:invertIfNegative val="0"/>
          <c:cat>
            <c:strRef>
              <c:f>SituationAnalysis!$B$612:$B$622</c:f>
              <c:strCache>
                <c:ptCount val="10"/>
                <c:pt idx="0">
                  <c:v>Cluster 1</c:v>
                </c:pt>
                <c:pt idx="1">
                  <c:v>Cluster 2</c:v>
                </c:pt>
                <c:pt idx="2">
                  <c:v>Cluster 3</c:v>
                </c:pt>
                <c:pt idx="3">
                  <c:v>Cluster 4</c:v>
                </c:pt>
                <c:pt idx="4">
                  <c:v>Cluster 5</c:v>
                </c:pt>
                <c:pt idx="5">
                  <c:v>Cluster 6</c:v>
                </c:pt>
                <c:pt idx="6">
                  <c:v>Cluster 7</c:v>
                </c:pt>
                <c:pt idx="7">
                  <c:v>Cluster 8</c:v>
                </c:pt>
                <c:pt idx="8">
                  <c:v>Cluster 9</c:v>
                </c:pt>
                <c:pt idx="9">
                  <c:v>Cluster 10</c:v>
                </c:pt>
              </c:strCache>
            </c:strRef>
          </c:cat>
          <c:val>
            <c:numRef>
              <c:f>SituationAnalysis!$C$612:$C$622</c:f>
              <c:numCache>
                <c:formatCode>0</c:formatCode>
                <c:ptCount val="10"/>
                <c:pt idx="0">
                  <c:v>21</c:v>
                </c:pt>
                <c:pt idx="1">
                  <c:v>28</c:v>
                </c:pt>
                <c:pt idx="2">
                  <c:v>8</c:v>
                </c:pt>
                <c:pt idx="3">
                  <c:v>16</c:v>
                </c:pt>
                <c:pt idx="4">
                  <c:v>7</c:v>
                </c:pt>
                <c:pt idx="5">
                  <c:v>1</c:v>
                </c:pt>
                <c:pt idx="6">
                  <c:v>11</c:v>
                </c:pt>
                <c:pt idx="7">
                  <c:v>5</c:v>
                </c:pt>
                <c:pt idx="8">
                  <c:v>3</c:v>
                </c:pt>
                <c:pt idx="9">
                  <c:v>5</c:v>
                </c:pt>
              </c:numCache>
            </c:numRef>
          </c:val>
        </c:ser>
        <c:ser>
          <c:idx val="1"/>
          <c:order val="1"/>
          <c:tx>
            <c:strRef>
              <c:f>SituationAnalysis!$D$610:$D$611</c:f>
              <c:strCache>
                <c:ptCount val="1"/>
                <c:pt idx="0">
                  <c:v>Not covered</c:v>
                </c:pt>
              </c:strCache>
            </c:strRef>
          </c:tx>
          <c:spPr>
            <a:solidFill>
              <a:schemeClr val="accent2"/>
            </a:solidFill>
            <a:ln>
              <a:noFill/>
            </a:ln>
            <a:effectLst/>
            <a:sp3d/>
          </c:spPr>
          <c:invertIfNegative val="0"/>
          <c:cat>
            <c:strRef>
              <c:f>SituationAnalysis!$B$612:$B$622</c:f>
              <c:strCache>
                <c:ptCount val="10"/>
                <c:pt idx="0">
                  <c:v>Cluster 1</c:v>
                </c:pt>
                <c:pt idx="1">
                  <c:v>Cluster 2</c:v>
                </c:pt>
                <c:pt idx="2">
                  <c:v>Cluster 3</c:v>
                </c:pt>
                <c:pt idx="3">
                  <c:v>Cluster 4</c:v>
                </c:pt>
                <c:pt idx="4">
                  <c:v>Cluster 5</c:v>
                </c:pt>
                <c:pt idx="5">
                  <c:v>Cluster 6</c:v>
                </c:pt>
                <c:pt idx="6">
                  <c:v>Cluster 7</c:v>
                </c:pt>
                <c:pt idx="7">
                  <c:v>Cluster 8</c:v>
                </c:pt>
                <c:pt idx="8">
                  <c:v>Cluster 9</c:v>
                </c:pt>
                <c:pt idx="9">
                  <c:v>Cluster 10</c:v>
                </c:pt>
              </c:strCache>
            </c:strRef>
          </c:cat>
          <c:val>
            <c:numRef>
              <c:f>SituationAnalysis!$D$612:$D$622</c:f>
              <c:numCache>
                <c:formatCode>0</c:formatCode>
                <c:ptCount val="10"/>
                <c:pt idx="1">
                  <c:v>11</c:v>
                </c:pt>
                <c:pt idx="3">
                  <c:v>15</c:v>
                </c:pt>
                <c:pt idx="4">
                  <c:v>5</c:v>
                </c:pt>
                <c:pt idx="5">
                  <c:v>19</c:v>
                </c:pt>
                <c:pt idx="6">
                  <c:v>1</c:v>
                </c:pt>
                <c:pt idx="7">
                  <c:v>6</c:v>
                </c:pt>
                <c:pt idx="8">
                  <c:v>1</c:v>
                </c:pt>
                <c:pt idx="9">
                  <c:v>4</c:v>
                </c:pt>
              </c:numCache>
            </c:numRef>
          </c:val>
        </c:ser>
        <c:dLbls>
          <c:showLegendKey val="0"/>
          <c:showVal val="0"/>
          <c:showCatName val="0"/>
          <c:showSerName val="0"/>
          <c:showPercent val="0"/>
          <c:showBubbleSize val="0"/>
        </c:dLbls>
        <c:gapWidth val="150"/>
        <c:shape val="box"/>
        <c:axId val="229345384"/>
        <c:axId val="229345776"/>
        <c:axId val="0"/>
      </c:bar3DChart>
      <c:catAx>
        <c:axId val="22934538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345776"/>
        <c:crosses val="autoZero"/>
        <c:auto val="1"/>
        <c:lblAlgn val="ctr"/>
        <c:lblOffset val="100"/>
        <c:noMultiLvlLbl val="0"/>
      </c:catAx>
      <c:valAx>
        <c:axId val="2293457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345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a:scene3d>
      <a:camera prst="orthographicFront"/>
      <a:lightRig rig="threePt" dir="t"/>
    </a:scene3d>
    <a:sp3d>
      <a:bevelT prst="relaxedInset"/>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2015.xlsx]SituationAnalysis!PivotTable17</c:name>
    <c:fmtId val="44"/>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Population covered</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bar3DChart>
        <c:barDir val="col"/>
        <c:grouping val="stacked"/>
        <c:varyColors val="0"/>
        <c:ser>
          <c:idx val="0"/>
          <c:order val="0"/>
          <c:tx>
            <c:strRef>
              <c:f>SituationAnalysis!$C$630:$C$631</c:f>
              <c:strCache>
                <c:ptCount val="1"/>
                <c:pt idx="0">
                  <c:v>Covered</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SituationAnalysis!$B$632:$B$634</c:f>
              <c:strCache>
                <c:ptCount val="2"/>
                <c:pt idx="0">
                  <c:v>GCA</c:v>
                </c:pt>
                <c:pt idx="1">
                  <c:v>NGCA</c:v>
                </c:pt>
              </c:strCache>
            </c:strRef>
          </c:cat>
          <c:val>
            <c:numRef>
              <c:f>SituationAnalysis!$C$632:$C$634</c:f>
              <c:numCache>
                <c:formatCode>0</c:formatCode>
                <c:ptCount val="2"/>
                <c:pt idx="0">
                  <c:v>27731</c:v>
                </c:pt>
                <c:pt idx="1">
                  <c:v>13103</c:v>
                </c:pt>
              </c:numCache>
            </c:numRef>
          </c:val>
        </c:ser>
        <c:ser>
          <c:idx val="1"/>
          <c:order val="1"/>
          <c:tx>
            <c:strRef>
              <c:f>SituationAnalysis!$D$630:$D$631</c:f>
              <c:strCache>
                <c:ptCount val="1"/>
                <c:pt idx="0">
                  <c:v>Not covered</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SituationAnalysis!$B$632:$B$634</c:f>
              <c:strCache>
                <c:ptCount val="2"/>
                <c:pt idx="0">
                  <c:v>GCA</c:v>
                </c:pt>
                <c:pt idx="1">
                  <c:v>NGCA</c:v>
                </c:pt>
              </c:strCache>
            </c:strRef>
          </c:cat>
          <c:val>
            <c:numRef>
              <c:f>SituationAnalysis!$D$632:$D$634</c:f>
              <c:numCache>
                <c:formatCode>0</c:formatCode>
                <c:ptCount val="2"/>
                <c:pt idx="0">
                  <c:v>20154</c:v>
                </c:pt>
                <c:pt idx="1">
                  <c:v>23650</c:v>
                </c:pt>
              </c:numCache>
            </c:numRef>
          </c:val>
        </c:ser>
        <c:dLbls>
          <c:showLegendKey val="0"/>
          <c:showVal val="1"/>
          <c:showCatName val="0"/>
          <c:showSerName val="0"/>
          <c:showPercent val="0"/>
          <c:showBubbleSize val="0"/>
        </c:dLbls>
        <c:gapWidth val="150"/>
        <c:shape val="box"/>
        <c:axId val="229346560"/>
        <c:axId val="229346952"/>
        <c:axId val="0"/>
      </c:bar3DChart>
      <c:catAx>
        <c:axId val="22934656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346952"/>
        <c:crosses val="autoZero"/>
        <c:auto val="1"/>
        <c:lblAlgn val="ctr"/>
        <c:lblOffset val="100"/>
        <c:noMultiLvlLbl val="0"/>
      </c:catAx>
      <c:valAx>
        <c:axId val="2293469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346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a:scene3d>
      <a:camera prst="orthographicFront"/>
      <a:lightRig rig="threePt" dir="t"/>
    </a:scene3d>
    <a:sp3d>
      <a:bevelT prst="relaxedInset"/>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2015.xlsx]SituationAnalysis!PivotTable22</c:name>
    <c:fmtId val="46"/>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Population coverage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bar3DChart>
        <c:barDir val="col"/>
        <c:grouping val="stacked"/>
        <c:varyColors val="0"/>
        <c:ser>
          <c:idx val="0"/>
          <c:order val="0"/>
          <c:tx>
            <c:strRef>
              <c:f>SituationAnalysis!$C$646:$C$647</c:f>
              <c:strCache>
                <c:ptCount val="1"/>
                <c:pt idx="0">
                  <c:v>Covered</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SituationAnalysis!$B$648:$B$666</c:f>
              <c:strCache>
                <c:ptCount val="18"/>
                <c:pt idx="0">
                  <c:v>Bhamo</c:v>
                </c:pt>
                <c:pt idx="1">
                  <c:v>Chipwi</c:v>
                </c:pt>
                <c:pt idx="2">
                  <c:v>Hpakan</c:v>
                </c:pt>
                <c:pt idx="3">
                  <c:v>Khaunglanhpu</c:v>
                </c:pt>
                <c:pt idx="4">
                  <c:v>Kutkai</c:v>
                </c:pt>
                <c:pt idx="5">
                  <c:v>Mansi</c:v>
                </c:pt>
                <c:pt idx="6">
                  <c:v>Manton</c:v>
                </c:pt>
                <c:pt idx="7">
                  <c:v>Mogaung</c:v>
                </c:pt>
                <c:pt idx="8">
                  <c:v>Mohnyin</c:v>
                </c:pt>
                <c:pt idx="9">
                  <c:v>Momauk</c:v>
                </c:pt>
                <c:pt idx="10">
                  <c:v>Muse</c:v>
                </c:pt>
                <c:pt idx="11">
                  <c:v>Myitkyina</c:v>
                </c:pt>
                <c:pt idx="12">
                  <c:v>Namkham</c:v>
                </c:pt>
                <c:pt idx="13">
                  <c:v>Namtu</c:v>
                </c:pt>
                <c:pt idx="14">
                  <c:v>Puta-O</c:v>
                </c:pt>
                <c:pt idx="15">
                  <c:v>Shwegu</c:v>
                </c:pt>
                <c:pt idx="16">
                  <c:v>Waingmaw</c:v>
                </c:pt>
                <c:pt idx="17">
                  <c:v>Hseni</c:v>
                </c:pt>
              </c:strCache>
            </c:strRef>
          </c:cat>
          <c:val>
            <c:numRef>
              <c:f>SituationAnalysis!$C$648:$C$666</c:f>
              <c:numCache>
                <c:formatCode>0</c:formatCode>
                <c:ptCount val="18"/>
                <c:pt idx="0">
                  <c:v>2196</c:v>
                </c:pt>
                <c:pt idx="1">
                  <c:v>1646</c:v>
                </c:pt>
                <c:pt idx="2">
                  <c:v>3649</c:v>
                </c:pt>
                <c:pt idx="4">
                  <c:v>1612</c:v>
                </c:pt>
                <c:pt idx="5">
                  <c:v>4525</c:v>
                </c:pt>
                <c:pt idx="6">
                  <c:v>341</c:v>
                </c:pt>
                <c:pt idx="7">
                  <c:v>330</c:v>
                </c:pt>
                <c:pt idx="8">
                  <c:v>136</c:v>
                </c:pt>
                <c:pt idx="9">
                  <c:v>5644</c:v>
                </c:pt>
                <c:pt idx="10">
                  <c:v>294</c:v>
                </c:pt>
                <c:pt idx="11">
                  <c:v>3946</c:v>
                </c:pt>
                <c:pt idx="12">
                  <c:v>1682</c:v>
                </c:pt>
                <c:pt idx="13">
                  <c:v>40</c:v>
                </c:pt>
                <c:pt idx="14">
                  <c:v>310</c:v>
                </c:pt>
                <c:pt idx="15">
                  <c:v>412</c:v>
                </c:pt>
                <c:pt idx="16">
                  <c:v>13590</c:v>
                </c:pt>
                <c:pt idx="17">
                  <c:v>481</c:v>
                </c:pt>
              </c:numCache>
            </c:numRef>
          </c:val>
        </c:ser>
        <c:ser>
          <c:idx val="1"/>
          <c:order val="1"/>
          <c:tx>
            <c:strRef>
              <c:f>SituationAnalysis!$D$646:$D$647</c:f>
              <c:strCache>
                <c:ptCount val="1"/>
                <c:pt idx="0">
                  <c:v>Not covered</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SituationAnalysis!$B$648:$B$666</c:f>
              <c:strCache>
                <c:ptCount val="18"/>
                <c:pt idx="0">
                  <c:v>Bhamo</c:v>
                </c:pt>
                <c:pt idx="1">
                  <c:v>Chipwi</c:v>
                </c:pt>
                <c:pt idx="2">
                  <c:v>Hpakan</c:v>
                </c:pt>
                <c:pt idx="3">
                  <c:v>Khaunglanhpu</c:v>
                </c:pt>
                <c:pt idx="4">
                  <c:v>Kutkai</c:v>
                </c:pt>
                <c:pt idx="5">
                  <c:v>Mansi</c:v>
                </c:pt>
                <c:pt idx="6">
                  <c:v>Manton</c:v>
                </c:pt>
                <c:pt idx="7">
                  <c:v>Mogaung</c:v>
                </c:pt>
                <c:pt idx="8">
                  <c:v>Mohnyin</c:v>
                </c:pt>
                <c:pt idx="9">
                  <c:v>Momauk</c:v>
                </c:pt>
                <c:pt idx="10">
                  <c:v>Muse</c:v>
                </c:pt>
                <c:pt idx="11">
                  <c:v>Myitkyina</c:v>
                </c:pt>
                <c:pt idx="12">
                  <c:v>Namkham</c:v>
                </c:pt>
                <c:pt idx="13">
                  <c:v>Namtu</c:v>
                </c:pt>
                <c:pt idx="14">
                  <c:v>Puta-O</c:v>
                </c:pt>
                <c:pt idx="15">
                  <c:v>Shwegu</c:v>
                </c:pt>
                <c:pt idx="16">
                  <c:v>Waingmaw</c:v>
                </c:pt>
                <c:pt idx="17">
                  <c:v>Hseni</c:v>
                </c:pt>
              </c:strCache>
            </c:strRef>
          </c:cat>
          <c:val>
            <c:numRef>
              <c:f>SituationAnalysis!$D$648:$D$666</c:f>
              <c:numCache>
                <c:formatCode>0</c:formatCode>
                <c:ptCount val="18"/>
                <c:pt idx="0">
                  <c:v>6040</c:v>
                </c:pt>
                <c:pt idx="1">
                  <c:v>918</c:v>
                </c:pt>
                <c:pt idx="3">
                  <c:v>17</c:v>
                </c:pt>
                <c:pt idx="4">
                  <c:v>1604</c:v>
                </c:pt>
                <c:pt idx="5">
                  <c:v>6909</c:v>
                </c:pt>
                <c:pt idx="6">
                  <c:v>446</c:v>
                </c:pt>
                <c:pt idx="9">
                  <c:v>16461</c:v>
                </c:pt>
                <c:pt idx="10">
                  <c:v>127</c:v>
                </c:pt>
                <c:pt idx="11">
                  <c:v>2177</c:v>
                </c:pt>
                <c:pt idx="14">
                  <c:v>116</c:v>
                </c:pt>
                <c:pt idx="15">
                  <c:v>40</c:v>
                </c:pt>
                <c:pt idx="16">
                  <c:v>8949</c:v>
                </c:pt>
              </c:numCache>
            </c:numRef>
          </c:val>
        </c:ser>
        <c:dLbls>
          <c:showLegendKey val="0"/>
          <c:showVal val="1"/>
          <c:showCatName val="0"/>
          <c:showSerName val="0"/>
          <c:showPercent val="0"/>
          <c:showBubbleSize val="0"/>
        </c:dLbls>
        <c:gapWidth val="150"/>
        <c:shape val="box"/>
        <c:axId val="230025920"/>
        <c:axId val="230026312"/>
        <c:axId val="0"/>
      </c:bar3DChart>
      <c:catAx>
        <c:axId val="2300259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026312"/>
        <c:crosses val="autoZero"/>
        <c:auto val="1"/>
        <c:lblAlgn val="ctr"/>
        <c:lblOffset val="100"/>
        <c:noMultiLvlLbl val="0"/>
      </c:catAx>
      <c:valAx>
        <c:axId val="230026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025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a:scene3d>
      <a:camera prst="orthographicFront"/>
      <a:lightRig rig="threePt" dir="t"/>
    </a:scene3d>
    <a:sp3d>
      <a:bevelT prst="relaxedInset"/>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2015.xlsx]SituationAnalysis!PivotTable28</c:name>
    <c:fmtId val="48"/>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Location documented</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bar3DChart>
        <c:barDir val="col"/>
        <c:grouping val="stacked"/>
        <c:varyColors val="0"/>
        <c:ser>
          <c:idx val="0"/>
          <c:order val="0"/>
          <c:tx>
            <c:strRef>
              <c:f>SituationAnalysis!$C$681:$C$682</c:f>
              <c:strCache>
                <c:ptCount val="1"/>
                <c:pt idx="0">
                  <c:v>Documented</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SituationAnalysis!$B$683:$B$685</c:f>
              <c:strCache>
                <c:ptCount val="2"/>
                <c:pt idx="0">
                  <c:v>GCA</c:v>
                </c:pt>
                <c:pt idx="1">
                  <c:v>NGCA</c:v>
                </c:pt>
              </c:strCache>
            </c:strRef>
          </c:cat>
          <c:val>
            <c:numRef>
              <c:f>SituationAnalysis!$C$683:$C$685</c:f>
              <c:numCache>
                <c:formatCode>0</c:formatCode>
                <c:ptCount val="2"/>
                <c:pt idx="0">
                  <c:v>134</c:v>
                </c:pt>
                <c:pt idx="1">
                  <c:v>29</c:v>
                </c:pt>
              </c:numCache>
            </c:numRef>
          </c:val>
        </c:ser>
        <c:ser>
          <c:idx val="1"/>
          <c:order val="1"/>
          <c:tx>
            <c:strRef>
              <c:f>SituationAnalysis!$D$681:$D$682</c:f>
              <c:strCache>
                <c:ptCount val="1"/>
                <c:pt idx="0">
                  <c:v>Not documented</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SituationAnalysis!$B$683:$B$685</c:f>
              <c:strCache>
                <c:ptCount val="2"/>
                <c:pt idx="0">
                  <c:v>GCA</c:v>
                </c:pt>
                <c:pt idx="1">
                  <c:v>NGCA</c:v>
                </c:pt>
              </c:strCache>
            </c:strRef>
          </c:cat>
          <c:val>
            <c:numRef>
              <c:f>SituationAnalysis!$D$683:$D$685</c:f>
              <c:numCache>
                <c:formatCode>0</c:formatCode>
                <c:ptCount val="2"/>
                <c:pt idx="0">
                  <c:v>11</c:v>
                </c:pt>
                <c:pt idx="1">
                  <c:v>1</c:v>
                </c:pt>
              </c:numCache>
            </c:numRef>
          </c:val>
        </c:ser>
        <c:dLbls>
          <c:showLegendKey val="0"/>
          <c:showVal val="1"/>
          <c:showCatName val="0"/>
          <c:showSerName val="0"/>
          <c:showPercent val="0"/>
          <c:showBubbleSize val="0"/>
        </c:dLbls>
        <c:gapWidth val="150"/>
        <c:shape val="box"/>
        <c:axId val="230027096"/>
        <c:axId val="230027488"/>
        <c:axId val="0"/>
      </c:bar3DChart>
      <c:catAx>
        <c:axId val="2300270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027488"/>
        <c:crosses val="autoZero"/>
        <c:auto val="1"/>
        <c:lblAlgn val="ctr"/>
        <c:lblOffset val="100"/>
        <c:noMultiLvlLbl val="0"/>
      </c:catAx>
      <c:valAx>
        <c:axId val="230027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027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a:scene3d>
      <a:camera prst="orthographicFront"/>
      <a:lightRig rig="threePt" dir="t"/>
    </a:scene3d>
    <a:sp3d>
      <a:bevelT prst="relaxedInset"/>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2015.xlsx]SituationAnalysis!PivotTable29</c:name>
    <c:fmtId val="50"/>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Location documented</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pivotFmt>
      <c:pivotFmt>
        <c:idx val="1"/>
        <c:spPr>
          <a:solidFill>
            <a:schemeClr val="accent1"/>
          </a:solidFill>
          <a:ln>
            <a:noFill/>
          </a:ln>
          <a:effectLst/>
          <a:sp3d/>
        </c:spPr>
        <c:marker>
          <c:symbol val="none"/>
        </c:marker>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bar3DChart>
        <c:barDir val="col"/>
        <c:grouping val="stacked"/>
        <c:varyColors val="0"/>
        <c:ser>
          <c:idx val="0"/>
          <c:order val="0"/>
          <c:tx>
            <c:strRef>
              <c:f>SituationAnalysis!$C$698:$C$699</c:f>
              <c:strCache>
                <c:ptCount val="1"/>
                <c:pt idx="0">
                  <c:v>Documented</c:v>
                </c:pt>
              </c:strCache>
            </c:strRef>
          </c:tx>
          <c:spPr>
            <a:solidFill>
              <a:schemeClr val="accent1"/>
            </a:solidFill>
            <a:ln>
              <a:noFill/>
            </a:ln>
            <a:effectLst/>
            <a:sp3d/>
          </c:spPr>
          <c:invertIfNegative val="0"/>
          <c:cat>
            <c:strRef>
              <c:f>SituationAnalysis!$B$700:$B$710</c:f>
              <c:strCache>
                <c:ptCount val="10"/>
                <c:pt idx="0">
                  <c:v>Cluster 1</c:v>
                </c:pt>
                <c:pt idx="1">
                  <c:v>Cluster 2</c:v>
                </c:pt>
                <c:pt idx="2">
                  <c:v>Cluster 3</c:v>
                </c:pt>
                <c:pt idx="3">
                  <c:v>Cluster 4</c:v>
                </c:pt>
                <c:pt idx="4">
                  <c:v>Cluster 5</c:v>
                </c:pt>
                <c:pt idx="5">
                  <c:v>Cluster 6</c:v>
                </c:pt>
                <c:pt idx="6">
                  <c:v>Cluster 7</c:v>
                </c:pt>
                <c:pt idx="7">
                  <c:v>Cluster 8</c:v>
                </c:pt>
                <c:pt idx="8">
                  <c:v>Cluster 9</c:v>
                </c:pt>
                <c:pt idx="9">
                  <c:v>Cluster 10</c:v>
                </c:pt>
              </c:strCache>
            </c:strRef>
          </c:cat>
          <c:val>
            <c:numRef>
              <c:f>SituationAnalysis!$C$700:$C$710</c:f>
              <c:numCache>
                <c:formatCode>0</c:formatCode>
                <c:ptCount val="10"/>
                <c:pt idx="0">
                  <c:v>21</c:v>
                </c:pt>
                <c:pt idx="1">
                  <c:v>40</c:v>
                </c:pt>
                <c:pt idx="2">
                  <c:v>8</c:v>
                </c:pt>
                <c:pt idx="3">
                  <c:v>24</c:v>
                </c:pt>
                <c:pt idx="4">
                  <c:v>14</c:v>
                </c:pt>
                <c:pt idx="5">
                  <c:v>24</c:v>
                </c:pt>
                <c:pt idx="6">
                  <c:v>11</c:v>
                </c:pt>
                <c:pt idx="7">
                  <c:v>11</c:v>
                </c:pt>
                <c:pt idx="8">
                  <c:v>3</c:v>
                </c:pt>
                <c:pt idx="9">
                  <c:v>7</c:v>
                </c:pt>
              </c:numCache>
            </c:numRef>
          </c:val>
        </c:ser>
        <c:ser>
          <c:idx val="1"/>
          <c:order val="1"/>
          <c:tx>
            <c:strRef>
              <c:f>SituationAnalysis!$D$698:$D$699</c:f>
              <c:strCache>
                <c:ptCount val="1"/>
                <c:pt idx="0">
                  <c:v>Not documented</c:v>
                </c:pt>
              </c:strCache>
            </c:strRef>
          </c:tx>
          <c:spPr>
            <a:solidFill>
              <a:schemeClr val="accent2"/>
            </a:solidFill>
            <a:ln>
              <a:noFill/>
            </a:ln>
            <a:effectLst/>
            <a:sp3d/>
          </c:spPr>
          <c:invertIfNegative val="0"/>
          <c:cat>
            <c:strRef>
              <c:f>SituationAnalysis!$B$700:$B$710</c:f>
              <c:strCache>
                <c:ptCount val="10"/>
                <c:pt idx="0">
                  <c:v>Cluster 1</c:v>
                </c:pt>
                <c:pt idx="1">
                  <c:v>Cluster 2</c:v>
                </c:pt>
                <c:pt idx="2">
                  <c:v>Cluster 3</c:v>
                </c:pt>
                <c:pt idx="3">
                  <c:v>Cluster 4</c:v>
                </c:pt>
                <c:pt idx="4">
                  <c:v>Cluster 5</c:v>
                </c:pt>
                <c:pt idx="5">
                  <c:v>Cluster 6</c:v>
                </c:pt>
                <c:pt idx="6">
                  <c:v>Cluster 7</c:v>
                </c:pt>
                <c:pt idx="7">
                  <c:v>Cluster 8</c:v>
                </c:pt>
                <c:pt idx="8">
                  <c:v>Cluster 9</c:v>
                </c:pt>
                <c:pt idx="9">
                  <c:v>Cluster 10</c:v>
                </c:pt>
              </c:strCache>
            </c:strRef>
          </c:cat>
          <c:val>
            <c:numRef>
              <c:f>SituationAnalysis!$D$700:$D$710</c:f>
              <c:numCache>
                <c:formatCode>0</c:formatCode>
                <c:ptCount val="10"/>
                <c:pt idx="3">
                  <c:v>7</c:v>
                </c:pt>
                <c:pt idx="6">
                  <c:v>1</c:v>
                </c:pt>
                <c:pt idx="8">
                  <c:v>1</c:v>
                </c:pt>
                <c:pt idx="9">
                  <c:v>3</c:v>
                </c:pt>
              </c:numCache>
            </c:numRef>
          </c:val>
        </c:ser>
        <c:dLbls>
          <c:showLegendKey val="0"/>
          <c:showVal val="0"/>
          <c:showCatName val="0"/>
          <c:showSerName val="0"/>
          <c:showPercent val="0"/>
          <c:showBubbleSize val="0"/>
        </c:dLbls>
        <c:gapWidth val="150"/>
        <c:shape val="box"/>
        <c:axId val="230028272"/>
        <c:axId val="230028664"/>
        <c:axId val="0"/>
      </c:bar3DChart>
      <c:catAx>
        <c:axId val="2300282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028664"/>
        <c:crosses val="autoZero"/>
        <c:auto val="1"/>
        <c:lblAlgn val="ctr"/>
        <c:lblOffset val="100"/>
        <c:noMultiLvlLbl val="0"/>
      </c:catAx>
      <c:valAx>
        <c:axId val="230028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028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a:scene3d>
      <a:camera prst="orthographicFront"/>
      <a:lightRig rig="threePt" dir="t"/>
    </a:scene3d>
    <a:sp3d>
      <a:bevelT prst="relaxedInset"/>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2015.xlsx]SituationAnalysis!PivotTable31</c:name>
    <c:fmtId val="8"/>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Ranking Water Coverage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25400">
            <a:solidFill>
              <a:schemeClr val="lt1"/>
            </a:solidFill>
          </a:ln>
          <a:effectLst/>
          <a:sp3d contourW="25400">
            <a:contourClr>
              <a:schemeClr val="lt1"/>
            </a:contourClr>
          </a:sp3d>
        </c:spPr>
      </c:pivotFmt>
      <c:pivotFmt>
        <c:idx val="2"/>
        <c:spPr>
          <a:solidFill>
            <a:schemeClr val="accent1"/>
          </a:solidFill>
          <a:ln w="25400">
            <a:solidFill>
              <a:schemeClr val="lt1"/>
            </a:solidFill>
          </a:ln>
          <a:effectLst/>
          <a:sp3d contourW="25400">
            <a:contourClr>
              <a:schemeClr val="lt1"/>
            </a:contourClr>
          </a:sp3d>
        </c:spPr>
      </c:pivotFmt>
      <c:pivotFmt>
        <c:idx val="3"/>
        <c:spPr>
          <a:solidFill>
            <a:schemeClr val="accent1"/>
          </a:solidFill>
          <a:ln w="25400">
            <a:solidFill>
              <a:schemeClr val="lt1"/>
            </a:solidFill>
          </a:ln>
          <a:effectLst/>
          <a:sp3d contourW="25400">
            <a:contourClr>
              <a:schemeClr val="lt1"/>
            </a:contourClr>
          </a:sp3d>
        </c:spPr>
      </c:pivotFmt>
      <c:pivotFmt>
        <c:idx val="4"/>
        <c:spPr>
          <a:solidFill>
            <a:schemeClr val="accent1"/>
          </a:solidFill>
          <a:ln w="25400">
            <a:solidFill>
              <a:schemeClr val="lt1"/>
            </a:solidFill>
          </a:ln>
          <a:effectLst/>
          <a:sp3d contourW="25400">
            <a:contourClr>
              <a:schemeClr val="lt1"/>
            </a:contourClr>
          </a:sp3d>
        </c:spPr>
      </c:pivotFmt>
      <c:pivotFmt>
        <c:idx val="5"/>
        <c:spPr>
          <a:solidFill>
            <a:schemeClr val="accent1"/>
          </a:solidFill>
          <a:ln w="25400">
            <a:solidFill>
              <a:schemeClr val="lt1"/>
            </a:solidFill>
          </a:ln>
          <a:effectLst/>
          <a:sp3d contourW="25400">
            <a:contourClr>
              <a:schemeClr val="lt1"/>
            </a:contourClr>
          </a:sp3d>
        </c:spPr>
      </c:pivotFmt>
      <c:pivotFmt>
        <c:idx val="6"/>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SituationAnalysis!$C$161</c:f>
              <c:strCache>
                <c:ptCount val="1"/>
                <c:pt idx="0">
                  <c:v>Total</c:v>
                </c:pt>
              </c:strCache>
            </c:strRef>
          </c:tx>
          <c:explosion val="32"/>
          <c:dPt>
            <c:idx val="0"/>
            <c:bubble3D val="0"/>
            <c:spPr>
              <a:solidFill>
                <a:schemeClr val="accent1"/>
              </a:solidFill>
              <a:ln w="25400">
                <a:solidFill>
                  <a:schemeClr val="lt1"/>
                </a:solidFill>
              </a:ln>
              <a:effectLst/>
              <a:sp3d contourW="25400">
                <a:contourClr>
                  <a:schemeClr val="lt1"/>
                </a:contourClr>
              </a:sp3d>
            </c:spPr>
          </c:dPt>
          <c:dPt>
            <c:idx val="1"/>
            <c:bubble3D val="0"/>
            <c:spPr>
              <a:solidFill>
                <a:schemeClr val="accent2"/>
              </a:solidFill>
              <a:ln w="25400">
                <a:solidFill>
                  <a:schemeClr val="lt1"/>
                </a:solidFill>
              </a:ln>
              <a:effectLst/>
              <a:sp3d contourW="25400">
                <a:contourClr>
                  <a:schemeClr val="lt1"/>
                </a:contourClr>
              </a:sp3d>
            </c:spPr>
          </c:dPt>
          <c:dPt>
            <c:idx val="2"/>
            <c:bubble3D val="0"/>
            <c:spPr>
              <a:solidFill>
                <a:schemeClr val="accent3"/>
              </a:solidFill>
              <a:ln w="25400">
                <a:solidFill>
                  <a:schemeClr val="lt1"/>
                </a:solidFill>
              </a:ln>
              <a:effectLst/>
              <a:sp3d contourW="25400">
                <a:contourClr>
                  <a:schemeClr val="lt1"/>
                </a:contourClr>
              </a:sp3d>
            </c:spPr>
          </c:dPt>
          <c:dPt>
            <c:idx val="3"/>
            <c:bubble3D val="0"/>
            <c:spPr>
              <a:solidFill>
                <a:schemeClr val="accent4"/>
              </a:solidFill>
              <a:ln w="25400">
                <a:solidFill>
                  <a:schemeClr val="lt1"/>
                </a:solidFill>
              </a:ln>
              <a:effectLst/>
              <a:sp3d contourW="25400">
                <a:contourClr>
                  <a:schemeClr val="lt1"/>
                </a:contourClr>
              </a:sp3d>
            </c:spPr>
          </c:dPt>
          <c:dPt>
            <c:idx val="4"/>
            <c:bubble3D val="0"/>
            <c:spPr>
              <a:solidFill>
                <a:schemeClr val="accent5"/>
              </a:solidFill>
              <a:ln w="25400">
                <a:solidFill>
                  <a:schemeClr val="lt1"/>
                </a:solidFill>
              </a:ln>
              <a:effectLst/>
              <a:sp3d contourW="25400">
                <a:contourClr>
                  <a:schemeClr val="lt1"/>
                </a:contourClr>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SituationAnalysis!$B$162:$B$166</c:f>
              <c:strCache>
                <c:ptCount val="4"/>
                <c:pt idx="0">
                  <c:v>0-10%</c:v>
                </c:pt>
                <c:pt idx="1">
                  <c:v>30-45%</c:v>
                </c:pt>
                <c:pt idx="2">
                  <c:v>45-60%</c:v>
                </c:pt>
                <c:pt idx="3">
                  <c:v>80-100%</c:v>
                </c:pt>
              </c:strCache>
            </c:strRef>
          </c:cat>
          <c:val>
            <c:numRef>
              <c:f>SituationAnalysis!$C$162:$C$166</c:f>
              <c:numCache>
                <c:formatCode>0</c:formatCode>
                <c:ptCount val="4"/>
                <c:pt idx="0">
                  <c:v>9</c:v>
                </c:pt>
                <c:pt idx="1">
                  <c:v>1</c:v>
                </c:pt>
                <c:pt idx="2">
                  <c:v>1</c:v>
                </c:pt>
                <c:pt idx="3">
                  <c:v>164</c:v>
                </c:pt>
              </c:numCache>
            </c:numRef>
          </c:val>
        </c:ser>
        <c:dLbls>
          <c:dLblPos val="bestFit"/>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0.79044488077713537"/>
          <c:y val="0.26062372411781859"/>
          <c:w val="0.19733338423049743"/>
          <c:h val="0.4560207057451152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a:scene3d>
      <a:camera prst="orthographicFront"/>
      <a:lightRig rig="threePt" dir="t"/>
    </a:scene3d>
    <a:sp3d>
      <a:bevelT prst="relaxedInset"/>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2015.xlsx]SituationAnalysis!PivotTable16</c:name>
    <c:fmtId val="16"/>
  </c:pivotSource>
  <c:chart>
    <c:title>
      <c:tx>
        <c:rich>
          <a:bodyPr rot="0" spcFirstLastPara="1" vertOverflow="ellipsis" vert="horz" wrap="square" anchor="ctr" anchorCtr="1"/>
          <a:lstStyle/>
          <a:p>
            <a:pPr algn="ctr" rtl="0">
              <a:defRPr lang="en-US" sz="1400" b="1" i="0" u="none" strike="noStrike" kern="1200" spc="0" baseline="0">
                <a:solidFill>
                  <a:sysClr val="windowText" lastClr="000000">
                    <a:lumMod val="65000"/>
                    <a:lumOff val="35000"/>
                  </a:sysClr>
                </a:solidFill>
                <a:latin typeface="+mn-lt"/>
                <a:ea typeface="+mn-ea"/>
                <a:cs typeface="+mn-cs"/>
              </a:defRPr>
            </a:pPr>
            <a:r>
              <a:rPr lang="en-US" sz="1400" b="1" i="0" u="none" strike="noStrike" kern="1200" spc="0" baseline="0">
                <a:solidFill>
                  <a:sysClr val="windowText" lastClr="000000">
                    <a:lumMod val="65000"/>
                    <a:lumOff val="35000"/>
                  </a:sysClr>
                </a:solidFill>
                <a:latin typeface="+mn-lt"/>
                <a:ea typeface="+mn-ea"/>
                <a:cs typeface="+mn-cs"/>
              </a:rPr>
              <a:t>Number of latrine missing</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ysClr val="windowText" lastClr="000000">
                  <a:lumMod val="65000"/>
                  <a:lumOff val="35000"/>
                </a:sys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bar3DChart>
        <c:barDir val="col"/>
        <c:grouping val="stacked"/>
        <c:varyColors val="0"/>
        <c:ser>
          <c:idx val="0"/>
          <c:order val="0"/>
          <c:tx>
            <c:strRef>
              <c:f>SituationAnalysis!$C$221:$C$222</c:f>
              <c:strCache>
                <c:ptCount val="1"/>
                <c:pt idx="0">
                  <c:v>Cluster 1</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SituationAnalysis!$B$223:$B$225</c:f>
              <c:strCache>
                <c:ptCount val="2"/>
                <c:pt idx="0">
                  <c:v>GCA</c:v>
                </c:pt>
                <c:pt idx="1">
                  <c:v>NGCA</c:v>
                </c:pt>
              </c:strCache>
            </c:strRef>
          </c:cat>
          <c:val>
            <c:numRef>
              <c:f>SituationAnalysis!$C$223:$C$225</c:f>
              <c:numCache>
                <c:formatCode>0</c:formatCode>
                <c:ptCount val="2"/>
                <c:pt idx="0">
                  <c:v>58.35</c:v>
                </c:pt>
              </c:numCache>
            </c:numRef>
          </c:val>
        </c:ser>
        <c:ser>
          <c:idx val="1"/>
          <c:order val="1"/>
          <c:tx>
            <c:strRef>
              <c:f>SituationAnalysis!$D$221:$D$222</c:f>
              <c:strCache>
                <c:ptCount val="1"/>
                <c:pt idx="0">
                  <c:v>Cluster 10</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SituationAnalysis!$B$223:$B$225</c:f>
              <c:strCache>
                <c:ptCount val="2"/>
                <c:pt idx="0">
                  <c:v>GCA</c:v>
                </c:pt>
                <c:pt idx="1">
                  <c:v>NGCA</c:v>
                </c:pt>
              </c:strCache>
            </c:strRef>
          </c:cat>
          <c:val>
            <c:numRef>
              <c:f>SituationAnalysis!$D$223:$D$225</c:f>
              <c:numCache>
                <c:formatCode>0</c:formatCode>
                <c:ptCount val="2"/>
                <c:pt idx="0">
                  <c:v>53.7</c:v>
                </c:pt>
                <c:pt idx="1">
                  <c:v>43.65</c:v>
                </c:pt>
              </c:numCache>
            </c:numRef>
          </c:val>
        </c:ser>
        <c:ser>
          <c:idx val="2"/>
          <c:order val="2"/>
          <c:tx>
            <c:strRef>
              <c:f>SituationAnalysis!$E$221:$E$222</c:f>
              <c:strCache>
                <c:ptCount val="1"/>
                <c:pt idx="0">
                  <c:v>Cluster 2</c:v>
                </c:pt>
              </c:strCache>
            </c:strRef>
          </c:tx>
          <c:spPr>
            <a:solidFill>
              <a:schemeClr val="accent3"/>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SituationAnalysis!$B$223:$B$225</c:f>
              <c:strCache>
                <c:ptCount val="2"/>
                <c:pt idx="0">
                  <c:v>GCA</c:v>
                </c:pt>
                <c:pt idx="1">
                  <c:v>NGCA</c:v>
                </c:pt>
              </c:strCache>
            </c:strRef>
          </c:cat>
          <c:val>
            <c:numRef>
              <c:f>SituationAnalysis!$E$223:$E$225</c:f>
              <c:numCache>
                <c:formatCode>0</c:formatCode>
                <c:ptCount val="2"/>
                <c:pt idx="0">
                  <c:v>139.14999999999998</c:v>
                </c:pt>
                <c:pt idx="1">
                  <c:v>0.39999999999999991</c:v>
                </c:pt>
              </c:numCache>
            </c:numRef>
          </c:val>
        </c:ser>
        <c:ser>
          <c:idx val="3"/>
          <c:order val="3"/>
          <c:tx>
            <c:strRef>
              <c:f>SituationAnalysis!$F$221:$F$222</c:f>
              <c:strCache>
                <c:ptCount val="1"/>
                <c:pt idx="0">
                  <c:v>Cluster 3</c:v>
                </c:pt>
              </c:strCache>
            </c:strRef>
          </c:tx>
          <c:spPr>
            <a:solidFill>
              <a:schemeClr val="accent4"/>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SituationAnalysis!$B$223:$B$225</c:f>
              <c:strCache>
                <c:ptCount val="2"/>
                <c:pt idx="0">
                  <c:v>GCA</c:v>
                </c:pt>
                <c:pt idx="1">
                  <c:v>NGCA</c:v>
                </c:pt>
              </c:strCache>
            </c:strRef>
          </c:cat>
          <c:val>
            <c:numRef>
              <c:f>SituationAnalysis!$F$223:$F$225</c:f>
              <c:numCache>
                <c:formatCode>0</c:formatCode>
                <c:ptCount val="2"/>
                <c:pt idx="0">
                  <c:v>9.4</c:v>
                </c:pt>
              </c:numCache>
            </c:numRef>
          </c:val>
        </c:ser>
        <c:ser>
          <c:idx val="4"/>
          <c:order val="4"/>
          <c:tx>
            <c:strRef>
              <c:f>SituationAnalysis!$G$221:$G$222</c:f>
              <c:strCache>
                <c:ptCount val="1"/>
                <c:pt idx="0">
                  <c:v>Cluster 4</c:v>
                </c:pt>
              </c:strCache>
            </c:strRef>
          </c:tx>
          <c:spPr>
            <a:solidFill>
              <a:schemeClr val="accent5"/>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SituationAnalysis!$B$223:$B$225</c:f>
              <c:strCache>
                <c:ptCount val="2"/>
                <c:pt idx="0">
                  <c:v>GCA</c:v>
                </c:pt>
                <c:pt idx="1">
                  <c:v>NGCA</c:v>
                </c:pt>
              </c:strCache>
            </c:strRef>
          </c:cat>
          <c:val>
            <c:numRef>
              <c:f>SituationAnalysis!$G$223:$G$225</c:f>
              <c:numCache>
                <c:formatCode>0</c:formatCode>
                <c:ptCount val="2"/>
                <c:pt idx="0">
                  <c:v>364.7</c:v>
                </c:pt>
              </c:numCache>
            </c:numRef>
          </c:val>
        </c:ser>
        <c:ser>
          <c:idx val="5"/>
          <c:order val="5"/>
          <c:tx>
            <c:strRef>
              <c:f>SituationAnalysis!$H$221:$H$222</c:f>
              <c:strCache>
                <c:ptCount val="1"/>
                <c:pt idx="0">
                  <c:v>Cluster 5</c:v>
                </c:pt>
              </c:strCache>
            </c:strRef>
          </c:tx>
          <c:spPr>
            <a:solidFill>
              <a:schemeClr val="accent6"/>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SituationAnalysis!$B$223:$B$225</c:f>
              <c:strCache>
                <c:ptCount val="2"/>
                <c:pt idx="0">
                  <c:v>GCA</c:v>
                </c:pt>
                <c:pt idx="1">
                  <c:v>NGCA</c:v>
                </c:pt>
              </c:strCache>
            </c:strRef>
          </c:cat>
          <c:val>
            <c:numRef>
              <c:f>SituationAnalysis!$H$223:$H$225</c:f>
              <c:numCache>
                <c:formatCode>0</c:formatCode>
                <c:ptCount val="2"/>
                <c:pt idx="1">
                  <c:v>486.95</c:v>
                </c:pt>
              </c:numCache>
            </c:numRef>
          </c:val>
        </c:ser>
        <c:ser>
          <c:idx val="6"/>
          <c:order val="6"/>
          <c:tx>
            <c:strRef>
              <c:f>SituationAnalysis!$I$221:$I$222</c:f>
              <c:strCache>
                <c:ptCount val="1"/>
                <c:pt idx="0">
                  <c:v>Cluster 6</c:v>
                </c:pt>
              </c:strCache>
            </c:strRef>
          </c:tx>
          <c:spPr>
            <a:solidFill>
              <a:schemeClr val="accent1">
                <a:lumMod val="6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SituationAnalysis!$B$223:$B$225</c:f>
              <c:strCache>
                <c:ptCount val="2"/>
                <c:pt idx="0">
                  <c:v>GCA</c:v>
                </c:pt>
                <c:pt idx="1">
                  <c:v>NGCA</c:v>
                </c:pt>
              </c:strCache>
            </c:strRef>
          </c:cat>
          <c:val>
            <c:numRef>
              <c:f>SituationAnalysis!$I$223:$I$225</c:f>
              <c:numCache>
                <c:formatCode>0</c:formatCode>
                <c:ptCount val="2"/>
                <c:pt idx="0">
                  <c:v>36.799999999999997</c:v>
                </c:pt>
                <c:pt idx="1">
                  <c:v>164.85000000000005</c:v>
                </c:pt>
              </c:numCache>
            </c:numRef>
          </c:val>
        </c:ser>
        <c:ser>
          <c:idx val="7"/>
          <c:order val="7"/>
          <c:tx>
            <c:strRef>
              <c:f>SituationAnalysis!$J$221:$J$222</c:f>
              <c:strCache>
                <c:ptCount val="1"/>
                <c:pt idx="0">
                  <c:v>Cluster 7</c:v>
                </c:pt>
              </c:strCache>
            </c:strRef>
          </c:tx>
          <c:spPr>
            <a:solidFill>
              <a:schemeClr val="accent2">
                <a:lumMod val="6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SituationAnalysis!$B$223:$B$225</c:f>
              <c:strCache>
                <c:ptCount val="2"/>
                <c:pt idx="0">
                  <c:v>GCA</c:v>
                </c:pt>
                <c:pt idx="1">
                  <c:v>NGCA</c:v>
                </c:pt>
              </c:strCache>
            </c:strRef>
          </c:cat>
          <c:val>
            <c:numRef>
              <c:f>SituationAnalysis!$J$223:$J$225</c:f>
              <c:numCache>
                <c:formatCode>0</c:formatCode>
                <c:ptCount val="2"/>
                <c:pt idx="0">
                  <c:v>182.60000000000002</c:v>
                </c:pt>
              </c:numCache>
            </c:numRef>
          </c:val>
        </c:ser>
        <c:ser>
          <c:idx val="8"/>
          <c:order val="8"/>
          <c:tx>
            <c:strRef>
              <c:f>SituationAnalysis!$K$221:$K$222</c:f>
              <c:strCache>
                <c:ptCount val="1"/>
                <c:pt idx="0">
                  <c:v>Cluster 8</c:v>
                </c:pt>
              </c:strCache>
            </c:strRef>
          </c:tx>
          <c:spPr>
            <a:solidFill>
              <a:schemeClr val="accent3">
                <a:lumMod val="6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SituationAnalysis!$B$223:$B$225</c:f>
              <c:strCache>
                <c:ptCount val="2"/>
                <c:pt idx="0">
                  <c:v>GCA</c:v>
                </c:pt>
                <c:pt idx="1">
                  <c:v>NGCA</c:v>
                </c:pt>
              </c:strCache>
            </c:strRef>
          </c:cat>
          <c:val>
            <c:numRef>
              <c:f>SituationAnalysis!$K$223:$K$225</c:f>
              <c:numCache>
                <c:formatCode>0</c:formatCode>
                <c:ptCount val="2"/>
                <c:pt idx="0">
                  <c:v>170.5</c:v>
                </c:pt>
              </c:numCache>
            </c:numRef>
          </c:val>
        </c:ser>
        <c:ser>
          <c:idx val="9"/>
          <c:order val="9"/>
          <c:tx>
            <c:strRef>
              <c:f>SituationAnalysis!$L$221:$L$222</c:f>
              <c:strCache>
                <c:ptCount val="1"/>
                <c:pt idx="0">
                  <c:v>Cluster 9</c:v>
                </c:pt>
              </c:strCache>
            </c:strRef>
          </c:tx>
          <c:spPr>
            <a:solidFill>
              <a:schemeClr val="accent4">
                <a:lumMod val="60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SituationAnalysis!$B$223:$B$225</c:f>
              <c:strCache>
                <c:ptCount val="2"/>
                <c:pt idx="0">
                  <c:v>GCA</c:v>
                </c:pt>
                <c:pt idx="1">
                  <c:v>NGCA</c:v>
                </c:pt>
              </c:strCache>
            </c:strRef>
          </c:cat>
          <c:val>
            <c:numRef>
              <c:f>SituationAnalysis!$L$223:$L$225</c:f>
              <c:numCache>
                <c:formatCode>0</c:formatCode>
                <c:ptCount val="2"/>
                <c:pt idx="0">
                  <c:v>9.1999999999999993</c:v>
                </c:pt>
                <c:pt idx="1">
                  <c:v>22.3</c:v>
                </c:pt>
              </c:numCache>
            </c:numRef>
          </c:val>
        </c:ser>
        <c:dLbls>
          <c:showLegendKey val="0"/>
          <c:showVal val="1"/>
          <c:showCatName val="0"/>
          <c:showSerName val="0"/>
          <c:showPercent val="0"/>
          <c:showBubbleSize val="0"/>
        </c:dLbls>
        <c:gapWidth val="150"/>
        <c:shape val="box"/>
        <c:axId val="230029840"/>
        <c:axId val="230030232"/>
        <c:axId val="0"/>
      </c:bar3DChart>
      <c:catAx>
        <c:axId val="2300298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030232"/>
        <c:crosses val="autoZero"/>
        <c:auto val="1"/>
        <c:lblAlgn val="ctr"/>
        <c:lblOffset val="100"/>
        <c:noMultiLvlLbl val="0"/>
      </c:catAx>
      <c:valAx>
        <c:axId val="230030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029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a:scene3d>
      <a:camera prst="orthographicFront"/>
      <a:lightRig rig="threePt" dir="t"/>
    </a:scene3d>
    <a:sp3d>
      <a:bevelT prst="relaxedInset"/>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2015.xlsx]SituationAnalysis!PivotTable10</c:name>
    <c:fmtId val="42"/>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Projection of Bathroom</a:t>
            </a:r>
            <a:r>
              <a:rPr lang="en-US" b="1" baseline="0"/>
              <a:t> coverage end of project</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bar3DChart>
        <c:barDir val="col"/>
        <c:grouping val="stacked"/>
        <c:varyColors val="0"/>
        <c:ser>
          <c:idx val="0"/>
          <c:order val="0"/>
          <c:tx>
            <c:strRef>
              <c:f>SituationAnalysis!$C$334</c:f>
              <c:strCache>
                <c:ptCount val="1"/>
                <c:pt idx="0">
                  <c:v>% Bathroom need coverage</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SituationAnalysis!$B$335:$B$337</c:f>
              <c:strCache>
                <c:ptCount val="2"/>
                <c:pt idx="0">
                  <c:v>GCA</c:v>
                </c:pt>
                <c:pt idx="1">
                  <c:v>NGCA</c:v>
                </c:pt>
              </c:strCache>
            </c:strRef>
          </c:cat>
          <c:val>
            <c:numRef>
              <c:f>SituationAnalysis!$C$335:$C$337</c:f>
              <c:numCache>
                <c:formatCode>0%</c:formatCode>
                <c:ptCount val="2"/>
                <c:pt idx="0">
                  <c:v>0.60578469249242983</c:v>
                </c:pt>
                <c:pt idx="1">
                  <c:v>0.50412211248061378</c:v>
                </c:pt>
              </c:numCache>
            </c:numRef>
          </c:val>
        </c:ser>
        <c:ser>
          <c:idx val="1"/>
          <c:order val="1"/>
          <c:tx>
            <c:strRef>
              <c:f>SituationAnalysis!$D$334</c:f>
              <c:strCache>
                <c:ptCount val="1"/>
                <c:pt idx="0">
                  <c:v>% Projection Bathrrom coverage EOP</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SituationAnalysis!$B$335:$B$337</c:f>
              <c:strCache>
                <c:ptCount val="2"/>
                <c:pt idx="0">
                  <c:v>GCA</c:v>
                </c:pt>
                <c:pt idx="1">
                  <c:v>NGCA</c:v>
                </c:pt>
              </c:strCache>
            </c:strRef>
          </c:cat>
          <c:val>
            <c:numRef>
              <c:f>SituationAnalysis!$D$335:$D$337</c:f>
              <c:numCache>
                <c:formatCode>0%</c:formatCode>
                <c:ptCount val="2"/>
                <c:pt idx="0">
                  <c:v>7.6351467056489583E-2</c:v>
                </c:pt>
                <c:pt idx="1">
                  <c:v>1.1903790166790096E-3</c:v>
                </c:pt>
              </c:numCache>
            </c:numRef>
          </c:val>
        </c:ser>
        <c:dLbls>
          <c:showLegendKey val="0"/>
          <c:showVal val="1"/>
          <c:showCatName val="0"/>
          <c:showSerName val="0"/>
          <c:showPercent val="0"/>
          <c:showBubbleSize val="0"/>
        </c:dLbls>
        <c:gapWidth val="150"/>
        <c:shape val="box"/>
        <c:axId val="230031016"/>
        <c:axId val="230031408"/>
        <c:axId val="0"/>
      </c:bar3DChart>
      <c:catAx>
        <c:axId val="23003101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031408"/>
        <c:crosses val="autoZero"/>
        <c:auto val="1"/>
        <c:lblAlgn val="ctr"/>
        <c:lblOffset val="100"/>
        <c:noMultiLvlLbl val="0"/>
      </c:catAx>
      <c:valAx>
        <c:axId val="230031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031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a:scene3d>
      <a:camera prst="orthographicFront"/>
      <a:lightRig rig="threePt" dir="t"/>
    </a:scene3d>
    <a:sp3d>
      <a:bevelT prst="relaxedInset"/>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2015.xlsx]SituationAnalysis!PivotTable30</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Needs coverage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s>
    <c:plotArea>
      <c:layout/>
      <c:barChart>
        <c:barDir val="col"/>
        <c:grouping val="clustered"/>
        <c:varyColors val="0"/>
        <c:ser>
          <c:idx val="0"/>
          <c:order val="0"/>
          <c:tx>
            <c:strRef>
              <c:f>SituationAnalysis!$AA$83</c:f>
              <c:strCache>
                <c:ptCount val="1"/>
                <c:pt idx="0">
                  <c:v>% Water Need coverage</c:v>
                </c:pt>
              </c:strCache>
            </c:strRef>
          </c:tx>
          <c:spPr>
            <a:solidFill>
              <a:schemeClr val="accent1"/>
            </a:solidFill>
            <a:ln>
              <a:noFill/>
            </a:ln>
            <a:effectLst/>
          </c:spPr>
          <c:invertIfNegative val="0"/>
          <c:cat>
            <c:strRef>
              <c:f>SituationAnalysis!$Z$84:$Z$235</c:f>
              <c:strCache>
                <c:ptCount val="151"/>
                <c:pt idx="0">
                  <c:v>5 Ward Baptist Church(lon Khin)</c:v>
                </c:pt>
                <c:pt idx="1">
                  <c:v>5 Ward RC Church(lon Khin)</c:v>
                </c:pt>
                <c:pt idx="2">
                  <c:v>AD-2000 Extension camp</c:v>
                </c:pt>
                <c:pt idx="3">
                  <c:v>AD-2000 Tharthana Compound*</c:v>
                </c:pt>
                <c:pt idx="4">
                  <c:v>AG Church, Hmaw Si Sa</c:v>
                </c:pt>
                <c:pt idx="5">
                  <c:v>AG Church, Maw Wan</c:v>
                </c:pt>
                <c:pt idx="6">
                  <c:v>Agritural Compound (KBC)</c:v>
                </c:pt>
                <c:pt idx="7">
                  <c:v>Aung Thar Church</c:v>
                </c:pt>
                <c:pt idx="8">
                  <c:v>Bang Lung</c:v>
                </c:pt>
                <c:pt idx="9">
                  <c:v>Baptist Church, Hmaw Si Sar(Lon Khin)</c:v>
                </c:pt>
                <c:pt idx="10">
                  <c:v>Baptist Church, Sai Ra village</c:v>
                </c:pt>
                <c:pt idx="11">
                  <c:v>Border Post 8</c:v>
                </c:pt>
                <c:pt idx="12">
                  <c:v>Bum Tsit Pa * (1)</c:v>
                </c:pt>
                <c:pt idx="13">
                  <c:v>Bum Tsit Pa * (2)</c:v>
                </c:pt>
                <c:pt idx="14">
                  <c:v>Chin Church, Seik Mu</c:v>
                </c:pt>
                <c:pt idx="15">
                  <c:v>Chipwi KBC camp</c:v>
                </c:pt>
                <c:pt idx="16">
                  <c:v>Clutural Compound</c:v>
                </c:pt>
                <c:pt idx="17">
                  <c:v>Dhama Rakhita, Nyein Chan Tar Yar Ward(Lon Khin)</c:v>
                </c:pt>
                <c:pt idx="18">
                  <c:v>Du Kahtawng Qtr. 14</c:v>
                </c:pt>
                <c:pt idx="19">
                  <c:v>Du Kahtawng Qtr. 4</c:v>
                </c:pt>
                <c:pt idx="20">
                  <c:v>Du Kahtawng Qtr. 5</c:v>
                </c:pt>
                <c:pt idx="21">
                  <c:v>Dum Bung </c:v>
                </c:pt>
                <c:pt idx="22">
                  <c:v>Hkat Cho </c:v>
                </c:pt>
                <c:pt idx="23">
                  <c:v>Hkau Shau (BP 12)</c:v>
                </c:pt>
                <c:pt idx="24">
                  <c:v>Hlaing Naung Baptist</c:v>
                </c:pt>
                <c:pt idx="25">
                  <c:v>Hmaw Wan, Anglican</c:v>
                </c:pt>
                <c:pt idx="26">
                  <c:v>Hpakant Baptist Church, Nam Ma Hpit</c:v>
                </c:pt>
                <c:pt idx="27">
                  <c:v>Hpare Hkyer - BP6</c:v>
                </c:pt>
                <c:pt idx="28">
                  <c:v>Hpun Lum Yang </c:v>
                </c:pt>
                <c:pt idx="29">
                  <c:v>Htoi San Church*</c:v>
                </c:pt>
                <c:pt idx="30">
                  <c:v>Jan Mai Kawng Baptist Church</c:v>
                </c:pt>
                <c:pt idx="31">
                  <c:v>Jan Mai Kawng Catholic Church</c:v>
                </c:pt>
                <c:pt idx="32">
                  <c:v>Jaw 2</c:v>
                </c:pt>
                <c:pt idx="33">
                  <c:v>Je Yang Hka </c:v>
                </c:pt>
                <c:pt idx="34">
                  <c:v>Kachin Su Baptist Church (ECCD)</c:v>
                </c:pt>
                <c:pt idx="35">
                  <c:v>Khar Nan (1) Baptist Church</c:v>
                </c:pt>
                <c:pt idx="36">
                  <c:v>Kone Khem Camp</c:v>
                </c:pt>
                <c:pt idx="37">
                  <c:v>Kutkai downtown (KBC Church)</c:v>
                </c:pt>
                <c:pt idx="38">
                  <c:v>Kutkai downtown (RC Church)</c:v>
                </c:pt>
                <c:pt idx="39">
                  <c:v>Kyun Pin Thar Baptist Church</c:v>
                </c:pt>
                <c:pt idx="40">
                  <c:v>Kyun Taw Baptist Church </c:v>
                </c:pt>
                <c:pt idx="41">
                  <c:v>La Ja</c:v>
                </c:pt>
                <c:pt idx="42">
                  <c:v>Lana Zup Ja *</c:v>
                </c:pt>
                <c:pt idx="43">
                  <c:v>Lawk Awng Mare D. (Sinbo Area)</c:v>
                </c:pt>
                <c:pt idx="44">
                  <c:v>Le Kone Bethlehem Church</c:v>
                </c:pt>
                <c:pt idx="45">
                  <c:v>Le Kone Ziun Baptist Church </c:v>
                </c:pt>
                <c:pt idx="46">
                  <c:v>Lhaovao Baptist Church (LBC)</c:v>
                </c:pt>
                <c:pt idx="47">
                  <c:v>Lisu Baptist Church, Maw Shan Vil,. Seik Mu</c:v>
                </c:pt>
                <c:pt idx="48">
                  <c:v>Lisu Baptist Church, Maw Wan Ward</c:v>
                </c:pt>
                <c:pt idx="49">
                  <c:v>Lisu Boarding-House</c:v>
                </c:pt>
                <c:pt idx="50">
                  <c:v>Loi Je Baptist Church</c:v>
                </c:pt>
                <c:pt idx="51">
                  <c:v>Loi Je Catholic Church</c:v>
                </c:pt>
                <c:pt idx="52">
                  <c:v>Loi Je Lisu  (1) Camp</c:v>
                </c:pt>
                <c:pt idx="53">
                  <c:v>Loi Je Lisu  (2) Camp</c:v>
                </c:pt>
                <c:pt idx="54">
                  <c:v>Loi Je Lisu  (3) Camp</c:v>
                </c:pt>
                <c:pt idx="55">
                  <c:v>Loi Je Nyaung Na Pin </c:v>
                </c:pt>
                <c:pt idx="56">
                  <c:v>Loi Je Seng Ja </c:v>
                </c:pt>
                <c:pt idx="57">
                  <c:v>Mading Baptist Church</c:v>
                </c:pt>
                <c:pt idx="58">
                  <c:v>Maga Yang </c:v>
                </c:pt>
                <c:pt idx="59">
                  <c:v>Maina AG Church</c:v>
                </c:pt>
                <c:pt idx="60">
                  <c:v>Maina Catholic Church (St. Joseph)</c:v>
                </c:pt>
                <c:pt idx="61">
                  <c:v>Maina KBC (Bawng Ring)</c:v>
                </c:pt>
                <c:pt idx="62">
                  <c:v>Maina Lawang Baptist Church</c:v>
                </c:pt>
                <c:pt idx="63">
                  <c:v>Maing Khaung Baptist Church</c:v>
                </c:pt>
                <c:pt idx="64">
                  <c:v>Maing Khaung Catholic Church</c:v>
                </c:pt>
                <c:pt idx="65">
                  <c:v>Maliyang Baptist Church</c:v>
                </c:pt>
                <c:pt idx="66">
                  <c:v>Man Bung Catholic compound</c:v>
                </c:pt>
                <c:pt idx="67">
                  <c:v>Man Bung Edin Baptist Church</c:v>
                </c:pt>
                <c:pt idx="68">
                  <c:v>Man Hkring Baptist Church</c:v>
                </c:pt>
                <c:pt idx="69">
                  <c:v>Man Wing Baptist Church*</c:v>
                </c:pt>
                <c:pt idx="70">
                  <c:v>Man Wing Catholic Church*</c:v>
                </c:pt>
                <c:pt idx="71">
                  <c:v>Mandalay Monestry</c:v>
                </c:pt>
                <c:pt idx="72">
                  <c:v>Mandung - Jinghpaw</c:v>
                </c:pt>
                <c:pt idx="73">
                  <c:v>Mandung - RC</c:v>
                </c:pt>
                <c:pt idx="74">
                  <c:v>Mang Hawng Baptist Church</c:v>
                </c:pt>
                <c:pt idx="75">
                  <c:v>Mansi Baptist Church*</c:v>
                </c:pt>
                <c:pt idx="76">
                  <c:v>Maw Hpawng Hka Nan Baptist Church</c:v>
                </c:pt>
                <c:pt idx="77">
                  <c:v>Maw Hpawng Lhaovo Baptist Church</c:v>
                </c:pt>
                <c:pt idx="78">
                  <c:v>Maw Wan, Mu-yin Baptist Church</c:v>
                </c:pt>
                <c:pt idx="79">
                  <c:v>Mine Yu Lay village</c:v>
                </c:pt>
                <c:pt idx="80">
                  <c:v>Momauk Baptist Church</c:v>
                </c:pt>
                <c:pt idx="81">
                  <c:v>Mungji Pa Dabang (Baptist Church)         </c:v>
                </c:pt>
                <c:pt idx="82">
                  <c:v>Mungji Pa Dabang (RC Church)         </c:v>
                </c:pt>
                <c:pt idx="83">
                  <c:v>Muse KBC Church</c:v>
                </c:pt>
                <c:pt idx="84">
                  <c:v>Muse RC Church</c:v>
                </c:pt>
                <c:pt idx="85">
                  <c:v>Mu-yin Baptist Church</c:v>
                </c:pt>
                <c:pt idx="86">
                  <c:v>MWG -RC2</c:v>
                </c:pt>
                <c:pt idx="87">
                  <c:v>Nam Hkam - Nay Win Ni (Palawng)</c:v>
                </c:pt>
                <c:pt idx="88">
                  <c:v>Nam Hkam (KBC Jaw Wang)</c:v>
                </c:pt>
                <c:pt idx="89">
                  <c:v>Nam Hkam Catholic Church ( St. Thomas I)</c:v>
                </c:pt>
                <c:pt idx="90">
                  <c:v>Nam Hkawng/Manaung kaung</c:v>
                </c:pt>
                <c:pt idx="91">
                  <c:v>Nam Hpak Ka Mare </c:v>
                </c:pt>
                <c:pt idx="92">
                  <c:v>Nam Ma Phyit, COC</c:v>
                </c:pt>
                <c:pt idx="93">
                  <c:v>Namtu Baptist</c:v>
                </c:pt>
                <c:pt idx="94">
                  <c:v>Nan Kway St. John Catholic Church</c:v>
                </c:pt>
                <c:pt idx="95">
                  <c:v>Nant Hlaing Church</c:v>
                </c:pt>
                <c:pt idx="96">
                  <c:v>Nant Ma Hpit Catholic Church</c:v>
                </c:pt>
                <c:pt idx="97">
                  <c:v>Narte</c:v>
                </c:pt>
                <c:pt idx="98">
                  <c:v>Nat Gyi Kone Baptist Church </c:v>
                </c:pt>
                <c:pt idx="99">
                  <c:v>Nawng Hee Village</c:v>
                </c:pt>
                <c:pt idx="100">
                  <c:v>Nawng Ing (Indawgyi) Baptist Church  </c:v>
                </c:pt>
                <c:pt idx="101">
                  <c:v>Nhkawng Pa </c:v>
                </c:pt>
                <c:pt idx="102">
                  <c:v>Ni Thaw Ka Monestry</c:v>
                </c:pt>
                <c:pt idx="103">
                  <c:v>Njang Dung Baptist Church </c:v>
                </c:pt>
                <c:pt idx="104">
                  <c:v>Pa Dauk Myaing(Pa La Na)</c:v>
                </c:pt>
                <c:pt idx="105">
                  <c:v>Pa Kahtawng 1 A</c:v>
                </c:pt>
                <c:pt idx="106">
                  <c:v>Pa Kahtawng 1B</c:v>
                </c:pt>
                <c:pt idx="107">
                  <c:v>Pa Kahtawng 2</c:v>
                </c:pt>
                <c:pt idx="108">
                  <c:v>Pajau / Jan Mai</c:v>
                </c:pt>
                <c:pt idx="109">
                  <c:v>Pan Wa</c:v>
                </c:pt>
                <c:pt idx="110">
                  <c:v>Phan Khar Kone*</c:v>
                </c:pt>
                <c:pt idx="111">
                  <c:v>Post 6 Camp</c:v>
                </c:pt>
                <c:pt idx="112">
                  <c:v>Qtr. 2 Lhaovo Baptist Church</c:v>
                </c:pt>
                <c:pt idx="113">
                  <c:v>Qtr. 2 Myoma Baptist Church</c:v>
                </c:pt>
                <c:pt idx="114">
                  <c:v>Qtr. 3 Mu-yin  Baptist Church</c:v>
                </c:pt>
                <c:pt idx="115">
                  <c:v>Qtr. 4 Monestry (Thargaya Thayett Taw)</c:v>
                </c:pt>
                <c:pt idx="116">
                  <c:v>Rawan Baptist Church, Maw Shan Vil., Seik Mu</c:v>
                </c:pt>
                <c:pt idx="117">
                  <c:v>Robert Church*</c:v>
                </c:pt>
                <c:pt idx="118">
                  <c:v>Sai Nai Baptish Church, Maw Shan Vil., Seki Mu</c:v>
                </c:pt>
                <c:pt idx="119">
                  <c:v>Shatapru Sut Ngai Tawng</c:v>
                </c:pt>
                <c:pt idx="120">
                  <c:v>Shatapru Thida Aye Baptist Church</c:v>
                </c:pt>
                <c:pt idx="121">
                  <c:v>Shing Jai</c:v>
                </c:pt>
                <c:pt idx="122">
                  <c:v>Shwe Gu Baptist Church</c:v>
                </c:pt>
                <c:pt idx="123">
                  <c:v>Shwe Gu Catholic Church</c:v>
                </c:pt>
                <c:pt idx="124">
                  <c:v>Shwe Zet Baptist Church</c:v>
                </c:pt>
                <c:pt idx="125">
                  <c:v>St. Patrick Catholic Church </c:v>
                </c:pt>
                <c:pt idx="126">
                  <c:v>Ta Gun Taing Monastery (Shwe Kyi Na)</c:v>
                </c:pt>
                <c:pt idx="127">
                  <c:v>Tat Kone (Ra Da Kawng)</c:v>
                </c:pt>
                <c:pt idx="128">
                  <c:v>Tat Kone Baptist Church</c:v>
                </c:pt>
                <c:pt idx="129">
                  <c:v>Tat Kone COC Baptist / Tat Kone Htoi San</c:v>
                </c:pt>
                <c:pt idx="130">
                  <c:v>Tat Kone Emanuel Church</c:v>
                </c:pt>
                <c:pt idx="131">
                  <c:v>Tat Kone Galile Baptist Church</c:v>
                </c:pt>
                <c:pt idx="132">
                  <c:v>Tat Kone San Pya Baptist Church</c:v>
                </c:pt>
                <c:pt idx="133">
                  <c:v>Thargaya Lisu Baptist Church</c:v>
                </c:pt>
                <c:pt idx="134">
                  <c:v>Waingmaw AG Church</c:v>
                </c:pt>
                <c:pt idx="135">
                  <c:v>Ward 2 Sai Taung Baptist Church, Seik Mu </c:v>
                </c:pt>
                <c:pt idx="136">
                  <c:v>Woi Chyai </c:v>
                </c:pt>
                <c:pt idx="137">
                  <c:v>Wun Tho Buddhist Monastery</c:v>
                </c:pt>
                <c:pt idx="138">
                  <c:v>Yoe Kyi Monastery</c:v>
                </c:pt>
                <c:pt idx="139">
                  <c:v>Yumar Baptist Church</c:v>
                </c:pt>
                <c:pt idx="140">
                  <c:v>Zai Awng / Mung Ga Zup</c:v>
                </c:pt>
                <c:pt idx="141">
                  <c:v>Zup Aung Camp</c:v>
                </c:pt>
                <c:pt idx="142">
                  <c:v>Woi Chyai (Mong Lai)</c:v>
                </c:pt>
                <c:pt idx="143">
                  <c:v>Bum Tsit Pa * (3)</c:v>
                </c:pt>
                <c:pt idx="144">
                  <c:v>Ku Day Maw KBC</c:v>
                </c:pt>
                <c:pt idx="145">
                  <c:v>Loi Je Lisu  (4) Camp</c:v>
                </c:pt>
                <c:pt idx="146">
                  <c:v>Pan Wa (Saw Zam) camp </c:v>
                </c:pt>
                <c:pt idx="147">
                  <c:v>Lung Sut</c:v>
                </c:pt>
                <c:pt idx="148">
                  <c:v>Nam Sa Larp</c:v>
                </c:pt>
                <c:pt idx="149">
                  <c:v>Ma Hawng RC </c:v>
                </c:pt>
                <c:pt idx="150">
                  <c:v>Pan Ku</c:v>
                </c:pt>
              </c:strCache>
            </c:strRef>
          </c:cat>
          <c:val>
            <c:numRef>
              <c:f>SituationAnalysis!$AA$84:$AA$235</c:f>
              <c:numCache>
                <c:formatCode>0%</c:formatCode>
                <c:ptCount val="15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0.43715846994535523</c:v>
                </c:pt>
                <c:pt idx="38">
                  <c:v>1</c:v>
                </c:pt>
                <c:pt idx="39">
                  <c:v>1</c:v>
                </c:pt>
                <c:pt idx="40">
                  <c:v>1</c:v>
                </c:pt>
                <c:pt idx="41">
                  <c:v>0</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0.92961487383798147</c:v>
                </c:pt>
                <c:pt idx="82">
                  <c:v>1</c:v>
                </c:pt>
                <c:pt idx="83">
                  <c:v>1</c:v>
                </c:pt>
                <c:pt idx="84">
                  <c:v>0.52493438320209973</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numCache>
            </c:numRef>
          </c:val>
        </c:ser>
        <c:ser>
          <c:idx val="1"/>
          <c:order val="1"/>
          <c:tx>
            <c:strRef>
              <c:f>SituationAnalysis!$AB$83</c:f>
              <c:strCache>
                <c:ptCount val="1"/>
                <c:pt idx="0">
                  <c:v>% Latrine need coverage</c:v>
                </c:pt>
              </c:strCache>
            </c:strRef>
          </c:tx>
          <c:spPr>
            <a:solidFill>
              <a:schemeClr val="accent2"/>
            </a:solidFill>
            <a:ln>
              <a:noFill/>
            </a:ln>
            <a:effectLst/>
          </c:spPr>
          <c:invertIfNegative val="0"/>
          <c:cat>
            <c:strRef>
              <c:f>SituationAnalysis!$Z$84:$Z$235</c:f>
              <c:strCache>
                <c:ptCount val="151"/>
                <c:pt idx="0">
                  <c:v>5 Ward Baptist Church(lon Khin)</c:v>
                </c:pt>
                <c:pt idx="1">
                  <c:v>5 Ward RC Church(lon Khin)</c:v>
                </c:pt>
                <c:pt idx="2">
                  <c:v>AD-2000 Extension camp</c:v>
                </c:pt>
                <c:pt idx="3">
                  <c:v>AD-2000 Tharthana Compound*</c:v>
                </c:pt>
                <c:pt idx="4">
                  <c:v>AG Church, Hmaw Si Sa</c:v>
                </c:pt>
                <c:pt idx="5">
                  <c:v>AG Church, Maw Wan</c:v>
                </c:pt>
                <c:pt idx="6">
                  <c:v>Agritural Compound (KBC)</c:v>
                </c:pt>
                <c:pt idx="7">
                  <c:v>Aung Thar Church</c:v>
                </c:pt>
                <c:pt idx="8">
                  <c:v>Bang Lung</c:v>
                </c:pt>
                <c:pt idx="9">
                  <c:v>Baptist Church, Hmaw Si Sar(Lon Khin)</c:v>
                </c:pt>
                <c:pt idx="10">
                  <c:v>Baptist Church, Sai Ra village</c:v>
                </c:pt>
                <c:pt idx="11">
                  <c:v>Border Post 8</c:v>
                </c:pt>
                <c:pt idx="12">
                  <c:v>Bum Tsit Pa * (1)</c:v>
                </c:pt>
                <c:pt idx="13">
                  <c:v>Bum Tsit Pa * (2)</c:v>
                </c:pt>
                <c:pt idx="14">
                  <c:v>Chin Church, Seik Mu</c:v>
                </c:pt>
                <c:pt idx="15">
                  <c:v>Chipwi KBC camp</c:v>
                </c:pt>
                <c:pt idx="16">
                  <c:v>Clutural Compound</c:v>
                </c:pt>
                <c:pt idx="17">
                  <c:v>Dhama Rakhita, Nyein Chan Tar Yar Ward(Lon Khin)</c:v>
                </c:pt>
                <c:pt idx="18">
                  <c:v>Du Kahtawng Qtr. 14</c:v>
                </c:pt>
                <c:pt idx="19">
                  <c:v>Du Kahtawng Qtr. 4</c:v>
                </c:pt>
                <c:pt idx="20">
                  <c:v>Du Kahtawng Qtr. 5</c:v>
                </c:pt>
                <c:pt idx="21">
                  <c:v>Dum Bung </c:v>
                </c:pt>
                <c:pt idx="22">
                  <c:v>Hkat Cho </c:v>
                </c:pt>
                <c:pt idx="23">
                  <c:v>Hkau Shau (BP 12)</c:v>
                </c:pt>
                <c:pt idx="24">
                  <c:v>Hlaing Naung Baptist</c:v>
                </c:pt>
                <c:pt idx="25">
                  <c:v>Hmaw Wan, Anglican</c:v>
                </c:pt>
                <c:pt idx="26">
                  <c:v>Hpakant Baptist Church, Nam Ma Hpit</c:v>
                </c:pt>
                <c:pt idx="27">
                  <c:v>Hpare Hkyer - BP6</c:v>
                </c:pt>
                <c:pt idx="28">
                  <c:v>Hpun Lum Yang </c:v>
                </c:pt>
                <c:pt idx="29">
                  <c:v>Htoi San Church*</c:v>
                </c:pt>
                <c:pt idx="30">
                  <c:v>Jan Mai Kawng Baptist Church</c:v>
                </c:pt>
                <c:pt idx="31">
                  <c:v>Jan Mai Kawng Catholic Church</c:v>
                </c:pt>
                <c:pt idx="32">
                  <c:v>Jaw 2</c:v>
                </c:pt>
                <c:pt idx="33">
                  <c:v>Je Yang Hka </c:v>
                </c:pt>
                <c:pt idx="34">
                  <c:v>Kachin Su Baptist Church (ECCD)</c:v>
                </c:pt>
                <c:pt idx="35">
                  <c:v>Khar Nan (1) Baptist Church</c:v>
                </c:pt>
                <c:pt idx="36">
                  <c:v>Kone Khem Camp</c:v>
                </c:pt>
                <c:pt idx="37">
                  <c:v>Kutkai downtown (KBC Church)</c:v>
                </c:pt>
                <c:pt idx="38">
                  <c:v>Kutkai downtown (RC Church)</c:v>
                </c:pt>
                <c:pt idx="39">
                  <c:v>Kyun Pin Thar Baptist Church</c:v>
                </c:pt>
                <c:pt idx="40">
                  <c:v>Kyun Taw Baptist Church </c:v>
                </c:pt>
                <c:pt idx="41">
                  <c:v>La Ja</c:v>
                </c:pt>
                <c:pt idx="42">
                  <c:v>Lana Zup Ja *</c:v>
                </c:pt>
                <c:pt idx="43">
                  <c:v>Lawk Awng Mare D. (Sinbo Area)</c:v>
                </c:pt>
                <c:pt idx="44">
                  <c:v>Le Kone Bethlehem Church</c:v>
                </c:pt>
                <c:pt idx="45">
                  <c:v>Le Kone Ziun Baptist Church </c:v>
                </c:pt>
                <c:pt idx="46">
                  <c:v>Lhaovao Baptist Church (LBC)</c:v>
                </c:pt>
                <c:pt idx="47">
                  <c:v>Lisu Baptist Church, Maw Shan Vil,. Seik Mu</c:v>
                </c:pt>
                <c:pt idx="48">
                  <c:v>Lisu Baptist Church, Maw Wan Ward</c:v>
                </c:pt>
                <c:pt idx="49">
                  <c:v>Lisu Boarding-House</c:v>
                </c:pt>
                <c:pt idx="50">
                  <c:v>Loi Je Baptist Church</c:v>
                </c:pt>
                <c:pt idx="51">
                  <c:v>Loi Je Catholic Church</c:v>
                </c:pt>
                <c:pt idx="52">
                  <c:v>Loi Je Lisu  (1) Camp</c:v>
                </c:pt>
                <c:pt idx="53">
                  <c:v>Loi Je Lisu  (2) Camp</c:v>
                </c:pt>
                <c:pt idx="54">
                  <c:v>Loi Je Lisu  (3) Camp</c:v>
                </c:pt>
                <c:pt idx="55">
                  <c:v>Loi Je Nyaung Na Pin </c:v>
                </c:pt>
                <c:pt idx="56">
                  <c:v>Loi Je Seng Ja </c:v>
                </c:pt>
                <c:pt idx="57">
                  <c:v>Mading Baptist Church</c:v>
                </c:pt>
                <c:pt idx="58">
                  <c:v>Maga Yang </c:v>
                </c:pt>
                <c:pt idx="59">
                  <c:v>Maina AG Church</c:v>
                </c:pt>
                <c:pt idx="60">
                  <c:v>Maina Catholic Church (St. Joseph)</c:v>
                </c:pt>
                <c:pt idx="61">
                  <c:v>Maina KBC (Bawng Ring)</c:v>
                </c:pt>
                <c:pt idx="62">
                  <c:v>Maina Lawang Baptist Church</c:v>
                </c:pt>
                <c:pt idx="63">
                  <c:v>Maing Khaung Baptist Church</c:v>
                </c:pt>
                <c:pt idx="64">
                  <c:v>Maing Khaung Catholic Church</c:v>
                </c:pt>
                <c:pt idx="65">
                  <c:v>Maliyang Baptist Church</c:v>
                </c:pt>
                <c:pt idx="66">
                  <c:v>Man Bung Catholic compound</c:v>
                </c:pt>
                <c:pt idx="67">
                  <c:v>Man Bung Edin Baptist Church</c:v>
                </c:pt>
                <c:pt idx="68">
                  <c:v>Man Hkring Baptist Church</c:v>
                </c:pt>
                <c:pt idx="69">
                  <c:v>Man Wing Baptist Church*</c:v>
                </c:pt>
                <c:pt idx="70">
                  <c:v>Man Wing Catholic Church*</c:v>
                </c:pt>
                <c:pt idx="71">
                  <c:v>Mandalay Monestry</c:v>
                </c:pt>
                <c:pt idx="72">
                  <c:v>Mandung - Jinghpaw</c:v>
                </c:pt>
                <c:pt idx="73">
                  <c:v>Mandung - RC</c:v>
                </c:pt>
                <c:pt idx="74">
                  <c:v>Mang Hawng Baptist Church</c:v>
                </c:pt>
                <c:pt idx="75">
                  <c:v>Mansi Baptist Church*</c:v>
                </c:pt>
                <c:pt idx="76">
                  <c:v>Maw Hpawng Hka Nan Baptist Church</c:v>
                </c:pt>
                <c:pt idx="77">
                  <c:v>Maw Hpawng Lhaovo Baptist Church</c:v>
                </c:pt>
                <c:pt idx="78">
                  <c:v>Maw Wan, Mu-yin Baptist Church</c:v>
                </c:pt>
                <c:pt idx="79">
                  <c:v>Mine Yu Lay village</c:v>
                </c:pt>
                <c:pt idx="80">
                  <c:v>Momauk Baptist Church</c:v>
                </c:pt>
                <c:pt idx="81">
                  <c:v>Mungji Pa Dabang (Baptist Church)         </c:v>
                </c:pt>
                <c:pt idx="82">
                  <c:v>Mungji Pa Dabang (RC Church)         </c:v>
                </c:pt>
                <c:pt idx="83">
                  <c:v>Muse KBC Church</c:v>
                </c:pt>
                <c:pt idx="84">
                  <c:v>Muse RC Church</c:v>
                </c:pt>
                <c:pt idx="85">
                  <c:v>Mu-yin Baptist Church</c:v>
                </c:pt>
                <c:pt idx="86">
                  <c:v>MWG -RC2</c:v>
                </c:pt>
                <c:pt idx="87">
                  <c:v>Nam Hkam - Nay Win Ni (Palawng)</c:v>
                </c:pt>
                <c:pt idx="88">
                  <c:v>Nam Hkam (KBC Jaw Wang)</c:v>
                </c:pt>
                <c:pt idx="89">
                  <c:v>Nam Hkam Catholic Church ( St. Thomas I)</c:v>
                </c:pt>
                <c:pt idx="90">
                  <c:v>Nam Hkawng/Manaung kaung</c:v>
                </c:pt>
                <c:pt idx="91">
                  <c:v>Nam Hpak Ka Mare </c:v>
                </c:pt>
                <c:pt idx="92">
                  <c:v>Nam Ma Phyit, COC</c:v>
                </c:pt>
                <c:pt idx="93">
                  <c:v>Namtu Baptist</c:v>
                </c:pt>
                <c:pt idx="94">
                  <c:v>Nan Kway St. John Catholic Church</c:v>
                </c:pt>
                <c:pt idx="95">
                  <c:v>Nant Hlaing Church</c:v>
                </c:pt>
                <c:pt idx="96">
                  <c:v>Nant Ma Hpit Catholic Church</c:v>
                </c:pt>
                <c:pt idx="97">
                  <c:v>Narte</c:v>
                </c:pt>
                <c:pt idx="98">
                  <c:v>Nat Gyi Kone Baptist Church </c:v>
                </c:pt>
                <c:pt idx="99">
                  <c:v>Nawng Hee Village</c:v>
                </c:pt>
                <c:pt idx="100">
                  <c:v>Nawng Ing (Indawgyi) Baptist Church  </c:v>
                </c:pt>
                <c:pt idx="101">
                  <c:v>Nhkawng Pa </c:v>
                </c:pt>
                <c:pt idx="102">
                  <c:v>Ni Thaw Ka Monestry</c:v>
                </c:pt>
                <c:pt idx="103">
                  <c:v>Njang Dung Baptist Church </c:v>
                </c:pt>
                <c:pt idx="104">
                  <c:v>Pa Dauk Myaing(Pa La Na)</c:v>
                </c:pt>
                <c:pt idx="105">
                  <c:v>Pa Kahtawng 1 A</c:v>
                </c:pt>
                <c:pt idx="106">
                  <c:v>Pa Kahtawng 1B</c:v>
                </c:pt>
                <c:pt idx="107">
                  <c:v>Pa Kahtawng 2</c:v>
                </c:pt>
                <c:pt idx="108">
                  <c:v>Pajau / Jan Mai</c:v>
                </c:pt>
                <c:pt idx="109">
                  <c:v>Pan Wa</c:v>
                </c:pt>
                <c:pt idx="110">
                  <c:v>Phan Khar Kone*</c:v>
                </c:pt>
                <c:pt idx="111">
                  <c:v>Post 6 Camp</c:v>
                </c:pt>
                <c:pt idx="112">
                  <c:v>Qtr. 2 Lhaovo Baptist Church</c:v>
                </c:pt>
                <c:pt idx="113">
                  <c:v>Qtr. 2 Myoma Baptist Church</c:v>
                </c:pt>
                <c:pt idx="114">
                  <c:v>Qtr. 3 Mu-yin  Baptist Church</c:v>
                </c:pt>
                <c:pt idx="115">
                  <c:v>Qtr. 4 Monestry (Thargaya Thayett Taw)</c:v>
                </c:pt>
                <c:pt idx="116">
                  <c:v>Rawan Baptist Church, Maw Shan Vil., Seik Mu</c:v>
                </c:pt>
                <c:pt idx="117">
                  <c:v>Robert Church*</c:v>
                </c:pt>
                <c:pt idx="118">
                  <c:v>Sai Nai Baptish Church, Maw Shan Vil., Seki Mu</c:v>
                </c:pt>
                <c:pt idx="119">
                  <c:v>Shatapru Sut Ngai Tawng</c:v>
                </c:pt>
                <c:pt idx="120">
                  <c:v>Shatapru Thida Aye Baptist Church</c:v>
                </c:pt>
                <c:pt idx="121">
                  <c:v>Shing Jai</c:v>
                </c:pt>
                <c:pt idx="122">
                  <c:v>Shwe Gu Baptist Church</c:v>
                </c:pt>
                <c:pt idx="123">
                  <c:v>Shwe Gu Catholic Church</c:v>
                </c:pt>
                <c:pt idx="124">
                  <c:v>Shwe Zet Baptist Church</c:v>
                </c:pt>
                <c:pt idx="125">
                  <c:v>St. Patrick Catholic Church </c:v>
                </c:pt>
                <c:pt idx="126">
                  <c:v>Ta Gun Taing Monastery (Shwe Kyi Na)</c:v>
                </c:pt>
                <c:pt idx="127">
                  <c:v>Tat Kone (Ra Da Kawng)</c:v>
                </c:pt>
                <c:pt idx="128">
                  <c:v>Tat Kone Baptist Church</c:v>
                </c:pt>
                <c:pt idx="129">
                  <c:v>Tat Kone COC Baptist / Tat Kone Htoi San</c:v>
                </c:pt>
                <c:pt idx="130">
                  <c:v>Tat Kone Emanuel Church</c:v>
                </c:pt>
                <c:pt idx="131">
                  <c:v>Tat Kone Galile Baptist Church</c:v>
                </c:pt>
                <c:pt idx="132">
                  <c:v>Tat Kone San Pya Baptist Church</c:v>
                </c:pt>
                <c:pt idx="133">
                  <c:v>Thargaya Lisu Baptist Church</c:v>
                </c:pt>
                <c:pt idx="134">
                  <c:v>Waingmaw AG Church</c:v>
                </c:pt>
                <c:pt idx="135">
                  <c:v>Ward 2 Sai Taung Baptist Church, Seik Mu </c:v>
                </c:pt>
                <c:pt idx="136">
                  <c:v>Woi Chyai </c:v>
                </c:pt>
                <c:pt idx="137">
                  <c:v>Wun Tho Buddhist Monastery</c:v>
                </c:pt>
                <c:pt idx="138">
                  <c:v>Yoe Kyi Monastery</c:v>
                </c:pt>
                <c:pt idx="139">
                  <c:v>Yumar Baptist Church</c:v>
                </c:pt>
                <c:pt idx="140">
                  <c:v>Zai Awng / Mung Ga Zup</c:v>
                </c:pt>
                <c:pt idx="141">
                  <c:v>Zup Aung Camp</c:v>
                </c:pt>
                <c:pt idx="142">
                  <c:v>Woi Chyai (Mong Lai)</c:v>
                </c:pt>
                <c:pt idx="143">
                  <c:v>Bum Tsit Pa * (3)</c:v>
                </c:pt>
                <c:pt idx="144">
                  <c:v>Ku Day Maw KBC</c:v>
                </c:pt>
                <c:pt idx="145">
                  <c:v>Loi Je Lisu  (4) Camp</c:v>
                </c:pt>
                <c:pt idx="146">
                  <c:v>Pan Wa (Saw Zam) camp </c:v>
                </c:pt>
                <c:pt idx="147">
                  <c:v>Lung Sut</c:v>
                </c:pt>
                <c:pt idx="148">
                  <c:v>Nam Sa Larp</c:v>
                </c:pt>
                <c:pt idx="149">
                  <c:v>Ma Hawng RC </c:v>
                </c:pt>
                <c:pt idx="150">
                  <c:v>Pan Ku</c:v>
                </c:pt>
              </c:strCache>
            </c:strRef>
          </c:cat>
          <c:val>
            <c:numRef>
              <c:f>SituationAnalysis!$AB$84:$AB$235</c:f>
              <c:numCache>
                <c:formatCode>0%</c:formatCode>
                <c:ptCount val="151"/>
                <c:pt idx="0">
                  <c:v>0.26315789473684209</c:v>
                </c:pt>
                <c:pt idx="1">
                  <c:v>0.47058823529411764</c:v>
                </c:pt>
                <c:pt idx="2">
                  <c:v>0.59907834101382484</c:v>
                </c:pt>
                <c:pt idx="3">
                  <c:v>0.66321243523316065</c:v>
                </c:pt>
                <c:pt idx="4">
                  <c:v>0.8571428571428571</c:v>
                </c:pt>
                <c:pt idx="5">
                  <c:v>0.96385542168674698</c:v>
                </c:pt>
                <c:pt idx="6">
                  <c:v>0.96</c:v>
                </c:pt>
                <c:pt idx="7">
                  <c:v>1</c:v>
                </c:pt>
                <c:pt idx="8">
                  <c:v>0.77834179357021993</c:v>
                </c:pt>
                <c:pt idx="9">
                  <c:v>0.92592592592592593</c:v>
                </c:pt>
                <c:pt idx="10">
                  <c:v>1</c:v>
                </c:pt>
                <c:pt idx="11">
                  <c:v>1</c:v>
                </c:pt>
                <c:pt idx="12">
                  <c:v>1</c:v>
                </c:pt>
                <c:pt idx="13">
                  <c:v>1</c:v>
                </c:pt>
                <c:pt idx="14">
                  <c:v>1</c:v>
                </c:pt>
                <c:pt idx="15">
                  <c:v>0.69498069498069504</c:v>
                </c:pt>
                <c:pt idx="16">
                  <c:v>0.36072144288577157</c:v>
                </c:pt>
                <c:pt idx="17">
                  <c:v>0.97982708933717577</c:v>
                </c:pt>
                <c:pt idx="18">
                  <c:v>0.7407407407407407</c:v>
                </c:pt>
                <c:pt idx="19">
                  <c:v>1</c:v>
                </c:pt>
                <c:pt idx="20">
                  <c:v>0.76923076923076927</c:v>
                </c:pt>
                <c:pt idx="21">
                  <c:v>1</c:v>
                </c:pt>
                <c:pt idx="22">
                  <c:v>0.94488188976377951</c:v>
                </c:pt>
                <c:pt idx="23">
                  <c:v>1</c:v>
                </c:pt>
                <c:pt idx="24">
                  <c:v>1</c:v>
                </c:pt>
                <c:pt idx="25">
                  <c:v>1</c:v>
                </c:pt>
                <c:pt idx="26">
                  <c:v>0.61538461538461542</c:v>
                </c:pt>
                <c:pt idx="27">
                  <c:v>1</c:v>
                </c:pt>
                <c:pt idx="28">
                  <c:v>1</c:v>
                </c:pt>
                <c:pt idx="29">
                  <c:v>0.58091286307053946</c:v>
                </c:pt>
                <c:pt idx="30">
                  <c:v>1</c:v>
                </c:pt>
                <c:pt idx="31">
                  <c:v>0.85470085470085466</c:v>
                </c:pt>
                <c:pt idx="32">
                  <c:v>0.58536585365853655</c:v>
                </c:pt>
                <c:pt idx="33">
                  <c:v>1</c:v>
                </c:pt>
                <c:pt idx="34">
                  <c:v>1</c:v>
                </c:pt>
                <c:pt idx="35">
                  <c:v>1</c:v>
                </c:pt>
                <c:pt idx="36">
                  <c:v>1</c:v>
                </c:pt>
                <c:pt idx="37">
                  <c:v>0.39344262295081966</c:v>
                </c:pt>
                <c:pt idx="38">
                  <c:v>1</c:v>
                </c:pt>
                <c:pt idx="39">
                  <c:v>0.82901554404145072</c:v>
                </c:pt>
                <c:pt idx="40">
                  <c:v>1</c:v>
                </c:pt>
                <c:pt idx="41">
                  <c:v>0</c:v>
                </c:pt>
                <c:pt idx="42">
                  <c:v>0.79656384224912147</c:v>
                </c:pt>
                <c:pt idx="43">
                  <c:v>0.88235294117647056</c:v>
                </c:pt>
                <c:pt idx="44">
                  <c:v>0.6097560975609756</c:v>
                </c:pt>
                <c:pt idx="45">
                  <c:v>1</c:v>
                </c:pt>
                <c:pt idx="46">
                  <c:v>1</c:v>
                </c:pt>
                <c:pt idx="47">
                  <c:v>1</c:v>
                </c:pt>
                <c:pt idx="48">
                  <c:v>1</c:v>
                </c:pt>
                <c:pt idx="49">
                  <c:v>0.65522620904836193</c:v>
                </c:pt>
                <c:pt idx="50">
                  <c:v>1</c:v>
                </c:pt>
                <c:pt idx="51">
                  <c:v>1</c:v>
                </c:pt>
                <c:pt idx="52">
                  <c:v>0.58252427184466016</c:v>
                </c:pt>
                <c:pt idx="53">
                  <c:v>0.90909090909090906</c:v>
                </c:pt>
                <c:pt idx="54">
                  <c:v>1</c:v>
                </c:pt>
                <c:pt idx="55">
                  <c:v>1</c:v>
                </c:pt>
                <c:pt idx="56">
                  <c:v>1</c:v>
                </c:pt>
                <c:pt idx="57">
                  <c:v>1</c:v>
                </c:pt>
                <c:pt idx="58">
                  <c:v>1</c:v>
                </c:pt>
                <c:pt idx="59">
                  <c:v>0.65934065934065933</c:v>
                </c:pt>
                <c:pt idx="60">
                  <c:v>0.77795786061588335</c:v>
                </c:pt>
                <c:pt idx="61">
                  <c:v>1</c:v>
                </c:pt>
                <c:pt idx="62">
                  <c:v>1</c:v>
                </c:pt>
                <c:pt idx="63">
                  <c:v>1</c:v>
                </c:pt>
                <c:pt idx="64">
                  <c:v>1</c:v>
                </c:pt>
                <c:pt idx="65">
                  <c:v>0.75471698113207553</c:v>
                </c:pt>
                <c:pt idx="66">
                  <c:v>1</c:v>
                </c:pt>
                <c:pt idx="67">
                  <c:v>0.88669950738916259</c:v>
                </c:pt>
                <c:pt idx="68">
                  <c:v>1</c:v>
                </c:pt>
                <c:pt idx="69">
                  <c:v>0.41176470588235292</c:v>
                </c:pt>
                <c:pt idx="70">
                  <c:v>1</c:v>
                </c:pt>
                <c:pt idx="71">
                  <c:v>1</c:v>
                </c:pt>
                <c:pt idx="72">
                  <c:v>1</c:v>
                </c:pt>
                <c:pt idx="73">
                  <c:v>1</c:v>
                </c:pt>
                <c:pt idx="74">
                  <c:v>1</c:v>
                </c:pt>
                <c:pt idx="75">
                  <c:v>0.97701149425287359</c:v>
                </c:pt>
                <c:pt idx="76">
                  <c:v>1</c:v>
                </c:pt>
                <c:pt idx="77">
                  <c:v>1</c:v>
                </c:pt>
                <c:pt idx="78">
                  <c:v>1</c:v>
                </c:pt>
                <c:pt idx="79">
                  <c:v>1</c:v>
                </c:pt>
                <c:pt idx="80">
                  <c:v>0.6327372764786795</c:v>
                </c:pt>
                <c:pt idx="81">
                  <c:v>1</c:v>
                </c:pt>
                <c:pt idx="82">
                  <c:v>1</c:v>
                </c:pt>
                <c:pt idx="83">
                  <c:v>0.8</c:v>
                </c:pt>
                <c:pt idx="84">
                  <c:v>1</c:v>
                </c:pt>
                <c:pt idx="85">
                  <c:v>0.86021505376344087</c:v>
                </c:pt>
                <c:pt idx="86">
                  <c:v>0.58287795992714031</c:v>
                </c:pt>
                <c:pt idx="87">
                  <c:v>0.95238095238095233</c:v>
                </c:pt>
                <c:pt idx="88">
                  <c:v>0.6872852233676976</c:v>
                </c:pt>
                <c:pt idx="89">
                  <c:v>0.92165898617511521</c:v>
                </c:pt>
                <c:pt idx="90">
                  <c:v>1</c:v>
                </c:pt>
                <c:pt idx="91">
                  <c:v>1</c:v>
                </c:pt>
                <c:pt idx="92">
                  <c:v>1</c:v>
                </c:pt>
                <c:pt idx="93">
                  <c:v>1</c:v>
                </c:pt>
                <c:pt idx="94">
                  <c:v>1</c:v>
                </c:pt>
                <c:pt idx="95">
                  <c:v>1</c:v>
                </c:pt>
                <c:pt idx="96">
                  <c:v>0.73529411764705888</c:v>
                </c:pt>
                <c:pt idx="97">
                  <c:v>1</c:v>
                </c:pt>
                <c:pt idx="98">
                  <c:v>1</c:v>
                </c:pt>
                <c:pt idx="99">
                  <c:v>1</c:v>
                </c:pt>
                <c:pt idx="100">
                  <c:v>1</c:v>
                </c:pt>
                <c:pt idx="101">
                  <c:v>1</c:v>
                </c:pt>
                <c:pt idx="102">
                  <c:v>0.86956521739130432</c:v>
                </c:pt>
                <c:pt idx="103">
                  <c:v>0.72398190045248867</c:v>
                </c:pt>
                <c:pt idx="104">
                  <c:v>1</c:v>
                </c:pt>
                <c:pt idx="105">
                  <c:v>1</c:v>
                </c:pt>
                <c:pt idx="106">
                  <c:v>1</c:v>
                </c:pt>
                <c:pt idx="107">
                  <c:v>1</c:v>
                </c:pt>
                <c:pt idx="108">
                  <c:v>1</c:v>
                </c:pt>
                <c:pt idx="109">
                  <c:v>0.99071207430340558</c:v>
                </c:pt>
                <c:pt idx="110">
                  <c:v>1</c:v>
                </c:pt>
                <c:pt idx="111">
                  <c:v>1</c:v>
                </c:pt>
                <c:pt idx="112">
                  <c:v>0.5865102639296188</c:v>
                </c:pt>
                <c:pt idx="113">
                  <c:v>0.77922077922077926</c:v>
                </c:pt>
                <c:pt idx="114">
                  <c:v>0.94117647058823528</c:v>
                </c:pt>
                <c:pt idx="115">
                  <c:v>1</c:v>
                </c:pt>
                <c:pt idx="116">
                  <c:v>1</c:v>
                </c:pt>
                <c:pt idx="117">
                  <c:v>0.79873049457815393</c:v>
                </c:pt>
                <c:pt idx="118">
                  <c:v>1</c:v>
                </c:pt>
                <c:pt idx="119">
                  <c:v>0.75376884422110557</c:v>
                </c:pt>
                <c:pt idx="120">
                  <c:v>1</c:v>
                </c:pt>
                <c:pt idx="121">
                  <c:v>0.87042532146389717</c:v>
                </c:pt>
                <c:pt idx="122">
                  <c:v>1</c:v>
                </c:pt>
                <c:pt idx="123">
                  <c:v>1</c:v>
                </c:pt>
                <c:pt idx="124">
                  <c:v>0.76555023923444976</c:v>
                </c:pt>
                <c:pt idx="125">
                  <c:v>1</c:v>
                </c:pt>
                <c:pt idx="126">
                  <c:v>1</c:v>
                </c:pt>
                <c:pt idx="127">
                  <c:v>0.82644628099173556</c:v>
                </c:pt>
                <c:pt idx="128">
                  <c:v>0.69620253164556967</c:v>
                </c:pt>
                <c:pt idx="129">
                  <c:v>1</c:v>
                </c:pt>
                <c:pt idx="130">
                  <c:v>0.70175438596491224</c:v>
                </c:pt>
                <c:pt idx="131">
                  <c:v>0.92715231788079466</c:v>
                </c:pt>
                <c:pt idx="132">
                  <c:v>0.898876404494382</c:v>
                </c:pt>
                <c:pt idx="133">
                  <c:v>1</c:v>
                </c:pt>
                <c:pt idx="134">
                  <c:v>0.59945504087193457</c:v>
                </c:pt>
                <c:pt idx="135">
                  <c:v>0.90452261306532666</c:v>
                </c:pt>
                <c:pt idx="136">
                  <c:v>1</c:v>
                </c:pt>
                <c:pt idx="137">
                  <c:v>1</c:v>
                </c:pt>
                <c:pt idx="138">
                  <c:v>1</c:v>
                </c:pt>
                <c:pt idx="139">
                  <c:v>1</c:v>
                </c:pt>
                <c:pt idx="140">
                  <c:v>1</c:v>
                </c:pt>
                <c:pt idx="141">
                  <c:v>1</c:v>
                </c:pt>
                <c:pt idx="142">
                  <c:v>1</c:v>
                </c:pt>
                <c:pt idx="143">
                  <c:v>1</c:v>
                </c:pt>
                <c:pt idx="144">
                  <c:v>0.51502145922746778</c:v>
                </c:pt>
                <c:pt idx="145">
                  <c:v>0.80645161290322576</c:v>
                </c:pt>
                <c:pt idx="146">
                  <c:v>0.48484848484848486</c:v>
                </c:pt>
                <c:pt idx="147">
                  <c:v>0.5161290322580645</c:v>
                </c:pt>
                <c:pt idx="148">
                  <c:v>0.89686098654708524</c:v>
                </c:pt>
                <c:pt idx="149">
                  <c:v>1</c:v>
                </c:pt>
                <c:pt idx="150">
                  <c:v>1</c:v>
                </c:pt>
              </c:numCache>
            </c:numRef>
          </c:val>
        </c:ser>
        <c:ser>
          <c:idx val="2"/>
          <c:order val="2"/>
          <c:tx>
            <c:strRef>
              <c:f>SituationAnalysis!$AC$83</c:f>
              <c:strCache>
                <c:ptCount val="1"/>
                <c:pt idx="0">
                  <c:v>% Bathroom need coverage</c:v>
                </c:pt>
              </c:strCache>
            </c:strRef>
          </c:tx>
          <c:spPr>
            <a:solidFill>
              <a:schemeClr val="accent3"/>
            </a:solidFill>
            <a:ln>
              <a:noFill/>
            </a:ln>
            <a:effectLst/>
          </c:spPr>
          <c:invertIfNegative val="0"/>
          <c:cat>
            <c:strRef>
              <c:f>SituationAnalysis!$Z$84:$Z$235</c:f>
              <c:strCache>
                <c:ptCount val="151"/>
                <c:pt idx="0">
                  <c:v>5 Ward Baptist Church(lon Khin)</c:v>
                </c:pt>
                <c:pt idx="1">
                  <c:v>5 Ward RC Church(lon Khin)</c:v>
                </c:pt>
                <c:pt idx="2">
                  <c:v>AD-2000 Extension camp</c:v>
                </c:pt>
                <c:pt idx="3">
                  <c:v>AD-2000 Tharthana Compound*</c:v>
                </c:pt>
                <c:pt idx="4">
                  <c:v>AG Church, Hmaw Si Sa</c:v>
                </c:pt>
                <c:pt idx="5">
                  <c:v>AG Church, Maw Wan</c:v>
                </c:pt>
                <c:pt idx="6">
                  <c:v>Agritural Compound (KBC)</c:v>
                </c:pt>
                <c:pt idx="7">
                  <c:v>Aung Thar Church</c:v>
                </c:pt>
                <c:pt idx="8">
                  <c:v>Bang Lung</c:v>
                </c:pt>
                <c:pt idx="9">
                  <c:v>Baptist Church, Hmaw Si Sar(Lon Khin)</c:v>
                </c:pt>
                <c:pt idx="10">
                  <c:v>Baptist Church, Sai Ra village</c:v>
                </c:pt>
                <c:pt idx="11">
                  <c:v>Border Post 8</c:v>
                </c:pt>
                <c:pt idx="12">
                  <c:v>Bum Tsit Pa * (1)</c:v>
                </c:pt>
                <c:pt idx="13">
                  <c:v>Bum Tsit Pa * (2)</c:v>
                </c:pt>
                <c:pt idx="14">
                  <c:v>Chin Church, Seik Mu</c:v>
                </c:pt>
                <c:pt idx="15">
                  <c:v>Chipwi KBC camp</c:v>
                </c:pt>
                <c:pt idx="16">
                  <c:v>Clutural Compound</c:v>
                </c:pt>
                <c:pt idx="17">
                  <c:v>Dhama Rakhita, Nyein Chan Tar Yar Ward(Lon Khin)</c:v>
                </c:pt>
                <c:pt idx="18">
                  <c:v>Du Kahtawng Qtr. 14</c:v>
                </c:pt>
                <c:pt idx="19">
                  <c:v>Du Kahtawng Qtr. 4</c:v>
                </c:pt>
                <c:pt idx="20">
                  <c:v>Du Kahtawng Qtr. 5</c:v>
                </c:pt>
                <c:pt idx="21">
                  <c:v>Dum Bung </c:v>
                </c:pt>
                <c:pt idx="22">
                  <c:v>Hkat Cho </c:v>
                </c:pt>
                <c:pt idx="23">
                  <c:v>Hkau Shau (BP 12)</c:v>
                </c:pt>
                <c:pt idx="24">
                  <c:v>Hlaing Naung Baptist</c:v>
                </c:pt>
                <c:pt idx="25">
                  <c:v>Hmaw Wan, Anglican</c:v>
                </c:pt>
                <c:pt idx="26">
                  <c:v>Hpakant Baptist Church, Nam Ma Hpit</c:v>
                </c:pt>
                <c:pt idx="27">
                  <c:v>Hpare Hkyer - BP6</c:v>
                </c:pt>
                <c:pt idx="28">
                  <c:v>Hpun Lum Yang </c:v>
                </c:pt>
                <c:pt idx="29">
                  <c:v>Htoi San Church*</c:v>
                </c:pt>
                <c:pt idx="30">
                  <c:v>Jan Mai Kawng Baptist Church</c:v>
                </c:pt>
                <c:pt idx="31">
                  <c:v>Jan Mai Kawng Catholic Church</c:v>
                </c:pt>
                <c:pt idx="32">
                  <c:v>Jaw 2</c:v>
                </c:pt>
                <c:pt idx="33">
                  <c:v>Je Yang Hka </c:v>
                </c:pt>
                <c:pt idx="34">
                  <c:v>Kachin Su Baptist Church (ECCD)</c:v>
                </c:pt>
                <c:pt idx="35">
                  <c:v>Khar Nan (1) Baptist Church</c:v>
                </c:pt>
                <c:pt idx="36">
                  <c:v>Kone Khem Camp</c:v>
                </c:pt>
                <c:pt idx="37">
                  <c:v>Kutkai downtown (KBC Church)</c:v>
                </c:pt>
                <c:pt idx="38">
                  <c:v>Kutkai downtown (RC Church)</c:v>
                </c:pt>
                <c:pt idx="39">
                  <c:v>Kyun Pin Thar Baptist Church</c:v>
                </c:pt>
                <c:pt idx="40">
                  <c:v>Kyun Taw Baptist Church </c:v>
                </c:pt>
                <c:pt idx="41">
                  <c:v>La Ja</c:v>
                </c:pt>
                <c:pt idx="42">
                  <c:v>Lana Zup Ja *</c:v>
                </c:pt>
                <c:pt idx="43">
                  <c:v>Lawk Awng Mare D. (Sinbo Area)</c:v>
                </c:pt>
                <c:pt idx="44">
                  <c:v>Le Kone Bethlehem Church</c:v>
                </c:pt>
                <c:pt idx="45">
                  <c:v>Le Kone Ziun Baptist Church </c:v>
                </c:pt>
                <c:pt idx="46">
                  <c:v>Lhaovao Baptist Church (LBC)</c:v>
                </c:pt>
                <c:pt idx="47">
                  <c:v>Lisu Baptist Church, Maw Shan Vil,. Seik Mu</c:v>
                </c:pt>
                <c:pt idx="48">
                  <c:v>Lisu Baptist Church, Maw Wan Ward</c:v>
                </c:pt>
                <c:pt idx="49">
                  <c:v>Lisu Boarding-House</c:v>
                </c:pt>
                <c:pt idx="50">
                  <c:v>Loi Je Baptist Church</c:v>
                </c:pt>
                <c:pt idx="51">
                  <c:v>Loi Je Catholic Church</c:v>
                </c:pt>
                <c:pt idx="52">
                  <c:v>Loi Je Lisu  (1) Camp</c:v>
                </c:pt>
                <c:pt idx="53">
                  <c:v>Loi Je Lisu  (2) Camp</c:v>
                </c:pt>
                <c:pt idx="54">
                  <c:v>Loi Je Lisu  (3) Camp</c:v>
                </c:pt>
                <c:pt idx="55">
                  <c:v>Loi Je Nyaung Na Pin </c:v>
                </c:pt>
                <c:pt idx="56">
                  <c:v>Loi Je Seng Ja </c:v>
                </c:pt>
                <c:pt idx="57">
                  <c:v>Mading Baptist Church</c:v>
                </c:pt>
                <c:pt idx="58">
                  <c:v>Maga Yang </c:v>
                </c:pt>
                <c:pt idx="59">
                  <c:v>Maina AG Church</c:v>
                </c:pt>
                <c:pt idx="60">
                  <c:v>Maina Catholic Church (St. Joseph)</c:v>
                </c:pt>
                <c:pt idx="61">
                  <c:v>Maina KBC (Bawng Ring)</c:v>
                </c:pt>
                <c:pt idx="62">
                  <c:v>Maina Lawang Baptist Church</c:v>
                </c:pt>
                <c:pt idx="63">
                  <c:v>Maing Khaung Baptist Church</c:v>
                </c:pt>
                <c:pt idx="64">
                  <c:v>Maing Khaung Catholic Church</c:v>
                </c:pt>
                <c:pt idx="65">
                  <c:v>Maliyang Baptist Church</c:v>
                </c:pt>
                <c:pt idx="66">
                  <c:v>Man Bung Catholic compound</c:v>
                </c:pt>
                <c:pt idx="67">
                  <c:v>Man Bung Edin Baptist Church</c:v>
                </c:pt>
                <c:pt idx="68">
                  <c:v>Man Hkring Baptist Church</c:v>
                </c:pt>
                <c:pt idx="69">
                  <c:v>Man Wing Baptist Church*</c:v>
                </c:pt>
                <c:pt idx="70">
                  <c:v>Man Wing Catholic Church*</c:v>
                </c:pt>
                <c:pt idx="71">
                  <c:v>Mandalay Monestry</c:v>
                </c:pt>
                <c:pt idx="72">
                  <c:v>Mandung - Jinghpaw</c:v>
                </c:pt>
                <c:pt idx="73">
                  <c:v>Mandung - RC</c:v>
                </c:pt>
                <c:pt idx="74">
                  <c:v>Mang Hawng Baptist Church</c:v>
                </c:pt>
                <c:pt idx="75">
                  <c:v>Mansi Baptist Church*</c:v>
                </c:pt>
                <c:pt idx="76">
                  <c:v>Maw Hpawng Hka Nan Baptist Church</c:v>
                </c:pt>
                <c:pt idx="77">
                  <c:v>Maw Hpawng Lhaovo Baptist Church</c:v>
                </c:pt>
                <c:pt idx="78">
                  <c:v>Maw Wan, Mu-yin Baptist Church</c:v>
                </c:pt>
                <c:pt idx="79">
                  <c:v>Mine Yu Lay village</c:v>
                </c:pt>
                <c:pt idx="80">
                  <c:v>Momauk Baptist Church</c:v>
                </c:pt>
                <c:pt idx="81">
                  <c:v>Mungji Pa Dabang (Baptist Church)         </c:v>
                </c:pt>
                <c:pt idx="82">
                  <c:v>Mungji Pa Dabang (RC Church)         </c:v>
                </c:pt>
                <c:pt idx="83">
                  <c:v>Muse KBC Church</c:v>
                </c:pt>
                <c:pt idx="84">
                  <c:v>Muse RC Church</c:v>
                </c:pt>
                <c:pt idx="85">
                  <c:v>Mu-yin Baptist Church</c:v>
                </c:pt>
                <c:pt idx="86">
                  <c:v>MWG -RC2</c:v>
                </c:pt>
                <c:pt idx="87">
                  <c:v>Nam Hkam - Nay Win Ni (Palawng)</c:v>
                </c:pt>
                <c:pt idx="88">
                  <c:v>Nam Hkam (KBC Jaw Wang)</c:v>
                </c:pt>
                <c:pt idx="89">
                  <c:v>Nam Hkam Catholic Church ( St. Thomas I)</c:v>
                </c:pt>
                <c:pt idx="90">
                  <c:v>Nam Hkawng/Manaung kaung</c:v>
                </c:pt>
                <c:pt idx="91">
                  <c:v>Nam Hpak Ka Mare </c:v>
                </c:pt>
                <c:pt idx="92">
                  <c:v>Nam Ma Phyit, COC</c:v>
                </c:pt>
                <c:pt idx="93">
                  <c:v>Namtu Baptist</c:v>
                </c:pt>
                <c:pt idx="94">
                  <c:v>Nan Kway St. John Catholic Church</c:v>
                </c:pt>
                <c:pt idx="95">
                  <c:v>Nant Hlaing Church</c:v>
                </c:pt>
                <c:pt idx="96">
                  <c:v>Nant Ma Hpit Catholic Church</c:v>
                </c:pt>
                <c:pt idx="97">
                  <c:v>Narte</c:v>
                </c:pt>
                <c:pt idx="98">
                  <c:v>Nat Gyi Kone Baptist Church </c:v>
                </c:pt>
                <c:pt idx="99">
                  <c:v>Nawng Hee Village</c:v>
                </c:pt>
                <c:pt idx="100">
                  <c:v>Nawng Ing (Indawgyi) Baptist Church  </c:v>
                </c:pt>
                <c:pt idx="101">
                  <c:v>Nhkawng Pa </c:v>
                </c:pt>
                <c:pt idx="102">
                  <c:v>Ni Thaw Ka Monestry</c:v>
                </c:pt>
                <c:pt idx="103">
                  <c:v>Njang Dung Baptist Church </c:v>
                </c:pt>
                <c:pt idx="104">
                  <c:v>Pa Dauk Myaing(Pa La Na)</c:v>
                </c:pt>
                <c:pt idx="105">
                  <c:v>Pa Kahtawng 1 A</c:v>
                </c:pt>
                <c:pt idx="106">
                  <c:v>Pa Kahtawng 1B</c:v>
                </c:pt>
                <c:pt idx="107">
                  <c:v>Pa Kahtawng 2</c:v>
                </c:pt>
                <c:pt idx="108">
                  <c:v>Pajau / Jan Mai</c:v>
                </c:pt>
                <c:pt idx="109">
                  <c:v>Pan Wa</c:v>
                </c:pt>
                <c:pt idx="110">
                  <c:v>Phan Khar Kone*</c:v>
                </c:pt>
                <c:pt idx="111">
                  <c:v>Post 6 Camp</c:v>
                </c:pt>
                <c:pt idx="112">
                  <c:v>Qtr. 2 Lhaovo Baptist Church</c:v>
                </c:pt>
                <c:pt idx="113">
                  <c:v>Qtr. 2 Myoma Baptist Church</c:v>
                </c:pt>
                <c:pt idx="114">
                  <c:v>Qtr. 3 Mu-yin  Baptist Church</c:v>
                </c:pt>
                <c:pt idx="115">
                  <c:v>Qtr. 4 Monestry (Thargaya Thayett Taw)</c:v>
                </c:pt>
                <c:pt idx="116">
                  <c:v>Rawan Baptist Church, Maw Shan Vil., Seik Mu</c:v>
                </c:pt>
                <c:pt idx="117">
                  <c:v>Robert Church*</c:v>
                </c:pt>
                <c:pt idx="118">
                  <c:v>Sai Nai Baptish Church, Maw Shan Vil., Seki Mu</c:v>
                </c:pt>
                <c:pt idx="119">
                  <c:v>Shatapru Sut Ngai Tawng</c:v>
                </c:pt>
                <c:pt idx="120">
                  <c:v>Shatapru Thida Aye Baptist Church</c:v>
                </c:pt>
                <c:pt idx="121">
                  <c:v>Shing Jai</c:v>
                </c:pt>
                <c:pt idx="122">
                  <c:v>Shwe Gu Baptist Church</c:v>
                </c:pt>
                <c:pt idx="123">
                  <c:v>Shwe Gu Catholic Church</c:v>
                </c:pt>
                <c:pt idx="124">
                  <c:v>Shwe Zet Baptist Church</c:v>
                </c:pt>
                <c:pt idx="125">
                  <c:v>St. Patrick Catholic Church </c:v>
                </c:pt>
                <c:pt idx="126">
                  <c:v>Ta Gun Taing Monastery (Shwe Kyi Na)</c:v>
                </c:pt>
                <c:pt idx="127">
                  <c:v>Tat Kone (Ra Da Kawng)</c:v>
                </c:pt>
                <c:pt idx="128">
                  <c:v>Tat Kone Baptist Church</c:v>
                </c:pt>
                <c:pt idx="129">
                  <c:v>Tat Kone COC Baptist / Tat Kone Htoi San</c:v>
                </c:pt>
                <c:pt idx="130">
                  <c:v>Tat Kone Emanuel Church</c:v>
                </c:pt>
                <c:pt idx="131">
                  <c:v>Tat Kone Galile Baptist Church</c:v>
                </c:pt>
                <c:pt idx="132">
                  <c:v>Tat Kone San Pya Baptist Church</c:v>
                </c:pt>
                <c:pt idx="133">
                  <c:v>Thargaya Lisu Baptist Church</c:v>
                </c:pt>
                <c:pt idx="134">
                  <c:v>Waingmaw AG Church</c:v>
                </c:pt>
                <c:pt idx="135">
                  <c:v>Ward 2 Sai Taung Baptist Church, Seik Mu </c:v>
                </c:pt>
                <c:pt idx="136">
                  <c:v>Woi Chyai </c:v>
                </c:pt>
                <c:pt idx="137">
                  <c:v>Wun Tho Buddhist Monastery</c:v>
                </c:pt>
                <c:pt idx="138">
                  <c:v>Yoe Kyi Monastery</c:v>
                </c:pt>
                <c:pt idx="139">
                  <c:v>Yumar Baptist Church</c:v>
                </c:pt>
                <c:pt idx="140">
                  <c:v>Zai Awng / Mung Ga Zup</c:v>
                </c:pt>
                <c:pt idx="141">
                  <c:v>Zup Aung Camp</c:v>
                </c:pt>
                <c:pt idx="142">
                  <c:v>Woi Chyai (Mong Lai)</c:v>
                </c:pt>
                <c:pt idx="143">
                  <c:v>Bum Tsit Pa * (3)</c:v>
                </c:pt>
                <c:pt idx="144">
                  <c:v>Ku Day Maw KBC</c:v>
                </c:pt>
                <c:pt idx="145">
                  <c:v>Loi Je Lisu  (4) Camp</c:v>
                </c:pt>
                <c:pt idx="146">
                  <c:v>Pan Wa (Saw Zam) camp </c:v>
                </c:pt>
                <c:pt idx="147">
                  <c:v>Lung Sut</c:v>
                </c:pt>
                <c:pt idx="148">
                  <c:v>Nam Sa Larp</c:v>
                </c:pt>
                <c:pt idx="149">
                  <c:v>Ma Hawng RC </c:v>
                </c:pt>
                <c:pt idx="150">
                  <c:v>Pan Ku</c:v>
                </c:pt>
              </c:strCache>
            </c:strRef>
          </c:cat>
          <c:val>
            <c:numRef>
              <c:f>SituationAnalysis!$AC$84:$AC$235</c:f>
              <c:numCache>
                <c:formatCode>0%</c:formatCode>
                <c:ptCount val="151"/>
                <c:pt idx="0">
                  <c:v>0.52631578947368418</c:v>
                </c:pt>
                <c:pt idx="1">
                  <c:v>0.47058823529411764</c:v>
                </c:pt>
                <c:pt idx="2">
                  <c:v>0.46082949308755761</c:v>
                </c:pt>
                <c:pt idx="3">
                  <c:v>0.31088082901554404</c:v>
                </c:pt>
                <c:pt idx="4">
                  <c:v>0.5714285714285714</c:v>
                </c:pt>
                <c:pt idx="5">
                  <c:v>1</c:v>
                </c:pt>
                <c:pt idx="6">
                  <c:v>0.64</c:v>
                </c:pt>
                <c:pt idx="7">
                  <c:v>0</c:v>
                </c:pt>
                <c:pt idx="8">
                  <c:v>1</c:v>
                </c:pt>
                <c:pt idx="9">
                  <c:v>0.92592592592592593</c:v>
                </c:pt>
                <c:pt idx="10">
                  <c:v>1</c:v>
                </c:pt>
                <c:pt idx="11">
                  <c:v>0.15503875968992248</c:v>
                </c:pt>
                <c:pt idx="12">
                  <c:v>0.53908355795148244</c:v>
                </c:pt>
                <c:pt idx="13">
                  <c:v>0.34168564920273348</c:v>
                </c:pt>
                <c:pt idx="14">
                  <c:v>1</c:v>
                </c:pt>
                <c:pt idx="15">
                  <c:v>0.77220077220077221</c:v>
                </c:pt>
                <c:pt idx="16">
                  <c:v>1</c:v>
                </c:pt>
                <c:pt idx="17">
                  <c:v>0.86455331412103742</c:v>
                </c:pt>
                <c:pt idx="18">
                  <c:v>1</c:v>
                </c:pt>
                <c:pt idx="19">
                  <c:v>1</c:v>
                </c:pt>
                <c:pt idx="20">
                  <c:v>1</c:v>
                </c:pt>
                <c:pt idx="21">
                  <c:v>0.64516129032258063</c:v>
                </c:pt>
                <c:pt idx="22">
                  <c:v>0.78740157480314965</c:v>
                </c:pt>
                <c:pt idx="23">
                  <c:v>0.24752475247524752</c:v>
                </c:pt>
                <c:pt idx="24">
                  <c:v>1</c:v>
                </c:pt>
                <c:pt idx="25">
                  <c:v>1</c:v>
                </c:pt>
                <c:pt idx="26">
                  <c:v>0.57692307692307687</c:v>
                </c:pt>
                <c:pt idx="27">
                  <c:v>0.45819014891179838</c:v>
                </c:pt>
                <c:pt idx="28">
                  <c:v>0.26223776223776224</c:v>
                </c:pt>
                <c:pt idx="29">
                  <c:v>0.82987551867219922</c:v>
                </c:pt>
                <c:pt idx="30">
                  <c:v>0.43149946062567424</c:v>
                </c:pt>
                <c:pt idx="31">
                  <c:v>0.21367521367521367</c:v>
                </c:pt>
                <c:pt idx="32">
                  <c:v>1</c:v>
                </c:pt>
                <c:pt idx="33">
                  <c:v>0.77273354491513735</c:v>
                </c:pt>
                <c:pt idx="34">
                  <c:v>1</c:v>
                </c:pt>
                <c:pt idx="35">
                  <c:v>1</c:v>
                </c:pt>
                <c:pt idx="36">
                  <c:v>0.21367521367521367</c:v>
                </c:pt>
                <c:pt idx="37">
                  <c:v>0.65573770491803274</c:v>
                </c:pt>
                <c:pt idx="38">
                  <c:v>1</c:v>
                </c:pt>
                <c:pt idx="39">
                  <c:v>1</c:v>
                </c:pt>
                <c:pt idx="40">
                  <c:v>1</c:v>
                </c:pt>
                <c:pt idx="41">
                  <c:v>0</c:v>
                </c:pt>
                <c:pt idx="42">
                  <c:v>0.11714174150722374</c:v>
                </c:pt>
                <c:pt idx="43">
                  <c:v>0</c:v>
                </c:pt>
                <c:pt idx="44">
                  <c:v>0.3048780487804878</c:v>
                </c:pt>
                <c:pt idx="45">
                  <c:v>0.64935064935064934</c:v>
                </c:pt>
                <c:pt idx="46">
                  <c:v>0.9375</c:v>
                </c:pt>
                <c:pt idx="47">
                  <c:v>1</c:v>
                </c:pt>
                <c:pt idx="48">
                  <c:v>1</c:v>
                </c:pt>
                <c:pt idx="49">
                  <c:v>0.78003120124804992</c:v>
                </c:pt>
                <c:pt idx="50">
                  <c:v>1</c:v>
                </c:pt>
                <c:pt idx="51">
                  <c:v>1</c:v>
                </c:pt>
                <c:pt idx="52">
                  <c:v>0.24271844660194175</c:v>
                </c:pt>
                <c:pt idx="53">
                  <c:v>0.45454545454545453</c:v>
                </c:pt>
                <c:pt idx="54">
                  <c:v>0.86956521739130432</c:v>
                </c:pt>
                <c:pt idx="55">
                  <c:v>1</c:v>
                </c:pt>
                <c:pt idx="56">
                  <c:v>1</c:v>
                </c:pt>
                <c:pt idx="57">
                  <c:v>1</c:v>
                </c:pt>
                <c:pt idx="58">
                  <c:v>0.99274532264222981</c:v>
                </c:pt>
                <c:pt idx="59">
                  <c:v>0.5494505494505495</c:v>
                </c:pt>
                <c:pt idx="60">
                  <c:v>0.32414910858995138</c:v>
                </c:pt>
                <c:pt idx="61">
                  <c:v>0.28971511347175277</c:v>
                </c:pt>
                <c:pt idx="62">
                  <c:v>1</c:v>
                </c:pt>
                <c:pt idx="63">
                  <c:v>0.34965034965034963</c:v>
                </c:pt>
                <c:pt idx="64">
                  <c:v>0.66889632107023411</c:v>
                </c:pt>
                <c:pt idx="65">
                  <c:v>0.62893081761006286</c:v>
                </c:pt>
                <c:pt idx="66">
                  <c:v>0.64874884151992585</c:v>
                </c:pt>
                <c:pt idx="67">
                  <c:v>0.73891625615763545</c:v>
                </c:pt>
                <c:pt idx="68">
                  <c:v>0.54347826086956519</c:v>
                </c:pt>
                <c:pt idx="69">
                  <c:v>0.29411764705882354</c:v>
                </c:pt>
                <c:pt idx="70">
                  <c:v>0.38077106139933364</c:v>
                </c:pt>
                <c:pt idx="71">
                  <c:v>1</c:v>
                </c:pt>
                <c:pt idx="72">
                  <c:v>1</c:v>
                </c:pt>
                <c:pt idx="73">
                  <c:v>1</c:v>
                </c:pt>
                <c:pt idx="74">
                  <c:v>1</c:v>
                </c:pt>
                <c:pt idx="75">
                  <c:v>0.86206896551724133</c:v>
                </c:pt>
                <c:pt idx="76">
                  <c:v>1</c:v>
                </c:pt>
                <c:pt idx="77">
                  <c:v>1</c:v>
                </c:pt>
                <c:pt idx="78">
                  <c:v>1</c:v>
                </c:pt>
                <c:pt idx="79">
                  <c:v>1</c:v>
                </c:pt>
                <c:pt idx="80">
                  <c:v>0.55020632737276476</c:v>
                </c:pt>
                <c:pt idx="81">
                  <c:v>1</c:v>
                </c:pt>
                <c:pt idx="82">
                  <c:v>1</c:v>
                </c:pt>
                <c:pt idx="83">
                  <c:v>1</c:v>
                </c:pt>
                <c:pt idx="84">
                  <c:v>1</c:v>
                </c:pt>
                <c:pt idx="85">
                  <c:v>1</c:v>
                </c:pt>
                <c:pt idx="86">
                  <c:v>0.36429872495446264</c:v>
                </c:pt>
                <c:pt idx="87">
                  <c:v>0.52910052910052907</c:v>
                </c:pt>
                <c:pt idx="88">
                  <c:v>0.6872852233676976</c:v>
                </c:pt>
                <c:pt idx="89">
                  <c:v>0.92165898617511521</c:v>
                </c:pt>
                <c:pt idx="90">
                  <c:v>1</c:v>
                </c:pt>
                <c:pt idx="91">
                  <c:v>0.73260073260073255</c:v>
                </c:pt>
                <c:pt idx="92">
                  <c:v>1</c:v>
                </c:pt>
                <c:pt idx="93">
                  <c:v>1</c:v>
                </c:pt>
                <c:pt idx="94">
                  <c:v>0.97402597402597402</c:v>
                </c:pt>
                <c:pt idx="95">
                  <c:v>1</c:v>
                </c:pt>
                <c:pt idx="96">
                  <c:v>0.73529411764705888</c:v>
                </c:pt>
                <c:pt idx="97">
                  <c:v>0</c:v>
                </c:pt>
                <c:pt idx="98">
                  <c:v>1</c:v>
                </c:pt>
                <c:pt idx="99">
                  <c:v>1</c:v>
                </c:pt>
                <c:pt idx="100">
                  <c:v>1</c:v>
                </c:pt>
                <c:pt idx="101">
                  <c:v>0.42865890998162892</c:v>
                </c:pt>
                <c:pt idx="102">
                  <c:v>1</c:v>
                </c:pt>
                <c:pt idx="103">
                  <c:v>0.90497737556561086</c:v>
                </c:pt>
                <c:pt idx="104">
                  <c:v>1</c:v>
                </c:pt>
                <c:pt idx="105">
                  <c:v>0.14903129657228018</c:v>
                </c:pt>
                <c:pt idx="106">
                  <c:v>1</c:v>
                </c:pt>
                <c:pt idx="107">
                  <c:v>0.74349442379182151</c:v>
                </c:pt>
                <c:pt idx="108">
                  <c:v>0.78534031413612571</c:v>
                </c:pt>
                <c:pt idx="109">
                  <c:v>0.61919504643962853</c:v>
                </c:pt>
                <c:pt idx="110">
                  <c:v>1</c:v>
                </c:pt>
                <c:pt idx="111">
                  <c:v>0.3125</c:v>
                </c:pt>
                <c:pt idx="112">
                  <c:v>0.87976539589442815</c:v>
                </c:pt>
                <c:pt idx="113">
                  <c:v>0.64935064935064934</c:v>
                </c:pt>
                <c:pt idx="114">
                  <c:v>1</c:v>
                </c:pt>
                <c:pt idx="115">
                  <c:v>0.63424947145877375</c:v>
                </c:pt>
                <c:pt idx="116">
                  <c:v>1</c:v>
                </c:pt>
                <c:pt idx="117">
                  <c:v>0.26448029621793179</c:v>
                </c:pt>
                <c:pt idx="118">
                  <c:v>1</c:v>
                </c:pt>
                <c:pt idx="119">
                  <c:v>0.50251256281407031</c:v>
                </c:pt>
                <c:pt idx="120">
                  <c:v>1</c:v>
                </c:pt>
                <c:pt idx="121">
                  <c:v>0.59347181008902072</c:v>
                </c:pt>
                <c:pt idx="122">
                  <c:v>1</c:v>
                </c:pt>
                <c:pt idx="123">
                  <c:v>1</c:v>
                </c:pt>
                <c:pt idx="124">
                  <c:v>0.4784688995215311</c:v>
                </c:pt>
                <c:pt idx="125">
                  <c:v>1</c:v>
                </c:pt>
                <c:pt idx="126">
                  <c:v>1</c:v>
                </c:pt>
                <c:pt idx="127">
                  <c:v>0.82644628099173556</c:v>
                </c:pt>
                <c:pt idx="128">
                  <c:v>0.63291139240506333</c:v>
                </c:pt>
                <c:pt idx="129">
                  <c:v>1</c:v>
                </c:pt>
                <c:pt idx="130">
                  <c:v>1</c:v>
                </c:pt>
                <c:pt idx="131">
                  <c:v>1</c:v>
                </c:pt>
                <c:pt idx="132">
                  <c:v>0.5617977528089888</c:v>
                </c:pt>
                <c:pt idx="133">
                  <c:v>1</c:v>
                </c:pt>
                <c:pt idx="134">
                  <c:v>1</c:v>
                </c:pt>
                <c:pt idx="135">
                  <c:v>1</c:v>
                </c:pt>
                <c:pt idx="136">
                  <c:v>1</c:v>
                </c:pt>
                <c:pt idx="137">
                  <c:v>1</c:v>
                </c:pt>
                <c:pt idx="138">
                  <c:v>1</c:v>
                </c:pt>
                <c:pt idx="139">
                  <c:v>1</c:v>
                </c:pt>
                <c:pt idx="140">
                  <c:v>0.46403712296983757</c:v>
                </c:pt>
                <c:pt idx="141">
                  <c:v>1</c:v>
                </c:pt>
                <c:pt idx="142">
                  <c:v>1</c:v>
                </c:pt>
                <c:pt idx="143">
                  <c:v>1</c:v>
                </c:pt>
                <c:pt idx="144">
                  <c:v>0.42918454935622319</c:v>
                </c:pt>
                <c:pt idx="145">
                  <c:v>0.80645161290322576</c:v>
                </c:pt>
                <c:pt idx="146">
                  <c:v>0</c:v>
                </c:pt>
                <c:pt idx="147">
                  <c:v>0</c:v>
                </c:pt>
                <c:pt idx="148">
                  <c:v>0</c:v>
                </c:pt>
                <c:pt idx="149">
                  <c:v>0</c:v>
                </c:pt>
                <c:pt idx="150">
                  <c:v>0</c:v>
                </c:pt>
              </c:numCache>
            </c:numRef>
          </c:val>
        </c:ser>
        <c:dLbls>
          <c:showLegendKey val="0"/>
          <c:showVal val="0"/>
          <c:showCatName val="0"/>
          <c:showSerName val="0"/>
          <c:showPercent val="0"/>
          <c:showBubbleSize val="0"/>
        </c:dLbls>
        <c:gapWidth val="219"/>
        <c:overlap val="-27"/>
        <c:axId val="230032192"/>
        <c:axId val="230032584"/>
      </c:barChart>
      <c:catAx>
        <c:axId val="23003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032584"/>
        <c:crosses val="autoZero"/>
        <c:auto val="1"/>
        <c:lblAlgn val="ctr"/>
        <c:lblOffset val="100"/>
        <c:noMultiLvlLbl val="0"/>
      </c:catAx>
      <c:valAx>
        <c:axId val="23003258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032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a:scene3d>
      <a:camera prst="orthographicFront"/>
      <a:lightRig rig="threePt" dir="t"/>
    </a:scene3d>
    <a:sp3d>
      <a:bevelT prst="relaxedInset"/>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2015.xlsx]SituationAnalysis!PivotTable19</c:name>
    <c:fmtId val="20"/>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Latrine Type coverage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pivotFmt>
      <c:pivotFmt>
        <c:idx val="1"/>
        <c:spPr>
          <a:solidFill>
            <a:schemeClr val="accent1"/>
          </a:solidFill>
          <a:ln>
            <a:noFill/>
          </a:ln>
          <a:effectLst/>
          <a:sp3d/>
        </c:spPr>
        <c:marker>
          <c:symbol val="none"/>
        </c:marker>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bar3DChart>
        <c:barDir val="col"/>
        <c:grouping val="stacked"/>
        <c:varyColors val="0"/>
        <c:ser>
          <c:idx val="0"/>
          <c:order val="0"/>
          <c:tx>
            <c:strRef>
              <c:f>SituationAnalysis!$C$282</c:f>
              <c:strCache>
                <c:ptCount val="1"/>
                <c:pt idx="0">
                  <c:v>% Coverage Permanent Latrine</c:v>
                </c:pt>
              </c:strCache>
            </c:strRef>
          </c:tx>
          <c:spPr>
            <a:solidFill>
              <a:schemeClr val="accent1"/>
            </a:solidFill>
            <a:ln>
              <a:noFill/>
            </a:ln>
            <a:effectLst/>
            <a:sp3d/>
          </c:spPr>
          <c:invertIfNegative val="0"/>
          <c:cat>
            <c:strRef>
              <c:f>SituationAnalysis!$B$283:$B$293</c:f>
              <c:strCache>
                <c:ptCount val="10"/>
                <c:pt idx="0">
                  <c:v>Cluster 1</c:v>
                </c:pt>
                <c:pt idx="1">
                  <c:v>Cluster 2</c:v>
                </c:pt>
                <c:pt idx="2">
                  <c:v>Cluster 3</c:v>
                </c:pt>
                <c:pt idx="3">
                  <c:v>Cluster 4</c:v>
                </c:pt>
                <c:pt idx="4">
                  <c:v>Cluster 5</c:v>
                </c:pt>
                <c:pt idx="5">
                  <c:v>Cluster 6</c:v>
                </c:pt>
                <c:pt idx="6">
                  <c:v>Cluster 7</c:v>
                </c:pt>
                <c:pt idx="7">
                  <c:v>Cluster 8</c:v>
                </c:pt>
                <c:pt idx="8">
                  <c:v>Cluster 9</c:v>
                </c:pt>
                <c:pt idx="9">
                  <c:v>Cluster 10</c:v>
                </c:pt>
              </c:strCache>
            </c:strRef>
          </c:cat>
          <c:val>
            <c:numRef>
              <c:f>SituationAnalysis!$C$283:$C$293</c:f>
              <c:numCache>
                <c:formatCode>0%</c:formatCode>
                <c:ptCount val="10"/>
                <c:pt idx="0">
                  <c:v>0.68018635242532199</c:v>
                </c:pt>
                <c:pt idx="1">
                  <c:v>0.78310537768106936</c:v>
                </c:pt>
                <c:pt idx="2">
                  <c:v>0.92358803986710969</c:v>
                </c:pt>
                <c:pt idx="3">
                  <c:v>0.6232464929859719</c:v>
                </c:pt>
                <c:pt idx="4">
                  <c:v>0.54194760161818534</c:v>
                </c:pt>
                <c:pt idx="5">
                  <c:v>0.78784512853062516</c:v>
                </c:pt>
                <c:pt idx="6">
                  <c:v>0.5394470667565745</c:v>
                </c:pt>
                <c:pt idx="7">
                  <c:v>0.17013794968893697</c:v>
                </c:pt>
                <c:pt idx="8">
                  <c:v>0.31496062992125984</c:v>
                </c:pt>
                <c:pt idx="9">
                  <c:v>0.35839775122979622</c:v>
                </c:pt>
              </c:numCache>
            </c:numRef>
          </c:val>
        </c:ser>
        <c:ser>
          <c:idx val="1"/>
          <c:order val="1"/>
          <c:tx>
            <c:strRef>
              <c:f>SituationAnalysis!$D$282</c:f>
              <c:strCache>
                <c:ptCount val="1"/>
                <c:pt idx="0">
                  <c:v>%  Coverage Emergency latrine</c:v>
                </c:pt>
              </c:strCache>
            </c:strRef>
          </c:tx>
          <c:spPr>
            <a:solidFill>
              <a:schemeClr val="accent2"/>
            </a:solidFill>
            <a:ln>
              <a:noFill/>
            </a:ln>
            <a:effectLst/>
            <a:sp3d/>
          </c:spPr>
          <c:invertIfNegative val="0"/>
          <c:cat>
            <c:strRef>
              <c:f>SituationAnalysis!$B$283:$B$293</c:f>
              <c:strCache>
                <c:ptCount val="10"/>
                <c:pt idx="0">
                  <c:v>Cluster 1</c:v>
                </c:pt>
                <c:pt idx="1">
                  <c:v>Cluster 2</c:v>
                </c:pt>
                <c:pt idx="2">
                  <c:v>Cluster 3</c:v>
                </c:pt>
                <c:pt idx="3">
                  <c:v>Cluster 4</c:v>
                </c:pt>
                <c:pt idx="4">
                  <c:v>Cluster 5</c:v>
                </c:pt>
                <c:pt idx="5">
                  <c:v>Cluster 6</c:v>
                </c:pt>
                <c:pt idx="6">
                  <c:v>Cluster 7</c:v>
                </c:pt>
                <c:pt idx="7">
                  <c:v>Cluster 8</c:v>
                </c:pt>
                <c:pt idx="8">
                  <c:v>Cluster 9</c:v>
                </c:pt>
                <c:pt idx="9">
                  <c:v>Cluster 10</c:v>
                </c:pt>
              </c:strCache>
            </c:strRef>
          </c:cat>
          <c:val>
            <c:numRef>
              <c:f>SituationAnalysis!$D$283:$D$293</c:f>
              <c:numCache>
                <c:formatCode>0%</c:formatCode>
                <c:ptCount val="10"/>
                <c:pt idx="0">
                  <c:v>4.9876678542066316E-2</c:v>
                </c:pt>
                <c:pt idx="1">
                  <c:v>8.5949642524090764E-2</c:v>
                </c:pt>
                <c:pt idx="2">
                  <c:v>7.6411960132890366E-2</c:v>
                </c:pt>
                <c:pt idx="3">
                  <c:v>0.20589004095146815</c:v>
                </c:pt>
                <c:pt idx="4">
                  <c:v>0.45174340204199576</c:v>
                </c:pt>
                <c:pt idx="5">
                  <c:v>0.15177721358298954</c:v>
                </c:pt>
                <c:pt idx="6">
                  <c:v>0.23465947403910992</c:v>
                </c:pt>
                <c:pt idx="7">
                  <c:v>0.77360021639166887</c:v>
                </c:pt>
                <c:pt idx="8">
                  <c:v>0.68503937007874016</c:v>
                </c:pt>
                <c:pt idx="9">
                  <c:v>0.49648629655657062</c:v>
                </c:pt>
              </c:numCache>
            </c:numRef>
          </c:val>
        </c:ser>
        <c:dLbls>
          <c:showLegendKey val="0"/>
          <c:showVal val="0"/>
          <c:showCatName val="0"/>
          <c:showSerName val="0"/>
          <c:showPercent val="0"/>
          <c:showBubbleSize val="0"/>
        </c:dLbls>
        <c:gapWidth val="150"/>
        <c:shape val="box"/>
        <c:axId val="230278848"/>
        <c:axId val="230279240"/>
        <c:axId val="0"/>
      </c:bar3DChart>
      <c:catAx>
        <c:axId val="23027884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279240"/>
        <c:crosses val="autoZero"/>
        <c:auto val="1"/>
        <c:lblAlgn val="ctr"/>
        <c:lblOffset val="100"/>
        <c:noMultiLvlLbl val="0"/>
      </c:catAx>
      <c:valAx>
        <c:axId val="2302792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278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a:scene3d>
      <a:camera prst="orthographicFront"/>
      <a:lightRig rig="threePt" dir="t"/>
    </a:scene3d>
    <a:sp3d>
      <a:bevelT prst="relaxedInset"/>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600" b="0" i="0" u="none" strike="noStrike" kern="1200" spc="0" baseline="0">
                <a:solidFill>
                  <a:schemeClr val="tx1">
                    <a:lumMod val="65000"/>
                    <a:lumOff val="35000"/>
                  </a:schemeClr>
                </a:solidFill>
                <a:latin typeface="+mn-lt"/>
                <a:ea typeface="+mn-ea"/>
                <a:cs typeface="+mn-cs"/>
              </a:defRPr>
            </a:pPr>
            <a:r>
              <a:rPr lang="en-US" sz="600" b="1"/>
              <a:t>HRP</a:t>
            </a:r>
            <a:r>
              <a:rPr lang="en-US" sz="600"/>
              <a:t> target population:</a:t>
            </a:r>
          </a:p>
          <a:p>
            <a:pPr>
              <a:defRPr sz="600" b="0" i="0" u="none" strike="noStrike" kern="1200" spc="0" baseline="0">
                <a:solidFill>
                  <a:schemeClr val="tx1">
                    <a:lumMod val="65000"/>
                    <a:lumOff val="35000"/>
                  </a:schemeClr>
                </a:solidFill>
                <a:latin typeface="+mn-lt"/>
                <a:ea typeface="+mn-ea"/>
                <a:cs typeface="+mn-cs"/>
              </a:defRPr>
            </a:pPr>
            <a:r>
              <a:rPr lang="en-US" sz="600" b="0" i="1"/>
              <a:t>119,500</a:t>
            </a:r>
          </a:p>
          <a:p>
            <a:pPr>
              <a:defRPr sz="600" b="0" i="0" u="none" strike="noStrike" kern="1200" spc="0" baseline="0">
                <a:solidFill>
                  <a:schemeClr val="tx1">
                    <a:lumMod val="65000"/>
                    <a:lumOff val="35000"/>
                  </a:schemeClr>
                </a:solidFill>
                <a:latin typeface="+mn-lt"/>
                <a:ea typeface="+mn-ea"/>
                <a:cs typeface="+mn-cs"/>
              </a:defRPr>
            </a:pPr>
            <a:r>
              <a:rPr lang="en-US" sz="600"/>
              <a:t>Receive</a:t>
            </a:r>
            <a:r>
              <a:rPr lang="en-US" sz="600" baseline="0"/>
              <a:t> Wash services</a:t>
            </a:r>
            <a:r>
              <a:rPr lang="en-US" sz="600"/>
              <a:t>:</a:t>
            </a:r>
          </a:p>
        </c:rich>
      </c:tx>
      <c:layout>
        <c:manualLayout>
          <c:xMode val="edge"/>
          <c:yMode val="edge"/>
          <c:x val="0.14390662253882924"/>
          <c:y val="0.50728388906635458"/>
        </c:manualLayout>
      </c:layout>
      <c:overlay val="0"/>
      <c:spPr>
        <a:noFill/>
        <a:ln>
          <a:noFill/>
        </a:ln>
        <a:effectLst/>
      </c:spPr>
    </c:title>
    <c:autoTitleDeleted val="0"/>
    <c:plotArea>
      <c:layout>
        <c:manualLayout>
          <c:layoutTarget val="inner"/>
          <c:xMode val="edge"/>
          <c:yMode val="edge"/>
          <c:x val="3.2068299154913327E-2"/>
          <c:y val="0"/>
          <c:w val="0.92860661648063225"/>
          <c:h val="1"/>
        </c:manualLayout>
      </c:layout>
      <c:doughnutChart>
        <c:varyColors val="0"/>
        <c:ser>
          <c:idx val="0"/>
          <c:order val="0"/>
          <c:spPr>
            <a:solidFill>
              <a:schemeClr val="accent1"/>
            </a:solidFill>
            <a:ln w="19050">
              <a:noFill/>
            </a:ln>
            <a:effectLst/>
            <a:scene3d>
              <a:camera prst="orthographicFront"/>
              <a:lightRig rig="threePt" dir="t"/>
            </a:scene3d>
            <a:sp3d>
              <a:bevelT/>
            </a:sp3d>
          </c:spPr>
          <c:dPt>
            <c:idx val="0"/>
            <c:bubble3D val="0"/>
            <c:spPr>
              <a:gradFill flip="none" rotWithShape="1">
                <a:gsLst>
                  <a:gs pos="100000">
                    <a:schemeClr val="bg1">
                      <a:lumMod val="85000"/>
                    </a:schemeClr>
                  </a:gs>
                  <a:gs pos="0">
                    <a:schemeClr val="bg1">
                      <a:lumMod val="50000"/>
                    </a:schemeClr>
                  </a:gs>
                </a:gsLst>
                <a:path path="circle">
                  <a:fillToRect l="100000" t="100000"/>
                </a:path>
                <a:tileRect r="-100000" b="-100000"/>
              </a:gradFill>
              <a:ln w="12700">
                <a:solidFill>
                  <a:schemeClr val="bg1"/>
                </a:solidFill>
              </a:ln>
              <a:effectLst>
                <a:outerShdw blurRad="50800" dist="38100" dir="5400000" algn="t" rotWithShape="0">
                  <a:prstClr val="black">
                    <a:alpha val="40000"/>
                  </a:prstClr>
                </a:outerShdw>
              </a:effectLst>
              <a:scene3d>
                <a:camera prst="orthographicFront"/>
                <a:lightRig rig="threePt" dir="t"/>
              </a:scene3d>
              <a:sp3d>
                <a:bevelT/>
              </a:sp3d>
            </c:spPr>
          </c:dPt>
          <c:dPt>
            <c:idx val="1"/>
            <c:bubble3D val="0"/>
            <c:spPr>
              <a:solidFill>
                <a:srgbClr val="FF0000"/>
              </a:solidFill>
              <a:ln w="12700">
                <a:solidFill>
                  <a:schemeClr val="bg1"/>
                </a:solidFill>
              </a:ln>
              <a:effectLst/>
              <a:scene3d>
                <a:camera prst="orthographicFront"/>
                <a:lightRig rig="threePt" dir="t"/>
              </a:scene3d>
              <a:sp3d>
                <a:bevelT/>
              </a:sp3d>
            </c:spPr>
          </c:dPt>
          <c:dPt>
            <c:idx val="2"/>
            <c:bubble3D val="0"/>
            <c:spPr>
              <a:noFill/>
              <a:ln w="19050">
                <a:noFill/>
              </a:ln>
              <a:effectLst/>
            </c:spPr>
          </c:dPt>
          <c:dPt>
            <c:idx val="3"/>
            <c:bubble3D val="0"/>
            <c:spPr>
              <a:noFill/>
              <a:ln w="19050">
                <a:noFill/>
              </a:ln>
              <a:effectLst/>
            </c:spPr>
          </c:dPt>
          <c:dLbls>
            <c:dLbl>
              <c:idx val="0"/>
              <c:layout>
                <c:manualLayout>
                  <c:x val="5.7287410567956533E-2"/>
                  <c:y val="0.18179937822794959"/>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6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val>
            <c:numRef>
              <c:f>'Cluster indicator'!$C$46:$C$49</c:f>
              <c:numCache>
                <c:formatCode>0%</c:formatCode>
                <c:ptCount val="4"/>
                <c:pt idx="0">
                  <c:v>0.38546014971378245</c:v>
                </c:pt>
                <c:pt idx="1">
                  <c:v>0.6145398502862176</c:v>
                </c:pt>
                <c:pt idx="2">
                  <c:v>0.5</c:v>
                </c:pt>
                <c:pt idx="3">
                  <c:v>0.5</c:v>
                </c:pt>
              </c:numCache>
            </c:numRef>
          </c:val>
        </c:ser>
        <c:ser>
          <c:idx val="1"/>
          <c:order val="1"/>
          <c:tx>
            <c:v>Compteur</c:v>
          </c:tx>
          <c:spPr>
            <a:solidFill>
              <a:schemeClr val="accent2"/>
            </a:solidFill>
            <a:ln w="19050">
              <a:noFill/>
            </a:ln>
            <a:effectLst>
              <a:outerShdw dir="2040000" sx="1000" sy="1000" algn="ctr" rotWithShape="0">
                <a:srgbClr val="000000">
                  <a:alpha val="43137"/>
                </a:srgbClr>
              </a:outerShdw>
            </a:effectLst>
            <a:scene3d>
              <a:camera prst="orthographicFront"/>
              <a:lightRig rig="threePt" dir="t"/>
            </a:scene3d>
            <a:sp3d prstMaterial="matte"/>
          </c:spPr>
          <c:dPt>
            <c:idx val="0"/>
            <c:bubble3D val="0"/>
            <c:spPr>
              <a:gradFill flip="none" rotWithShape="1">
                <a:gsLst>
                  <a:gs pos="4000">
                    <a:srgbClr val="FF0000"/>
                  </a:gs>
                  <a:gs pos="100000">
                    <a:srgbClr val="FF9900"/>
                  </a:gs>
                </a:gsLst>
                <a:lin ang="16200000" scaled="1"/>
                <a:tileRect/>
              </a:gradFill>
              <a:ln w="19050">
                <a:noFill/>
              </a:ln>
              <a:effectLst>
                <a:outerShdw dir="2040000" sx="1000" sy="1000" algn="ctr" rotWithShape="0">
                  <a:srgbClr val="000000">
                    <a:alpha val="43137"/>
                  </a:srgbClr>
                </a:outerShdw>
              </a:effectLst>
              <a:scene3d>
                <a:camera prst="orthographicFront"/>
                <a:lightRig rig="threePt" dir="t"/>
              </a:scene3d>
              <a:sp3d prstMaterial="matte"/>
            </c:spPr>
          </c:dPt>
          <c:dPt>
            <c:idx val="1"/>
            <c:bubble3D val="0"/>
            <c:spPr>
              <a:gradFill flip="none" rotWithShape="1">
                <a:gsLst>
                  <a:gs pos="3000">
                    <a:srgbClr val="FFFF00"/>
                  </a:gs>
                  <a:gs pos="97000">
                    <a:srgbClr val="FF9900"/>
                  </a:gs>
                </a:gsLst>
                <a:lin ang="10800000" scaled="1"/>
                <a:tileRect/>
              </a:gradFill>
              <a:ln w="19050">
                <a:noFill/>
              </a:ln>
              <a:effectLst>
                <a:outerShdw dir="2040000" sx="1000" sy="1000" algn="ctr" rotWithShape="0">
                  <a:srgbClr val="000000">
                    <a:alpha val="43137"/>
                  </a:srgbClr>
                </a:outerShdw>
              </a:effectLst>
              <a:scene3d>
                <a:camera prst="orthographicFront"/>
                <a:lightRig rig="threePt" dir="t"/>
              </a:scene3d>
              <a:sp3d prstMaterial="matte"/>
            </c:spPr>
          </c:dPt>
          <c:dPt>
            <c:idx val="2"/>
            <c:bubble3D val="0"/>
            <c:spPr>
              <a:gradFill flip="none" rotWithShape="1">
                <a:gsLst>
                  <a:gs pos="100000">
                    <a:srgbClr val="66FF33"/>
                  </a:gs>
                  <a:gs pos="0">
                    <a:srgbClr val="FFFF00"/>
                  </a:gs>
                </a:gsLst>
                <a:lin ang="2700000" scaled="1"/>
                <a:tileRect/>
              </a:gradFill>
              <a:ln w="19050">
                <a:noFill/>
              </a:ln>
              <a:effectLst>
                <a:outerShdw dir="2040000" sx="1000" sy="1000" algn="ctr" rotWithShape="0">
                  <a:srgbClr val="000000">
                    <a:alpha val="43137"/>
                  </a:srgbClr>
                </a:outerShdw>
              </a:effectLst>
              <a:scene3d>
                <a:camera prst="orthographicFront"/>
                <a:lightRig rig="threePt" dir="t"/>
              </a:scene3d>
              <a:sp3d prstMaterial="matte"/>
            </c:spPr>
          </c:dPt>
          <c:dPt>
            <c:idx val="3"/>
            <c:bubble3D val="0"/>
            <c:spPr>
              <a:noFill/>
              <a:ln w="19050">
                <a:noFill/>
              </a:ln>
              <a:effectLst>
                <a:outerShdw dir="2040000" sx="1000" sy="1000" algn="ctr" rotWithShape="0">
                  <a:srgbClr val="000000">
                    <a:alpha val="43137"/>
                  </a:srgbClr>
                </a:outerShdw>
              </a:effectLst>
            </c:spPr>
          </c:dPt>
          <c:val>
            <c:numLit>
              <c:formatCode>General</c:formatCode>
              <c:ptCount val="4"/>
              <c:pt idx="0">
                <c:v>0.4</c:v>
              </c:pt>
              <c:pt idx="1">
                <c:v>0.3</c:v>
              </c:pt>
              <c:pt idx="2">
                <c:v>0.3</c:v>
              </c:pt>
              <c:pt idx="3">
                <c:v>1</c:v>
              </c:pt>
            </c:numLit>
          </c:val>
        </c:ser>
        <c:dLbls>
          <c:showLegendKey val="0"/>
          <c:showVal val="0"/>
          <c:showCatName val="0"/>
          <c:showSerName val="0"/>
          <c:showPercent val="0"/>
          <c:showBubbleSize val="0"/>
          <c:showLeaderLines val="1"/>
        </c:dLbls>
        <c:firstSliceAng val="270"/>
        <c:holeSize val="37"/>
      </c:doughnutChart>
      <c:spPr>
        <a:noFill/>
        <a:ln>
          <a:noFill/>
        </a:ln>
        <a:effectLst/>
      </c:spPr>
    </c:plotArea>
    <c:plotVisOnly val="1"/>
    <c:dispBlanksAs val="gap"/>
    <c:showDLblsOverMax val="0"/>
  </c:chart>
  <c:spPr>
    <a:solidFill>
      <a:schemeClr val="bg1"/>
    </a:solidFill>
    <a:ln w="9525" cap="flat" cmpd="sng" algn="ctr">
      <a:noFill/>
      <a:round/>
    </a:ln>
    <a:effectLst>
      <a:outerShdw blurRad="50800" dist="38100" dir="8100000" algn="tr" rotWithShape="0">
        <a:prstClr val="black">
          <a:alpha val="40000"/>
        </a:prstClr>
      </a:outerShdw>
    </a:effectLst>
  </c:spPr>
  <c:txPr>
    <a:bodyPr/>
    <a:lstStyle/>
    <a:p>
      <a:pPr>
        <a:defRPr sz="600"/>
      </a:pPr>
      <a:endParaRPr lang="en-US"/>
    </a:p>
  </c:txPr>
  <c:printSettings>
    <c:headerFooter/>
    <c:pageMargins b="0.75" l="0.7" r="0.7" t="0.75" header="0.3" footer="0.3"/>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2015.xlsx]SituationAnalysis!PivotTable15</c:name>
    <c:fmtId val="16"/>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Number of latrine missing</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pivotFmt>
      <c:pivotFmt>
        <c:idx val="1"/>
        <c:spPr>
          <a:solidFill>
            <a:schemeClr val="accent1"/>
          </a:solidFill>
          <a:ln>
            <a:noFill/>
          </a:ln>
          <a:effectLst/>
          <a:sp3d/>
        </c:spPr>
        <c:marker>
          <c:symbol val="none"/>
        </c:marker>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bar3DChart>
        <c:barDir val="col"/>
        <c:grouping val="stacked"/>
        <c:varyColors val="0"/>
        <c:ser>
          <c:idx val="0"/>
          <c:order val="0"/>
          <c:tx>
            <c:strRef>
              <c:f>SituationAnalysis!$C$194:$C$195</c:f>
              <c:strCache>
                <c:ptCount val="1"/>
                <c:pt idx="0">
                  <c:v>GCA</c:v>
                </c:pt>
              </c:strCache>
            </c:strRef>
          </c:tx>
          <c:spPr>
            <a:solidFill>
              <a:schemeClr val="accent1"/>
            </a:solidFill>
            <a:ln>
              <a:noFill/>
            </a:ln>
            <a:effectLst/>
            <a:sp3d/>
          </c:spPr>
          <c:invertIfNegative val="0"/>
          <c:cat>
            <c:strRef>
              <c:f>SituationAnalysis!$B$196:$B$214</c:f>
              <c:strCache>
                <c:ptCount val="18"/>
                <c:pt idx="0">
                  <c:v>Bhamo</c:v>
                </c:pt>
                <c:pt idx="1">
                  <c:v>Chipwi</c:v>
                </c:pt>
                <c:pt idx="2">
                  <c:v>Hpakan</c:v>
                </c:pt>
                <c:pt idx="3">
                  <c:v>Khaunglanhpu</c:v>
                </c:pt>
                <c:pt idx="4">
                  <c:v>Kutkai</c:v>
                </c:pt>
                <c:pt idx="5">
                  <c:v>Mansi</c:v>
                </c:pt>
                <c:pt idx="6">
                  <c:v>Manton</c:v>
                </c:pt>
                <c:pt idx="7">
                  <c:v>Mogaung</c:v>
                </c:pt>
                <c:pt idx="8">
                  <c:v>Mohnyin</c:v>
                </c:pt>
                <c:pt idx="9">
                  <c:v>Momauk</c:v>
                </c:pt>
                <c:pt idx="10">
                  <c:v>Muse</c:v>
                </c:pt>
                <c:pt idx="11">
                  <c:v>Myitkyina</c:v>
                </c:pt>
                <c:pt idx="12">
                  <c:v>Namkham</c:v>
                </c:pt>
                <c:pt idx="13">
                  <c:v>Namtu</c:v>
                </c:pt>
                <c:pt idx="14">
                  <c:v>Puta-O</c:v>
                </c:pt>
                <c:pt idx="15">
                  <c:v>Shwegu</c:v>
                </c:pt>
                <c:pt idx="16">
                  <c:v>Waingmaw</c:v>
                </c:pt>
                <c:pt idx="17">
                  <c:v>Hseni</c:v>
                </c:pt>
              </c:strCache>
            </c:strRef>
          </c:cat>
          <c:val>
            <c:numRef>
              <c:f>SituationAnalysis!$C$196:$C$214</c:f>
              <c:numCache>
                <c:formatCode>0</c:formatCode>
                <c:ptCount val="18"/>
                <c:pt idx="0">
                  <c:v>196.35000000000002</c:v>
                </c:pt>
                <c:pt idx="1">
                  <c:v>31.549999999999997</c:v>
                </c:pt>
                <c:pt idx="2">
                  <c:v>58.35</c:v>
                </c:pt>
                <c:pt idx="3">
                  <c:v>0.85</c:v>
                </c:pt>
                <c:pt idx="4">
                  <c:v>156.44999999999999</c:v>
                </c:pt>
                <c:pt idx="5">
                  <c:v>137.69999999999999</c:v>
                </c:pt>
                <c:pt idx="6">
                  <c:v>7.1999999999999993</c:v>
                </c:pt>
                <c:pt idx="7">
                  <c:v>9.4</c:v>
                </c:pt>
                <c:pt idx="8">
                  <c:v>0</c:v>
                </c:pt>
                <c:pt idx="9">
                  <c:v>153.00000000000003</c:v>
                </c:pt>
                <c:pt idx="10">
                  <c:v>26.05</c:v>
                </c:pt>
                <c:pt idx="11">
                  <c:v>49.599999999999994</c:v>
                </c:pt>
                <c:pt idx="12">
                  <c:v>68.099999999999994</c:v>
                </c:pt>
                <c:pt idx="13">
                  <c:v>2</c:v>
                </c:pt>
                <c:pt idx="14">
                  <c:v>21.3</c:v>
                </c:pt>
                <c:pt idx="15">
                  <c:v>2.9000000000000004</c:v>
                </c:pt>
                <c:pt idx="16">
                  <c:v>89.549999999999983</c:v>
                </c:pt>
                <c:pt idx="17">
                  <c:v>14.05</c:v>
                </c:pt>
              </c:numCache>
            </c:numRef>
          </c:val>
        </c:ser>
        <c:ser>
          <c:idx val="1"/>
          <c:order val="1"/>
          <c:tx>
            <c:strRef>
              <c:f>SituationAnalysis!$D$194:$D$195</c:f>
              <c:strCache>
                <c:ptCount val="1"/>
                <c:pt idx="0">
                  <c:v>NGCA</c:v>
                </c:pt>
              </c:strCache>
            </c:strRef>
          </c:tx>
          <c:spPr>
            <a:solidFill>
              <a:schemeClr val="accent2"/>
            </a:solidFill>
            <a:ln>
              <a:noFill/>
            </a:ln>
            <a:effectLst/>
            <a:sp3d/>
          </c:spPr>
          <c:invertIfNegative val="0"/>
          <c:cat>
            <c:strRef>
              <c:f>SituationAnalysis!$B$196:$B$214</c:f>
              <c:strCache>
                <c:ptCount val="18"/>
                <c:pt idx="0">
                  <c:v>Bhamo</c:v>
                </c:pt>
                <c:pt idx="1">
                  <c:v>Chipwi</c:v>
                </c:pt>
                <c:pt idx="2">
                  <c:v>Hpakan</c:v>
                </c:pt>
                <c:pt idx="3">
                  <c:v>Khaunglanhpu</c:v>
                </c:pt>
                <c:pt idx="4">
                  <c:v>Kutkai</c:v>
                </c:pt>
                <c:pt idx="5">
                  <c:v>Mansi</c:v>
                </c:pt>
                <c:pt idx="6">
                  <c:v>Manton</c:v>
                </c:pt>
                <c:pt idx="7">
                  <c:v>Mogaung</c:v>
                </c:pt>
                <c:pt idx="8">
                  <c:v>Mohnyin</c:v>
                </c:pt>
                <c:pt idx="9">
                  <c:v>Momauk</c:v>
                </c:pt>
                <c:pt idx="10">
                  <c:v>Muse</c:v>
                </c:pt>
                <c:pt idx="11">
                  <c:v>Myitkyina</c:v>
                </c:pt>
                <c:pt idx="12">
                  <c:v>Namkham</c:v>
                </c:pt>
                <c:pt idx="13">
                  <c:v>Namtu</c:v>
                </c:pt>
                <c:pt idx="14">
                  <c:v>Puta-O</c:v>
                </c:pt>
                <c:pt idx="15">
                  <c:v>Shwegu</c:v>
                </c:pt>
                <c:pt idx="16">
                  <c:v>Waingmaw</c:v>
                </c:pt>
                <c:pt idx="17">
                  <c:v>Hseni</c:v>
                </c:pt>
              </c:strCache>
            </c:strRef>
          </c:cat>
          <c:val>
            <c:numRef>
              <c:f>SituationAnalysis!$D$196:$D$214</c:f>
              <c:numCache>
                <c:formatCode>0</c:formatCode>
                <c:ptCount val="18"/>
                <c:pt idx="1">
                  <c:v>43.65</c:v>
                </c:pt>
                <c:pt idx="5">
                  <c:v>83.050000000000011</c:v>
                </c:pt>
                <c:pt idx="6">
                  <c:v>22.3</c:v>
                </c:pt>
                <c:pt idx="9">
                  <c:v>81.8</c:v>
                </c:pt>
                <c:pt idx="11">
                  <c:v>0.39999999999999991</c:v>
                </c:pt>
                <c:pt idx="16">
                  <c:v>486.95</c:v>
                </c:pt>
              </c:numCache>
            </c:numRef>
          </c:val>
        </c:ser>
        <c:dLbls>
          <c:showLegendKey val="0"/>
          <c:showVal val="0"/>
          <c:showCatName val="0"/>
          <c:showSerName val="0"/>
          <c:showPercent val="0"/>
          <c:showBubbleSize val="0"/>
        </c:dLbls>
        <c:gapWidth val="150"/>
        <c:shape val="box"/>
        <c:axId val="230280024"/>
        <c:axId val="230280416"/>
        <c:axId val="0"/>
      </c:bar3DChart>
      <c:catAx>
        <c:axId val="23028002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280416"/>
        <c:crosses val="autoZero"/>
        <c:auto val="1"/>
        <c:lblAlgn val="ctr"/>
        <c:lblOffset val="100"/>
        <c:noMultiLvlLbl val="0"/>
      </c:catAx>
      <c:valAx>
        <c:axId val="230280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280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a:scene3d>
      <a:camera prst="orthographicFront"/>
      <a:lightRig rig="threePt" dir="t"/>
    </a:scene3d>
    <a:sp3d>
      <a:bevelT prst="relaxedInset"/>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2015.xlsx]SituationAnalysis!PivotTable32</c:name>
    <c:fmtId val="35"/>
  </c:pivotSource>
  <c:chart>
    <c:title>
      <c:tx>
        <c:rich>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r>
              <a:rPr lang="en-US" sz="1600">
                <a:solidFill>
                  <a:sysClr val="windowText" lastClr="000000"/>
                </a:solidFill>
              </a:rPr>
              <a:t>Project</a:t>
            </a:r>
            <a:r>
              <a:rPr lang="en-US" sz="1600" baseline="0">
                <a:solidFill>
                  <a:sysClr val="windowText" lastClr="000000"/>
                </a:solidFill>
              </a:rPr>
              <a:t> Gap Areas</a:t>
            </a:r>
          </a:p>
        </c:rich>
      </c:tx>
      <c:layout>
        <c:manualLayout>
          <c:xMode val="edge"/>
          <c:yMode val="edge"/>
          <c:x val="0.35950712211420871"/>
          <c:y val="6.4494450684174393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2">
              <a:lumMod val="75000"/>
            </a:schemeClr>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bar3DChart>
        <c:barDir val="col"/>
        <c:grouping val="standard"/>
        <c:varyColors val="0"/>
        <c:ser>
          <c:idx val="0"/>
          <c:order val="0"/>
          <c:tx>
            <c:strRef>
              <c:f>SituationAnalysis!$C$712</c:f>
              <c:strCache>
                <c:ptCount val="1"/>
                <c:pt idx="0">
                  <c:v>Total</c:v>
                </c:pt>
              </c:strCache>
            </c:strRef>
          </c:tx>
          <c:spPr>
            <a:solidFill>
              <a:schemeClr val="accent2">
                <a:lumMod val="75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SituationAnalysis!$B$713:$B$733</c:f>
              <c:multiLvlStrCache>
                <c:ptCount val="14"/>
                <c:lvl>
                  <c:pt idx="0">
                    <c:v>Metta</c:v>
                  </c:pt>
                  <c:pt idx="1">
                    <c:v>None</c:v>
                  </c:pt>
                  <c:pt idx="2">
                    <c:v>KMSS</c:v>
                  </c:pt>
                  <c:pt idx="3">
                    <c:v>None</c:v>
                  </c:pt>
                  <c:pt idx="5">
                    <c:v>None</c:v>
                  </c:pt>
                  <c:pt idx="6">
                    <c:v>None</c:v>
                  </c:pt>
                  <c:pt idx="7">
                    <c:v>None</c:v>
                  </c:pt>
                  <c:pt idx="8">
                    <c:v>None</c:v>
                  </c:pt>
                  <c:pt idx="9">
                    <c:v>Shalom</c:v>
                  </c:pt>
                  <c:pt idx="10">
                    <c:v>Metta</c:v>
                  </c:pt>
                  <c:pt idx="11">
                    <c:v>KBC</c:v>
                  </c:pt>
                  <c:pt idx="12">
                    <c:v>Metta</c:v>
                  </c:pt>
                  <c:pt idx="13">
                    <c:v>None</c:v>
                  </c:pt>
                </c:lvl>
                <c:lvl>
                  <c:pt idx="0">
                    <c:v>Bhamo</c:v>
                  </c:pt>
                  <c:pt idx="2">
                    <c:v>Chipwi</c:v>
                  </c:pt>
                  <c:pt idx="4">
                    <c:v>Hpakan</c:v>
                  </c:pt>
                  <c:pt idx="5">
                    <c:v>Kutkai</c:v>
                  </c:pt>
                  <c:pt idx="6">
                    <c:v>Mansi</c:v>
                  </c:pt>
                  <c:pt idx="7">
                    <c:v>Momauk</c:v>
                  </c:pt>
                  <c:pt idx="8">
                    <c:v>Myitkyina</c:v>
                  </c:pt>
                  <c:pt idx="10">
                    <c:v>Namtu</c:v>
                  </c:pt>
                  <c:pt idx="11">
                    <c:v>Waingmaw</c:v>
                  </c:pt>
                </c:lvl>
                <c:lvl>
                  <c:pt idx="0">
                    <c:v>Gap</c:v>
                  </c:pt>
                </c:lvl>
              </c:multiLvlStrCache>
            </c:multiLvlStrRef>
          </c:cat>
          <c:val>
            <c:numRef>
              <c:f>SituationAnalysis!$C$713:$C$733</c:f>
              <c:numCache>
                <c:formatCode>General</c:formatCode>
                <c:ptCount val="14"/>
                <c:pt idx="0">
                  <c:v>1</c:v>
                </c:pt>
                <c:pt idx="1">
                  <c:v>5</c:v>
                </c:pt>
                <c:pt idx="2">
                  <c:v>1</c:v>
                </c:pt>
                <c:pt idx="3">
                  <c:v>2</c:v>
                </c:pt>
                <c:pt idx="4">
                  <c:v>18</c:v>
                </c:pt>
                <c:pt idx="5">
                  <c:v>6</c:v>
                </c:pt>
                <c:pt idx="6">
                  <c:v>7</c:v>
                </c:pt>
                <c:pt idx="7">
                  <c:v>20</c:v>
                </c:pt>
                <c:pt idx="8">
                  <c:v>8</c:v>
                </c:pt>
                <c:pt idx="9">
                  <c:v>1</c:v>
                </c:pt>
                <c:pt idx="10">
                  <c:v>1</c:v>
                </c:pt>
                <c:pt idx="11">
                  <c:v>2</c:v>
                </c:pt>
                <c:pt idx="12">
                  <c:v>#N/A</c:v>
                </c:pt>
                <c:pt idx="13">
                  <c:v>#N/A</c:v>
                </c:pt>
              </c:numCache>
            </c:numRef>
          </c:val>
        </c:ser>
        <c:dLbls>
          <c:showLegendKey val="0"/>
          <c:showVal val="0"/>
          <c:showCatName val="0"/>
          <c:showSerName val="0"/>
          <c:showPercent val="0"/>
          <c:showBubbleSize val="0"/>
        </c:dLbls>
        <c:gapWidth val="150"/>
        <c:shape val="box"/>
        <c:axId val="230281200"/>
        <c:axId val="230281592"/>
        <c:axId val="230160856"/>
      </c:bar3DChart>
      <c:catAx>
        <c:axId val="2302812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281592"/>
        <c:crosses val="autoZero"/>
        <c:auto val="1"/>
        <c:lblAlgn val="ctr"/>
        <c:lblOffset val="100"/>
        <c:noMultiLvlLbl val="0"/>
      </c:catAx>
      <c:valAx>
        <c:axId val="23028159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0281200"/>
        <c:crosses val="autoZero"/>
        <c:crossBetween val="between"/>
      </c:valAx>
      <c:serAx>
        <c:axId val="230160856"/>
        <c:scaling>
          <c:orientation val="minMax"/>
        </c:scaling>
        <c:delete val="1"/>
        <c:axPos val="b"/>
        <c:majorTickMark val="out"/>
        <c:minorTickMark val="none"/>
        <c:tickLblPos val="nextTo"/>
        <c:crossAx val="230281592"/>
        <c:crosses val="autoZero"/>
      </c:serAx>
      <c:spPr>
        <a:noFill/>
        <a:ln>
          <a:noFill/>
        </a:ln>
        <a:effectLst>
          <a:innerShdw blurRad="63500" dist="50800" dir="10800000">
            <a:prstClr val="black"/>
          </a:innerShdw>
        </a:effectLst>
      </c:spPr>
    </c:plotArea>
    <c:legend>
      <c:legendPos val="b"/>
      <c:layout>
        <c:manualLayout>
          <c:xMode val="edge"/>
          <c:yMode val="edge"/>
          <c:x val="0.45217843293225346"/>
          <c:y val="0.86429250349344944"/>
          <c:w val="0.15374949426551013"/>
          <c:h val="6.404699574635680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25400" dist="50800" dir="5400000" sx="101000" sy="101000" algn="ctr" rotWithShape="0">
        <a:srgbClr val="000000">
          <a:alpha val="52000"/>
        </a:srgbClr>
      </a:outerShdw>
    </a:effectLst>
    <a:scene3d>
      <a:camera prst="orthographicFront"/>
      <a:lightRig rig="threePt" dir="t"/>
    </a:scene3d>
    <a:sp3d prstMaterial="dkEdge">
      <a:bevelT w="152400" h="50800" prst="softRound"/>
    </a:sp3d>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2015.xlsx]Funds analysis!PivotTable2</c:name>
    <c:fmtId val="8"/>
  </c:pivotSource>
  <c:chart>
    <c:title>
      <c:tx>
        <c:rich>
          <a:bodyPr/>
          <a:lstStyle/>
          <a:p>
            <a:pPr>
              <a:defRPr sz="1400"/>
            </a:pPr>
            <a:r>
              <a:rPr lang="en-US" sz="1400"/>
              <a:t>DONORS</a:t>
            </a:r>
            <a:r>
              <a:rPr lang="en-US" sz="1400" baseline="0"/>
              <a:t> FUNDING</a:t>
            </a:r>
            <a:endParaRPr lang="en-US" sz="1400">
              <a:solidFill>
                <a:srgbClr val="FF0000"/>
              </a:solidFill>
            </a:endParaRPr>
          </a:p>
        </c:rich>
      </c:tx>
      <c:overlay val="0"/>
    </c:title>
    <c:autoTitleDeleted val="0"/>
    <c:pivotFmts>
      <c:pivotFmt>
        <c:idx val="0"/>
        <c:marker>
          <c:symbol val="none"/>
        </c:marker>
        <c:dLbl>
          <c:idx val="0"/>
          <c:spPr/>
          <c:txPr>
            <a:bodyPr/>
            <a:lstStyle/>
            <a:p>
              <a:pPr>
                <a:defRPr/>
              </a:pPr>
              <a:endParaRPr lang="en-US"/>
            </a:p>
          </c:txPr>
          <c:showLegendKey val="0"/>
          <c:showVal val="0"/>
          <c:showCatName val="1"/>
          <c:showSerName val="0"/>
          <c:showPercent val="1"/>
          <c:showBubbleSize val="0"/>
          <c:extLst>
            <c:ext xmlns:c15="http://schemas.microsoft.com/office/drawing/2012/chart" uri="{CE6537A1-D6FC-4f65-9D91-7224C49458BB}"/>
          </c:extLst>
        </c:dLbl>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dLbl>
          <c:idx val="0"/>
          <c:layout>
            <c:manualLayout>
              <c:x val="5.946545414217589E-2"/>
              <c:y val="-0.1189238845144357"/>
            </c:manualLayout>
          </c:layout>
          <c:spPr/>
          <c:txPr>
            <a:bodyPr/>
            <a:lstStyle/>
            <a:p>
              <a:pPr>
                <a:defRPr/>
              </a:pPr>
              <a:endParaRPr lang="en-US"/>
            </a:p>
          </c:txPr>
          <c:showLegendKey val="0"/>
          <c:showVal val="0"/>
          <c:showCatName val="1"/>
          <c:showSerName val="0"/>
          <c:showPercent val="1"/>
          <c:showBubbleSize val="0"/>
          <c:extLst>
            <c:ext xmlns:c15="http://schemas.microsoft.com/office/drawing/2012/chart" uri="{CE6537A1-D6FC-4f65-9D91-7224C49458BB}"/>
          </c:extLst>
        </c:dLbl>
      </c:pivotFmt>
      <c:pivotFmt>
        <c:idx val="13"/>
        <c:dLbl>
          <c:idx val="0"/>
          <c:layout>
            <c:manualLayout>
              <c:x val="6.6003659753798377E-2"/>
              <c:y val="-1.5044088590049839E-2"/>
            </c:manualLayout>
          </c:layout>
          <c:spPr/>
          <c:txPr>
            <a:bodyPr/>
            <a:lstStyle/>
            <a:p>
              <a:pPr>
                <a:defRPr/>
              </a:pPr>
              <a:endParaRPr lang="en-US"/>
            </a:p>
          </c:txPr>
          <c:showLegendKey val="0"/>
          <c:showVal val="0"/>
          <c:showCatName val="1"/>
          <c:showSerName val="0"/>
          <c:showPercent val="1"/>
          <c:showBubbleSize val="0"/>
          <c:extLst>
            <c:ext xmlns:c15="http://schemas.microsoft.com/office/drawing/2012/chart" uri="{CE6537A1-D6FC-4f65-9D91-7224C49458BB}"/>
          </c:extLst>
        </c:dLbl>
      </c:pivotFmt>
      <c:pivotFmt>
        <c:idx val="14"/>
        <c:marker>
          <c:symbol val="none"/>
        </c:marker>
        <c:dLbl>
          <c:idx val="0"/>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15"/>
        <c:dLbl>
          <c:idx val="0"/>
          <c:layout>
            <c:manualLayout>
              <c:x val="5.946545414217589E-2"/>
              <c:y val="-0.1189238845144357"/>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16"/>
        <c:dLbl>
          <c:idx val="0"/>
          <c:layout>
            <c:manualLayout>
              <c:x val="-0.10547935324878284"/>
              <c:y val="-0.10599319572803956"/>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17"/>
        <c:dLbl>
          <c:idx val="0"/>
          <c:layout>
            <c:manualLayout>
              <c:x val="0.13221509286530023"/>
              <c:y val="-0.14823952615611244"/>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18"/>
        <c:dLbl>
          <c:idx val="0"/>
          <c:layout>
            <c:manualLayout>
              <c:x val="1.3367944941996755E-2"/>
              <c:y val="3.7459007768794947E-2"/>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19"/>
        <c:dLbl>
          <c:idx val="0"/>
          <c:layout>
            <c:manualLayout>
              <c:x val="5.2573781330768767E-2"/>
              <c:y val="0.20311584799116147"/>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20"/>
        <c:dLbl>
          <c:idx val="0"/>
          <c:layout>
            <c:manualLayout>
              <c:x val="-8.6406804111318052E-3"/>
              <c:y val="0.19588981638987768"/>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21"/>
        <c:dLbl>
          <c:idx val="0"/>
          <c:layout>
            <c:manualLayout>
              <c:x val="0.13819829296147143"/>
              <c:y val="-6.9367842800273569E-2"/>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22"/>
        <c:dLbl>
          <c:idx val="0"/>
          <c:layout>
            <c:manualLayout>
              <c:x val="-8.9854691350604074E-2"/>
              <c:y val="-0.23238254739315725"/>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23"/>
        <c:dLbl>
          <c:idx val="0"/>
          <c:layout>
            <c:manualLayout>
              <c:x val="-4.5496483741059093E-2"/>
              <c:y val="0.11570484716693265"/>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24"/>
        <c:dLbl>
          <c:idx val="0"/>
          <c:layout>
            <c:manualLayout>
              <c:x val="-0.10028911462403077"/>
              <c:y val="-6.9890658155481126E-3"/>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25"/>
        <c:dLbl>
          <c:idx val="0"/>
          <c:layout>
            <c:manualLayout>
              <c:x val="6.3101520706858205E-2"/>
              <c:y val="-0.16302632271188819"/>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26"/>
        <c:dLbl>
          <c:idx val="0"/>
          <c:layout>
            <c:manualLayout>
              <c:x val="1.3842038829115826E-2"/>
              <c:y val="8.3047629903723053E-2"/>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27"/>
        <c:dLbl>
          <c:idx val="0"/>
          <c:layout>
            <c:manualLayout>
              <c:x val="4.5852467391957683E-2"/>
              <c:y val="3.6941891868193535E-2"/>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28"/>
        <c:dLbl>
          <c:idx val="0"/>
          <c:layout>
            <c:manualLayout>
              <c:x val="9.2312315922341761E-3"/>
              <c:y val="-0.17308432562299422"/>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29"/>
        <c:dLbl>
          <c:idx val="0"/>
          <c:layout>
            <c:manualLayout>
              <c:x val="1.3397547634789926E-2"/>
              <c:y val="-0.12856588569524577"/>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30"/>
        <c:dLbl>
          <c:idx val="0"/>
          <c:layout>
            <c:manualLayout>
              <c:x val="-5.9089529362264831E-2"/>
              <c:y val="0.10295363274468197"/>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s>
    <c:view3D>
      <c:rotX val="30"/>
      <c:rotY val="0"/>
      <c:rAngAx val="0"/>
    </c:view3D>
    <c:floor>
      <c:thickness val="0"/>
    </c:floor>
    <c:sideWall>
      <c:thickness val="0"/>
    </c:sideWall>
    <c:backWall>
      <c:thickness val="0"/>
    </c:backWall>
    <c:plotArea>
      <c:layout>
        <c:manualLayout>
          <c:layoutTarget val="inner"/>
          <c:xMode val="edge"/>
          <c:yMode val="edge"/>
          <c:x val="0.16592816742977551"/>
          <c:y val="0.25175345913052627"/>
          <c:w val="0.74775786005472722"/>
          <c:h val="0.61369520690754775"/>
        </c:manualLayout>
      </c:layout>
      <c:pie3DChart>
        <c:varyColors val="1"/>
        <c:ser>
          <c:idx val="0"/>
          <c:order val="0"/>
          <c:tx>
            <c:strRef>
              <c:f>'Funds analysis'!$C$8:$C$9</c:f>
              <c:strCache>
                <c:ptCount val="1"/>
                <c:pt idx="0">
                  <c:v>Total</c:v>
                </c:pt>
              </c:strCache>
            </c:strRef>
          </c:tx>
          <c:explosion val="25"/>
          <c:dLbls>
            <c:dLbl>
              <c:idx val="0"/>
              <c:layout>
                <c:manualLayout>
                  <c:x val="1.3397547634789926E-2"/>
                  <c:y val="-0.12856588569524577"/>
                </c:manualLayout>
              </c:layout>
              <c:showLegendKey val="0"/>
              <c:showVal val="1"/>
              <c:showCatName val="1"/>
              <c:showSerName val="0"/>
              <c:showPercent val="1"/>
              <c:showBubbleSize val="0"/>
              <c:separator>
</c:separator>
              <c:extLst>
                <c:ext xmlns:c15="http://schemas.microsoft.com/office/drawing/2012/chart" uri="{CE6537A1-D6FC-4f65-9D91-7224C49458BB}"/>
              </c:extLst>
            </c:dLbl>
            <c:dLbl>
              <c:idx val="1"/>
              <c:layout>
                <c:manualLayout>
                  <c:x val="5.946545414217589E-2"/>
                  <c:y val="-0.1189238845144357"/>
                </c:manualLayout>
              </c:layout>
              <c:showLegendKey val="0"/>
              <c:showVal val="1"/>
              <c:showCatName val="1"/>
              <c:showSerName val="0"/>
              <c:showPercent val="1"/>
              <c:showBubbleSize val="0"/>
              <c:separator>
</c:separator>
              <c:extLst>
                <c:ext xmlns:c15="http://schemas.microsoft.com/office/drawing/2012/chart" uri="{CE6537A1-D6FC-4f65-9D91-7224C49458BB}"/>
              </c:extLst>
            </c:dLbl>
            <c:dLbl>
              <c:idx val="2"/>
              <c:layout>
                <c:manualLayout>
                  <c:x val="1.3842038829115826E-2"/>
                  <c:y val="8.3047629903723053E-2"/>
                </c:manualLayout>
              </c:layout>
              <c:showLegendKey val="0"/>
              <c:showVal val="1"/>
              <c:showCatName val="1"/>
              <c:showSerName val="0"/>
              <c:showPercent val="1"/>
              <c:showBubbleSize val="0"/>
              <c:separator>
</c:separator>
              <c:extLst>
                <c:ext xmlns:c15="http://schemas.microsoft.com/office/drawing/2012/chart" uri="{CE6537A1-D6FC-4f65-9D91-7224C49458BB}"/>
              </c:extLst>
            </c:dLbl>
            <c:dLbl>
              <c:idx val="3"/>
              <c:layout>
                <c:manualLayout>
                  <c:x val="4.5852467391957683E-2"/>
                  <c:y val="3.6941891868193535E-2"/>
                </c:manualLayout>
              </c:layout>
              <c:showLegendKey val="0"/>
              <c:showVal val="1"/>
              <c:showCatName val="1"/>
              <c:showSerName val="0"/>
              <c:showPercent val="1"/>
              <c:showBubbleSize val="0"/>
              <c:separator>
</c:separator>
              <c:extLst>
                <c:ext xmlns:c15="http://schemas.microsoft.com/office/drawing/2012/chart" uri="{CE6537A1-D6FC-4f65-9D91-7224C49458BB}"/>
              </c:extLst>
            </c:dLbl>
            <c:dLbl>
              <c:idx val="4"/>
              <c:layout>
                <c:manualLayout>
                  <c:x val="5.2573781330768767E-2"/>
                  <c:y val="0.20311584799116147"/>
                </c:manualLayout>
              </c:layout>
              <c:showLegendKey val="0"/>
              <c:showVal val="1"/>
              <c:showCatName val="1"/>
              <c:showSerName val="0"/>
              <c:showPercent val="1"/>
              <c:showBubbleSize val="0"/>
              <c:separator>
</c:separator>
              <c:extLst>
                <c:ext xmlns:c15="http://schemas.microsoft.com/office/drawing/2012/chart" uri="{CE6537A1-D6FC-4f65-9D91-7224C49458BB}"/>
              </c:extLst>
            </c:dLbl>
            <c:dLbl>
              <c:idx val="5"/>
              <c:layout>
                <c:manualLayout>
                  <c:x val="-8.6406804111318052E-3"/>
                  <c:y val="0.19588981638987768"/>
                </c:manualLayout>
              </c:layout>
              <c:showLegendKey val="0"/>
              <c:showVal val="1"/>
              <c:showCatName val="1"/>
              <c:showSerName val="0"/>
              <c:showPercent val="1"/>
              <c:showBubbleSize val="0"/>
              <c:separator>
</c:separator>
              <c:extLst>
                <c:ext xmlns:c15="http://schemas.microsoft.com/office/drawing/2012/chart" uri="{CE6537A1-D6FC-4f65-9D91-7224C49458BB}"/>
              </c:extLst>
            </c:dLbl>
            <c:dLbl>
              <c:idx val="6"/>
              <c:layout>
                <c:manualLayout>
                  <c:x val="-4.5496483741059093E-2"/>
                  <c:y val="0.11570484716693265"/>
                </c:manualLayout>
              </c:layout>
              <c:showLegendKey val="0"/>
              <c:showVal val="1"/>
              <c:showCatName val="1"/>
              <c:showSerName val="0"/>
              <c:showPercent val="1"/>
              <c:showBubbleSize val="0"/>
              <c:separator>
</c:separator>
              <c:extLst>
                <c:ext xmlns:c15="http://schemas.microsoft.com/office/drawing/2012/chart" uri="{CE6537A1-D6FC-4f65-9D91-7224C49458BB}"/>
              </c:extLst>
            </c:dLbl>
            <c:dLbl>
              <c:idx val="7"/>
              <c:layout>
                <c:manualLayout>
                  <c:x val="-0.10028911462403077"/>
                  <c:y val="-6.9890658155481126E-3"/>
                </c:manualLayout>
              </c:layout>
              <c:showLegendKey val="0"/>
              <c:showVal val="1"/>
              <c:showCatName val="1"/>
              <c:showSerName val="0"/>
              <c:showPercent val="1"/>
              <c:showBubbleSize val="0"/>
              <c:separator>
</c:separator>
              <c:extLst>
                <c:ext xmlns:c15="http://schemas.microsoft.com/office/drawing/2012/chart" uri="{CE6537A1-D6FC-4f65-9D91-7224C49458BB}"/>
              </c:extLst>
            </c:dLbl>
            <c:dLbl>
              <c:idx val="8"/>
              <c:layout>
                <c:manualLayout>
                  <c:x val="-0.10547935324878284"/>
                  <c:y val="-0.10599319572803956"/>
                </c:manualLayout>
              </c:layout>
              <c:showLegendKey val="0"/>
              <c:showVal val="1"/>
              <c:showCatName val="1"/>
              <c:showSerName val="0"/>
              <c:showPercent val="1"/>
              <c:showBubbleSize val="0"/>
              <c:separator>
</c:separator>
              <c:extLst>
                <c:ext xmlns:c15="http://schemas.microsoft.com/office/drawing/2012/chart" uri="{CE6537A1-D6FC-4f65-9D91-7224C49458BB}"/>
              </c:extLst>
            </c:dLbl>
            <c:dLbl>
              <c:idx val="9"/>
              <c:layout>
                <c:manualLayout>
                  <c:x val="-8.9854691350604074E-2"/>
                  <c:y val="-0.23238254739315725"/>
                </c:manualLayout>
              </c:layout>
              <c:showLegendKey val="0"/>
              <c:showVal val="1"/>
              <c:showCatName val="1"/>
              <c:showSerName val="0"/>
              <c:showPercent val="1"/>
              <c:showBubbleSize val="0"/>
              <c:separator>
</c:separator>
              <c:extLst>
                <c:ext xmlns:c15="http://schemas.microsoft.com/office/drawing/2012/chart" uri="{CE6537A1-D6FC-4f65-9D91-7224C49458BB}"/>
              </c:extLst>
            </c:dLbl>
            <c:dLbl>
              <c:idx val="10"/>
              <c:layout>
                <c:manualLayout>
                  <c:x val="9.2312315922341761E-3"/>
                  <c:y val="-0.17308432562299422"/>
                </c:manualLayout>
              </c:layout>
              <c:showLegendKey val="0"/>
              <c:showVal val="1"/>
              <c:showCatName val="1"/>
              <c:showSerName val="0"/>
              <c:showPercent val="1"/>
              <c:showBubbleSize val="0"/>
              <c:separator>
</c:separator>
              <c:extLst>
                <c:ext xmlns:c15="http://schemas.microsoft.com/office/drawing/2012/chart" uri="{CE6537A1-D6FC-4f65-9D91-7224C49458BB}"/>
              </c:extLst>
            </c:dLbl>
            <c:dLbl>
              <c:idx val="11"/>
              <c:layout>
                <c:manualLayout>
                  <c:x val="6.3101520706858205E-2"/>
                  <c:y val="-0.16302632271188819"/>
                </c:manualLayout>
              </c:layout>
              <c:showLegendKey val="0"/>
              <c:showVal val="1"/>
              <c:showCatName val="1"/>
              <c:showSerName val="0"/>
              <c:showPercent val="1"/>
              <c:showBubbleSize val="0"/>
              <c:separator>
</c:separator>
              <c:extLst>
                <c:ext xmlns:c15="http://schemas.microsoft.com/office/drawing/2012/chart" uri="{CE6537A1-D6FC-4f65-9D91-7224C49458BB}"/>
              </c:extLst>
            </c:dLbl>
            <c:dLbl>
              <c:idx val="12"/>
              <c:layout>
                <c:manualLayout>
                  <c:x val="0.13221509286530023"/>
                  <c:y val="-0.14823952615611244"/>
                </c:manualLayout>
              </c:layout>
              <c:showLegendKey val="0"/>
              <c:showVal val="1"/>
              <c:showCatName val="1"/>
              <c:showSerName val="0"/>
              <c:showPercent val="1"/>
              <c:showBubbleSize val="0"/>
              <c:separator>
</c:separator>
              <c:extLst>
                <c:ext xmlns:c15="http://schemas.microsoft.com/office/drawing/2012/chart" uri="{CE6537A1-D6FC-4f65-9D91-7224C49458BB}"/>
              </c:extLst>
            </c:dLbl>
            <c:spPr>
              <a:noFill/>
              <a:ln>
                <a:noFill/>
              </a:ln>
              <a:effectLst/>
            </c:spPr>
            <c:txPr>
              <a:bodyPr/>
              <a:lstStyle/>
              <a:p>
                <a:pPr>
                  <a:defRPr/>
                </a:pPr>
                <a:endParaRPr lang="en-US"/>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'Funds analysis'!$B$10:$B$28</c:f>
              <c:strCache>
                <c:ptCount val="18"/>
                <c:pt idx="0">
                  <c:v>ECHO</c:v>
                </c:pt>
                <c:pt idx="1">
                  <c:v>Germany</c:v>
                </c:pt>
                <c:pt idx="2">
                  <c:v>OFDA</c:v>
                </c:pt>
                <c:pt idx="3">
                  <c:v>CERF</c:v>
                </c:pt>
                <c:pt idx="4">
                  <c:v>Canada</c:v>
                </c:pt>
                <c:pt idx="5">
                  <c:v>Australian</c:v>
                </c:pt>
                <c:pt idx="6">
                  <c:v>France</c:v>
                </c:pt>
                <c:pt idx="7">
                  <c:v>Sweden</c:v>
                </c:pt>
                <c:pt idx="8">
                  <c:v>CIDA</c:v>
                </c:pt>
                <c:pt idx="9">
                  <c:v>Japan</c:v>
                </c:pt>
                <c:pt idx="10">
                  <c:v>SC seed funding</c:v>
                </c:pt>
                <c:pt idx="11">
                  <c:v>SIDA</c:v>
                </c:pt>
                <c:pt idx="12">
                  <c:v>Start fund</c:v>
                </c:pt>
                <c:pt idx="13">
                  <c:v>DFAT</c:v>
                </c:pt>
                <c:pt idx="14">
                  <c:v>ERF</c:v>
                </c:pt>
                <c:pt idx="15">
                  <c:v>FCA</c:v>
                </c:pt>
                <c:pt idx="16">
                  <c:v>HIDA( HOPE)</c:v>
                </c:pt>
                <c:pt idx="17">
                  <c:v>DIFID</c:v>
                </c:pt>
              </c:strCache>
            </c:strRef>
          </c:cat>
          <c:val>
            <c:numRef>
              <c:f>'Funds analysis'!$C$10:$C$28</c:f>
              <c:numCache>
                <c:formatCode>#,##0</c:formatCode>
                <c:ptCount val="18"/>
                <c:pt idx="0">
                  <c:v>4429713</c:v>
                </c:pt>
                <c:pt idx="1">
                  <c:v>414423</c:v>
                </c:pt>
                <c:pt idx="2">
                  <c:v>3761179</c:v>
                </c:pt>
                <c:pt idx="3">
                  <c:v>2195052.61</c:v>
                </c:pt>
                <c:pt idx="4">
                  <c:v>292113</c:v>
                </c:pt>
                <c:pt idx="5">
                  <c:v>515029</c:v>
                </c:pt>
                <c:pt idx="6">
                  <c:v>197000</c:v>
                </c:pt>
                <c:pt idx="7">
                  <c:v>156270</c:v>
                </c:pt>
                <c:pt idx="8">
                  <c:v>396792</c:v>
                </c:pt>
                <c:pt idx="9">
                  <c:v>750000</c:v>
                </c:pt>
                <c:pt idx="10">
                  <c:v>17000</c:v>
                </c:pt>
                <c:pt idx="11">
                  <c:v>80400</c:v>
                </c:pt>
                <c:pt idx="12">
                  <c:v>43482</c:v>
                </c:pt>
                <c:pt idx="13">
                  <c:v>711973</c:v>
                </c:pt>
                <c:pt idx="14">
                  <c:v>346135</c:v>
                </c:pt>
                <c:pt idx="15">
                  <c:v>400000</c:v>
                </c:pt>
                <c:pt idx="17">
                  <c:v>399283</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effectLst>
      <a:outerShdw blurRad="50800" dist="38100" algn="l" rotWithShape="0">
        <a:prstClr val="black">
          <a:alpha val="40000"/>
        </a:prstClr>
      </a:outerShdw>
    </a:effectLst>
    <a:scene3d>
      <a:camera prst="orthographicFront"/>
      <a:lightRig rig="threePt" dir="t"/>
    </a:scene3d>
    <a:sp3d>
      <a:bevelT prst="relaxedInset"/>
    </a:sp3d>
  </c:spPr>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Data val="1"/>
        <c14:dropZoneSeries val="1"/>
      </c14:pivotOptions>
    </c:ext>
  </c:extLst>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2015.xlsx]Funds analysis!PivotTable3</c:name>
    <c:fmtId val="3"/>
  </c:pivotSource>
  <c:chart>
    <c:title>
      <c:tx>
        <c:rich>
          <a:bodyPr/>
          <a:lstStyle/>
          <a:p>
            <a:pPr>
              <a:defRPr sz="1400"/>
            </a:pPr>
            <a:r>
              <a:rPr lang="en-US" sz="1400"/>
              <a:t>FUNDS REPARTITION BY SUB-SECTOR</a:t>
            </a:r>
          </a:p>
        </c:rich>
      </c:tx>
      <c:overlay val="0"/>
    </c:title>
    <c:autoTitleDeleted val="0"/>
    <c:pivotFmts>
      <c:pivotFmt>
        <c:idx val="0"/>
        <c:marker>
          <c:symbol val="none"/>
        </c:marker>
        <c:dLbl>
          <c:idx val="0"/>
          <c:spPr/>
          <c:txPr>
            <a:bodyPr/>
            <a:lstStyle/>
            <a:p>
              <a:pPr>
                <a:defRPr/>
              </a:pPr>
              <a:endParaRPr lang="en-US"/>
            </a:p>
          </c:txPr>
          <c:showLegendKey val="0"/>
          <c:showVal val="0"/>
          <c:showCatName val="1"/>
          <c:showSerName val="0"/>
          <c:showPercent val="1"/>
          <c:showBubbleSize val="0"/>
          <c:extLst>
            <c:ext xmlns:c15="http://schemas.microsoft.com/office/drawing/2012/chart" uri="{CE6537A1-D6FC-4f65-9D91-7224C49458BB}"/>
          </c:extLst>
        </c:dLbl>
      </c:pivotFmt>
      <c:pivotFmt>
        <c:idx val="1"/>
        <c:dLbl>
          <c:idx val="0"/>
          <c:layout>
            <c:manualLayout>
              <c:x val="6.8367719857802605E-3"/>
              <c:y val="-0.18528857791739767"/>
            </c:manualLayout>
          </c:layout>
          <c:showLegendKey val="0"/>
          <c:showVal val="0"/>
          <c:showCatName val="1"/>
          <c:showSerName val="0"/>
          <c:showPercent val="1"/>
          <c:showBubbleSize val="0"/>
          <c:extLst>
            <c:ext xmlns:c15="http://schemas.microsoft.com/office/drawing/2012/chart" uri="{CE6537A1-D6FC-4f65-9D91-7224C49458BB}"/>
          </c:extLst>
        </c:dLbl>
      </c:pivotFmt>
      <c:pivotFmt>
        <c:idx val="2"/>
        <c:dLbl>
          <c:idx val="0"/>
          <c:layout>
            <c:manualLayout>
              <c:x val="5.1789407714310023E-2"/>
              <c:y val="-3.4154288952517081E-3"/>
            </c:manualLayout>
          </c:layout>
          <c:spPr/>
          <c:txPr>
            <a:bodyPr/>
            <a:lstStyle/>
            <a:p>
              <a:pPr>
                <a:defRPr/>
              </a:pPr>
              <a:endParaRPr lang="en-US"/>
            </a:p>
          </c:txPr>
          <c:showLegendKey val="0"/>
          <c:showVal val="0"/>
          <c:showCatName val="1"/>
          <c:showSerName val="0"/>
          <c:showPercent val="0"/>
          <c:showBubbleSize val="0"/>
          <c:extLst>
            <c:ext xmlns:c15="http://schemas.microsoft.com/office/drawing/2012/chart" uri="{CE6537A1-D6FC-4f65-9D91-7224C49458BB}"/>
          </c:extLst>
        </c:dLbl>
      </c:pivotFmt>
      <c:pivotFmt>
        <c:idx val="3"/>
        <c:dLbl>
          <c:idx val="0"/>
          <c:layout>
            <c:manualLayout>
              <c:x val="-0.23264034794902508"/>
              <c:y val="-2.0951518134096875E-2"/>
            </c:manualLayout>
          </c:layout>
          <c:spPr/>
          <c:txPr>
            <a:bodyPr/>
            <a:lstStyle/>
            <a:p>
              <a:pPr>
                <a:defRPr/>
              </a:pPr>
              <a:endParaRPr lang="en-US"/>
            </a:p>
          </c:txPr>
          <c:showLegendKey val="0"/>
          <c:showVal val="0"/>
          <c:showCatName val="1"/>
          <c:showSerName val="0"/>
          <c:showPercent val="0"/>
          <c:showBubbleSize val="0"/>
          <c:extLst>
            <c:ext xmlns:c15="http://schemas.microsoft.com/office/drawing/2012/chart" uri="{CE6537A1-D6FC-4f65-9D91-7224C49458BB}"/>
          </c:extLst>
        </c:dLbl>
      </c:pivotFmt>
      <c:pivotFmt>
        <c:idx val="4"/>
        <c:dLbl>
          <c:idx val="0"/>
          <c:layout>
            <c:manualLayout>
              <c:x val="-2.5536879585812373E-2"/>
              <c:y val="-4.3686620138391793E-2"/>
            </c:manualLayout>
          </c:layout>
          <c:spPr/>
          <c:txPr>
            <a:bodyPr/>
            <a:lstStyle/>
            <a:p>
              <a:pPr>
                <a:defRPr/>
              </a:pPr>
              <a:endParaRPr lang="en-US"/>
            </a:p>
          </c:txPr>
          <c:showLegendKey val="0"/>
          <c:showVal val="0"/>
          <c:showCatName val="1"/>
          <c:showSerName val="0"/>
          <c:showPercent val="0"/>
          <c:showBubbleSize val="0"/>
          <c:extLst>
            <c:ext xmlns:c15="http://schemas.microsoft.com/office/drawing/2012/chart" uri="{CE6537A1-D6FC-4f65-9D91-7224C49458BB}"/>
          </c:extLst>
        </c:dLbl>
      </c:pivotFmt>
      <c:pivotFmt>
        <c:idx val="5"/>
        <c:marker>
          <c:symbol val="none"/>
        </c:marker>
        <c:dLbl>
          <c:idx val="0"/>
          <c:spPr/>
          <c:txPr>
            <a:bodyPr/>
            <a:lstStyle/>
            <a:p>
              <a:pPr>
                <a:defRPr/>
              </a:pPr>
              <a:endParaRPr lang="en-US"/>
            </a:p>
          </c:txPr>
          <c:showLegendKey val="0"/>
          <c:showVal val="0"/>
          <c:showCatName val="1"/>
          <c:showSerName val="0"/>
          <c:showPercent val="0"/>
          <c:showBubbleSize val="0"/>
          <c:extLst>
            <c:ext xmlns:c15="http://schemas.microsoft.com/office/drawing/2012/chart" uri="{CE6537A1-D6FC-4f65-9D91-7224C49458BB}"/>
          </c:extLst>
        </c:dLbl>
      </c:pivotFmt>
      <c:pivotFmt>
        <c:idx val="6"/>
        <c:marker>
          <c:symbol val="none"/>
        </c:marker>
        <c:dLbl>
          <c:idx val="0"/>
          <c:spPr>
            <a:noFill/>
            <a:ln>
              <a:noFill/>
            </a:ln>
            <a:effectLst/>
          </c:spPr>
          <c:txPr>
            <a:bodyPr/>
            <a:lstStyle/>
            <a:p>
              <a:pPr>
                <a:defRPr/>
              </a:pPr>
              <a:endParaRPr lang="en-US"/>
            </a:p>
          </c:txPr>
          <c:showLegendKey val="0"/>
          <c:showVal val="0"/>
          <c:showCatName val="1"/>
          <c:showSerName val="0"/>
          <c:showPercent val="0"/>
          <c:showBubbleSize val="0"/>
          <c:extLst>
            <c:ext xmlns:c15="http://schemas.microsoft.com/office/drawing/2012/chart" uri="{CE6537A1-D6FC-4f65-9D91-7224C49458BB}"/>
          </c:extLst>
        </c:dLbl>
      </c:pivotFmt>
      <c:pivotFmt>
        <c:idx val="7"/>
        <c:dLbl>
          <c:idx val="0"/>
          <c:layout>
            <c:manualLayout>
              <c:x val="5.1789407714310023E-2"/>
              <c:y val="-3.4154288952517081E-3"/>
            </c:manualLayout>
          </c:layout>
          <c:spPr>
            <a:noFill/>
            <a:ln>
              <a:noFill/>
            </a:ln>
            <a:effectLst/>
          </c:spPr>
          <c:txPr>
            <a:bodyPr/>
            <a:lstStyle/>
            <a:p>
              <a:pPr>
                <a:defRPr/>
              </a:pPr>
              <a:endParaRPr lang="en-US"/>
            </a:p>
          </c:txPr>
          <c:showLegendKey val="0"/>
          <c:showVal val="0"/>
          <c:showCatName val="1"/>
          <c:showSerName val="0"/>
          <c:showPercent val="0"/>
          <c:showBubbleSize val="0"/>
          <c:extLst>
            <c:ext xmlns:c15="http://schemas.microsoft.com/office/drawing/2012/chart" uri="{CE6537A1-D6FC-4f65-9D91-7224C49458BB}"/>
          </c:extLst>
        </c:dLbl>
      </c:pivotFmt>
      <c:pivotFmt>
        <c:idx val="8"/>
        <c:dLbl>
          <c:idx val="0"/>
          <c:layout>
            <c:manualLayout>
              <c:x val="0.12652030784287549"/>
              <c:y val="-0.18303412589143458"/>
            </c:manualLayout>
          </c:layout>
          <c:spPr>
            <a:noFill/>
            <a:ln>
              <a:noFill/>
            </a:ln>
            <a:effectLst/>
          </c:spPr>
          <c:txPr>
            <a:bodyPr/>
            <a:lstStyle/>
            <a:p>
              <a:pPr>
                <a:defRPr/>
              </a:pPr>
              <a:endParaRPr lang="en-US"/>
            </a:p>
          </c:txPr>
          <c:showLegendKey val="0"/>
          <c:showVal val="0"/>
          <c:showCatName val="1"/>
          <c:showSerName val="0"/>
          <c:showPercent val="0"/>
          <c:showBubbleSize val="0"/>
          <c:extLst>
            <c:ext xmlns:c15="http://schemas.microsoft.com/office/drawing/2012/chart" uri="{CE6537A1-D6FC-4f65-9D91-7224C49458BB}"/>
          </c:extLst>
        </c:dLbl>
      </c:pivotFmt>
      <c:pivotFmt>
        <c:idx val="9"/>
        <c:dLbl>
          <c:idx val="0"/>
          <c:layout>
            <c:manualLayout>
              <c:x val="-2.5536879585812373E-2"/>
              <c:y val="-4.3686620138391793E-2"/>
            </c:manualLayout>
          </c:layout>
          <c:spPr>
            <a:noFill/>
            <a:ln>
              <a:noFill/>
            </a:ln>
            <a:effectLst/>
          </c:spPr>
          <c:txPr>
            <a:bodyPr/>
            <a:lstStyle/>
            <a:p>
              <a:pPr>
                <a:defRPr/>
              </a:pPr>
              <a:endParaRPr lang="en-US"/>
            </a:p>
          </c:txPr>
          <c:showLegendKey val="0"/>
          <c:showVal val="0"/>
          <c:showCatName val="1"/>
          <c:showSerName val="0"/>
          <c:showPercent val="0"/>
          <c:showBubbleSize val="0"/>
          <c:extLst>
            <c:ext xmlns:c15="http://schemas.microsoft.com/office/drawing/2012/chart" uri="{CE6537A1-D6FC-4f65-9D91-7224C49458BB}"/>
          </c:extLst>
        </c:dLbl>
      </c:pivotFmt>
    </c:pivotFmts>
    <c:view3D>
      <c:rotX val="30"/>
      <c:rotY val="0"/>
      <c:rAngAx val="0"/>
    </c:view3D>
    <c:floor>
      <c:thickness val="0"/>
    </c:floor>
    <c:sideWall>
      <c:thickness val="0"/>
    </c:sideWall>
    <c:backWall>
      <c:thickness val="0"/>
    </c:backWall>
    <c:plotArea>
      <c:layout/>
      <c:pie3DChart>
        <c:varyColors val="1"/>
        <c:ser>
          <c:idx val="0"/>
          <c:order val="0"/>
          <c:tx>
            <c:strRef>
              <c:f>'Funds analysis'!$C$140</c:f>
              <c:strCache>
                <c:ptCount val="1"/>
                <c:pt idx="0">
                  <c:v>Total</c:v>
                </c:pt>
              </c:strCache>
            </c:strRef>
          </c:tx>
          <c:explosion val="25"/>
          <c:dLbls>
            <c:dLbl>
              <c:idx val="0"/>
              <c:layout>
                <c:manualLayout>
                  <c:x val="5.1789407714310023E-2"/>
                  <c:y val="-3.4154288952517081E-3"/>
                </c:manualLayout>
              </c:layout>
              <c:showLegendKey val="0"/>
              <c:showVal val="0"/>
              <c:showCatName val="1"/>
              <c:showSerName val="0"/>
              <c:showPercent val="0"/>
              <c:showBubbleSize val="0"/>
              <c:extLst>
                <c:ext xmlns:c15="http://schemas.microsoft.com/office/drawing/2012/chart" uri="{CE6537A1-D6FC-4f65-9D91-7224C49458BB}"/>
              </c:extLst>
            </c:dLbl>
            <c:dLbl>
              <c:idx val="1"/>
              <c:layout>
                <c:manualLayout>
                  <c:x val="0.12652030784287549"/>
                  <c:y val="-0.18303412589143458"/>
                </c:manualLayout>
              </c:layout>
              <c:showLegendKey val="0"/>
              <c:showVal val="0"/>
              <c:showCatName val="1"/>
              <c:showSerName val="0"/>
              <c:showPercent val="0"/>
              <c:showBubbleSize val="0"/>
              <c:extLst>
                <c:ext xmlns:c15="http://schemas.microsoft.com/office/drawing/2012/chart" uri="{CE6537A1-D6FC-4f65-9D91-7224C49458BB}"/>
              </c:extLst>
            </c:dLbl>
            <c:dLbl>
              <c:idx val="2"/>
              <c:layout>
                <c:manualLayout>
                  <c:x val="-2.5536879585812373E-2"/>
                  <c:y val="-4.3686620138391793E-2"/>
                </c:manualLayout>
              </c:layout>
              <c:showLegendKey val="0"/>
              <c:showVal val="0"/>
              <c:showCatName val="1"/>
              <c:showSerName val="0"/>
              <c:showPercent val="0"/>
              <c:showBubbleSize val="0"/>
              <c:extLst>
                <c:ext xmlns:c15="http://schemas.microsoft.com/office/drawing/2012/chart" uri="{CE6537A1-D6FC-4f65-9D91-7224C49458BB}"/>
              </c:extLst>
            </c:dLbl>
            <c:spPr>
              <a:noFill/>
              <a:ln>
                <a:noFill/>
              </a:ln>
              <a:effectLst/>
            </c:spPr>
            <c:txPr>
              <a:bodyPr/>
              <a:lstStyle/>
              <a:p>
                <a:pPr>
                  <a:defRPr/>
                </a:pPr>
                <a:endParaRPr lang="en-US"/>
              </a:p>
            </c:txPr>
            <c:showLegendKey val="0"/>
            <c:showVal val="0"/>
            <c:showCatName val="1"/>
            <c:showSerName val="0"/>
            <c:showPercent val="0"/>
            <c:showBubbleSize val="0"/>
            <c:showLeaderLines val="1"/>
            <c:extLst>
              <c:ext xmlns:c15="http://schemas.microsoft.com/office/drawing/2012/chart" uri="{CE6537A1-D6FC-4f65-9D91-7224C49458BB}"/>
            </c:extLst>
          </c:dLbls>
          <c:cat>
            <c:strRef>
              <c:f>'Funds analysis'!$B$141:$B$143</c:f>
              <c:strCache>
                <c:ptCount val="3"/>
                <c:pt idx="0">
                  <c:v>Average of Approximate % of fund dedicated to sanitation</c:v>
                </c:pt>
                <c:pt idx="1">
                  <c:v>Average of Approximate % fund dedicated to Water access</c:v>
                </c:pt>
                <c:pt idx="2">
                  <c:v>Average of Approximate % of fund dedicated to HP</c:v>
                </c:pt>
              </c:strCache>
            </c:strRef>
          </c:cat>
          <c:val>
            <c:numRef>
              <c:f>'Funds analysis'!$C$141:$C$143</c:f>
              <c:numCache>
                <c:formatCode>0%</c:formatCode>
                <c:ptCount val="3"/>
                <c:pt idx="0">
                  <c:v>0.33978156056371661</c:v>
                </c:pt>
                <c:pt idx="1">
                  <c:v>0.28053791756058799</c:v>
                </c:pt>
                <c:pt idx="2">
                  <c:v>0.35099321453511412</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effectLst>
      <a:outerShdw blurRad="50800" dist="38100" algn="l" rotWithShape="0">
        <a:prstClr val="black">
          <a:alpha val="40000"/>
        </a:prstClr>
      </a:outerShdw>
    </a:effectLst>
    <a:scene3d>
      <a:camera prst="orthographicFront"/>
      <a:lightRig rig="threePt" dir="t"/>
    </a:scene3d>
    <a:sp3d>
      <a:bevelT prst="relaxedInset"/>
    </a:sp3d>
  </c:spPr>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Data val="1"/>
        <c14:dropZoneSeries val="1"/>
      </c14:pivotOptions>
    </c:ext>
  </c:extLst>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2015.xlsx]Funds analysis!PivotTable6</c:name>
    <c:fmtId val="2"/>
  </c:pivotSource>
  <c:chart>
    <c:title>
      <c:tx>
        <c:rich>
          <a:bodyPr/>
          <a:lstStyle/>
          <a:p>
            <a:pPr>
              <a:defRPr sz="1400"/>
            </a:pPr>
            <a:r>
              <a:rPr lang="en-US" sz="1400"/>
              <a:t>NB OF BENEFICIARIES PER SUB-SECTOR</a:t>
            </a:r>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s>
    <c:view3D>
      <c:rotX val="15"/>
      <c:rotY val="20"/>
      <c:rAngAx val="1"/>
    </c:view3D>
    <c:floor>
      <c:thickness val="0"/>
      <c:spPr>
        <a:solidFill>
          <a:schemeClr val="bg1">
            <a:lumMod val="85000"/>
          </a:schemeClr>
        </a:solidFill>
      </c:spPr>
    </c:floor>
    <c:sideWall>
      <c:thickness val="0"/>
      <c:spPr>
        <a:solidFill>
          <a:schemeClr val="bg1">
            <a:lumMod val="85000"/>
          </a:schemeClr>
        </a:solidFill>
      </c:spPr>
    </c:sideWall>
    <c:backWall>
      <c:thickness val="0"/>
      <c:spPr>
        <a:solidFill>
          <a:schemeClr val="bg1">
            <a:lumMod val="85000"/>
          </a:schemeClr>
        </a:solidFill>
      </c:spPr>
    </c:backWall>
    <c:plotArea>
      <c:layout/>
      <c:bar3DChart>
        <c:barDir val="col"/>
        <c:grouping val="clustered"/>
        <c:varyColors val="0"/>
        <c:ser>
          <c:idx val="0"/>
          <c:order val="0"/>
          <c:tx>
            <c:strRef>
              <c:f>'Funds analysis'!$C$153:$C$154</c:f>
              <c:strCache>
                <c:ptCount val="1"/>
                <c:pt idx="0">
                  <c:v>2012</c:v>
                </c:pt>
              </c:strCache>
            </c:strRef>
          </c:tx>
          <c:invertIfNegative val="0"/>
          <c:cat>
            <c:strRef>
              <c:f>'Funds analysis'!$B$155:$B$157</c:f>
              <c:strCache>
                <c:ptCount val="3"/>
                <c:pt idx="0">
                  <c:v>Number of sanitation beneficiaries</c:v>
                </c:pt>
                <c:pt idx="1">
                  <c:v>Number of water access beneficiaries</c:v>
                </c:pt>
                <c:pt idx="2">
                  <c:v> Number of beneficiairies for HE</c:v>
                </c:pt>
              </c:strCache>
            </c:strRef>
          </c:cat>
          <c:val>
            <c:numRef>
              <c:f>'Funds analysis'!$C$155:$C$157</c:f>
              <c:numCache>
                <c:formatCode>0</c:formatCode>
                <c:ptCount val="3"/>
                <c:pt idx="0">
                  <c:v>273381</c:v>
                </c:pt>
                <c:pt idx="1">
                  <c:v>269017</c:v>
                </c:pt>
                <c:pt idx="2">
                  <c:v>292077</c:v>
                </c:pt>
              </c:numCache>
            </c:numRef>
          </c:val>
        </c:ser>
        <c:ser>
          <c:idx val="1"/>
          <c:order val="1"/>
          <c:tx>
            <c:strRef>
              <c:f>'Funds analysis'!$D$153:$D$154</c:f>
              <c:strCache>
                <c:ptCount val="1"/>
                <c:pt idx="0">
                  <c:v>2013</c:v>
                </c:pt>
              </c:strCache>
            </c:strRef>
          </c:tx>
          <c:invertIfNegative val="0"/>
          <c:cat>
            <c:strRef>
              <c:f>'Funds analysis'!$B$155:$B$157</c:f>
              <c:strCache>
                <c:ptCount val="3"/>
                <c:pt idx="0">
                  <c:v>Number of sanitation beneficiaries</c:v>
                </c:pt>
                <c:pt idx="1">
                  <c:v>Number of water access beneficiaries</c:v>
                </c:pt>
                <c:pt idx="2">
                  <c:v> Number of beneficiairies for HE</c:v>
                </c:pt>
              </c:strCache>
            </c:strRef>
          </c:cat>
          <c:val>
            <c:numRef>
              <c:f>'Funds analysis'!$D$155:$D$157</c:f>
              <c:numCache>
                <c:formatCode>0</c:formatCode>
                <c:ptCount val="3"/>
                <c:pt idx="0">
                  <c:v>57928</c:v>
                </c:pt>
                <c:pt idx="1">
                  <c:v>72891</c:v>
                </c:pt>
                <c:pt idx="2">
                  <c:v>79187</c:v>
                </c:pt>
              </c:numCache>
            </c:numRef>
          </c:val>
        </c:ser>
        <c:ser>
          <c:idx val="2"/>
          <c:order val="2"/>
          <c:tx>
            <c:strRef>
              <c:f>'Funds analysis'!$E$153:$E$154</c:f>
              <c:strCache>
                <c:ptCount val="1"/>
                <c:pt idx="0">
                  <c:v>2014</c:v>
                </c:pt>
              </c:strCache>
            </c:strRef>
          </c:tx>
          <c:invertIfNegative val="0"/>
          <c:cat>
            <c:strRef>
              <c:f>'Funds analysis'!$B$155:$B$157</c:f>
              <c:strCache>
                <c:ptCount val="3"/>
                <c:pt idx="0">
                  <c:v>Number of sanitation beneficiaries</c:v>
                </c:pt>
                <c:pt idx="1">
                  <c:v>Number of water access beneficiaries</c:v>
                </c:pt>
                <c:pt idx="2">
                  <c:v> Number of beneficiairies for HE</c:v>
                </c:pt>
              </c:strCache>
            </c:strRef>
          </c:cat>
          <c:val>
            <c:numRef>
              <c:f>'Funds analysis'!$E$155:$E$157</c:f>
              <c:numCache>
                <c:formatCode>0</c:formatCode>
                <c:ptCount val="3"/>
                <c:pt idx="0">
                  <c:v>136152</c:v>
                </c:pt>
                <c:pt idx="1">
                  <c:v>139508</c:v>
                </c:pt>
                <c:pt idx="2">
                  <c:v>141595</c:v>
                </c:pt>
              </c:numCache>
            </c:numRef>
          </c:val>
        </c:ser>
        <c:ser>
          <c:idx val="3"/>
          <c:order val="3"/>
          <c:tx>
            <c:strRef>
              <c:f>'Funds analysis'!$F$153:$F$154</c:f>
              <c:strCache>
                <c:ptCount val="1"/>
                <c:pt idx="0">
                  <c:v>2015</c:v>
                </c:pt>
              </c:strCache>
            </c:strRef>
          </c:tx>
          <c:invertIfNegative val="0"/>
          <c:cat>
            <c:strRef>
              <c:f>'Funds analysis'!$B$155:$B$157</c:f>
              <c:strCache>
                <c:ptCount val="3"/>
                <c:pt idx="0">
                  <c:v>Number of sanitation beneficiaries</c:v>
                </c:pt>
                <c:pt idx="1">
                  <c:v>Number of water access beneficiaries</c:v>
                </c:pt>
                <c:pt idx="2">
                  <c:v> Number of beneficiairies for HE</c:v>
                </c:pt>
              </c:strCache>
            </c:strRef>
          </c:cat>
          <c:val>
            <c:numRef>
              <c:f>'Funds analysis'!$F$155:$F$157</c:f>
              <c:numCache>
                <c:formatCode>0</c:formatCode>
                <c:ptCount val="3"/>
                <c:pt idx="0">
                  <c:v>74915</c:v>
                </c:pt>
                <c:pt idx="1">
                  <c:v>64953</c:v>
                </c:pt>
                <c:pt idx="2">
                  <c:v>81577</c:v>
                </c:pt>
              </c:numCache>
            </c:numRef>
          </c:val>
        </c:ser>
        <c:dLbls>
          <c:showLegendKey val="0"/>
          <c:showVal val="0"/>
          <c:showCatName val="0"/>
          <c:showSerName val="0"/>
          <c:showPercent val="0"/>
          <c:showBubbleSize val="0"/>
        </c:dLbls>
        <c:gapWidth val="150"/>
        <c:shape val="box"/>
        <c:axId val="230284728"/>
        <c:axId val="230285120"/>
        <c:axId val="0"/>
      </c:bar3DChart>
      <c:catAx>
        <c:axId val="230284728"/>
        <c:scaling>
          <c:orientation val="minMax"/>
        </c:scaling>
        <c:delete val="0"/>
        <c:axPos val="b"/>
        <c:numFmt formatCode="General" sourceLinked="0"/>
        <c:majorTickMark val="out"/>
        <c:minorTickMark val="none"/>
        <c:tickLblPos val="nextTo"/>
        <c:crossAx val="230285120"/>
        <c:crosses val="autoZero"/>
        <c:auto val="1"/>
        <c:lblAlgn val="ctr"/>
        <c:lblOffset val="100"/>
        <c:noMultiLvlLbl val="0"/>
      </c:catAx>
      <c:valAx>
        <c:axId val="230285120"/>
        <c:scaling>
          <c:orientation val="minMax"/>
        </c:scaling>
        <c:delete val="0"/>
        <c:axPos val="l"/>
        <c:majorGridlines/>
        <c:numFmt formatCode="0" sourceLinked="1"/>
        <c:majorTickMark val="out"/>
        <c:minorTickMark val="none"/>
        <c:tickLblPos val="nextTo"/>
        <c:crossAx val="230284728"/>
        <c:crosses val="autoZero"/>
        <c:crossBetween val="between"/>
      </c:valAx>
    </c:plotArea>
    <c:legend>
      <c:legendPos val="r"/>
      <c:overlay val="0"/>
    </c:legend>
    <c:plotVisOnly val="1"/>
    <c:dispBlanksAs val="gap"/>
    <c:showDLblsOverMax val="0"/>
  </c:chart>
  <c:spPr>
    <a:effectLst>
      <a:outerShdw blurRad="50800" dist="38100" algn="l" rotWithShape="0">
        <a:prstClr val="black">
          <a:alpha val="40000"/>
        </a:prstClr>
      </a:outerShdw>
    </a:effectLst>
    <a:scene3d>
      <a:camera prst="orthographicFront"/>
      <a:lightRig rig="threePt" dir="t"/>
    </a:scene3d>
    <a:sp3d>
      <a:bevelT prst="relaxedInset"/>
    </a:sp3d>
  </c:spPr>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2015.xlsx]Funds analysis!PivotTable7</c:name>
    <c:fmtId val="3"/>
  </c:pivotSource>
  <c:chart>
    <c:title>
      <c:tx>
        <c:rich>
          <a:bodyPr/>
          <a:lstStyle/>
          <a:p>
            <a:pPr>
              <a:defRPr sz="1400"/>
            </a:pPr>
            <a:r>
              <a:rPr lang="en-US" sz="1400"/>
              <a:t>NB OF BENEFICIARIES</a:t>
            </a:r>
            <a:r>
              <a:rPr lang="en-US" sz="1400" baseline="0"/>
              <a:t> IN HOST COMMUNITIES</a:t>
            </a:r>
            <a:endParaRPr lang="en-US" sz="14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s>
    <c:view3D>
      <c:rotX val="15"/>
      <c:rotY val="20"/>
      <c:rAngAx val="1"/>
    </c:view3D>
    <c:floor>
      <c:thickness val="0"/>
      <c:spPr>
        <a:solidFill>
          <a:schemeClr val="bg1">
            <a:lumMod val="85000"/>
          </a:schemeClr>
        </a:solidFill>
      </c:spPr>
    </c:floor>
    <c:sideWall>
      <c:thickness val="0"/>
    </c:sideWall>
    <c:backWall>
      <c:thickness val="0"/>
      <c:spPr>
        <a:solidFill>
          <a:schemeClr val="bg1">
            <a:lumMod val="85000"/>
          </a:schemeClr>
        </a:solidFill>
      </c:spPr>
    </c:backWall>
    <c:plotArea>
      <c:layout/>
      <c:bar3DChart>
        <c:barDir val="col"/>
        <c:grouping val="clustered"/>
        <c:varyColors val="0"/>
        <c:ser>
          <c:idx val="0"/>
          <c:order val="0"/>
          <c:tx>
            <c:strRef>
              <c:f>'Funds analysis'!$C$169:$C$170</c:f>
              <c:strCache>
                <c:ptCount val="1"/>
                <c:pt idx="0">
                  <c:v>2012</c:v>
                </c:pt>
              </c:strCache>
            </c:strRef>
          </c:tx>
          <c:invertIfNegative val="0"/>
          <c:cat>
            <c:strRef>
              <c:f>'Funds analysis'!$B$171:$B$173</c:f>
              <c:strCache>
                <c:ptCount val="3"/>
                <c:pt idx="0">
                  <c:v> Nb of sanitation beneficiaries</c:v>
                </c:pt>
                <c:pt idx="1">
                  <c:v>Nb of water access beneficiaries</c:v>
                </c:pt>
                <c:pt idx="2">
                  <c:v>Nb of beneficiairies for HE in host</c:v>
                </c:pt>
              </c:strCache>
            </c:strRef>
          </c:cat>
          <c:val>
            <c:numRef>
              <c:f>'Funds analysis'!$C$171:$C$173</c:f>
              <c:numCache>
                <c:formatCode>0</c:formatCode>
                <c:ptCount val="3"/>
                <c:pt idx="0">
                  <c:v>2500</c:v>
                </c:pt>
                <c:pt idx="1">
                  <c:v>2500</c:v>
                </c:pt>
                <c:pt idx="2">
                  <c:v>2500</c:v>
                </c:pt>
              </c:numCache>
            </c:numRef>
          </c:val>
        </c:ser>
        <c:ser>
          <c:idx val="1"/>
          <c:order val="1"/>
          <c:tx>
            <c:strRef>
              <c:f>'Funds analysis'!$D$169:$D$170</c:f>
              <c:strCache>
                <c:ptCount val="1"/>
                <c:pt idx="0">
                  <c:v>2013</c:v>
                </c:pt>
              </c:strCache>
            </c:strRef>
          </c:tx>
          <c:invertIfNegative val="0"/>
          <c:cat>
            <c:strRef>
              <c:f>'Funds analysis'!$B$171:$B$173</c:f>
              <c:strCache>
                <c:ptCount val="3"/>
                <c:pt idx="0">
                  <c:v> Nb of sanitation beneficiaries</c:v>
                </c:pt>
                <c:pt idx="1">
                  <c:v>Nb of water access beneficiaries</c:v>
                </c:pt>
                <c:pt idx="2">
                  <c:v>Nb of beneficiairies for HE in host</c:v>
                </c:pt>
              </c:strCache>
            </c:strRef>
          </c:cat>
          <c:val>
            <c:numRef>
              <c:f>'Funds analysis'!$D$171:$D$173</c:f>
              <c:numCache>
                <c:formatCode>0</c:formatCode>
                <c:ptCount val="3"/>
                <c:pt idx="0">
                  <c:v>22000</c:v>
                </c:pt>
                <c:pt idx="1">
                  <c:v>8788</c:v>
                </c:pt>
                <c:pt idx="2">
                  <c:v>30788</c:v>
                </c:pt>
              </c:numCache>
            </c:numRef>
          </c:val>
        </c:ser>
        <c:ser>
          <c:idx val="2"/>
          <c:order val="2"/>
          <c:tx>
            <c:strRef>
              <c:f>'Funds analysis'!$E$169:$E$170</c:f>
              <c:strCache>
                <c:ptCount val="1"/>
                <c:pt idx="0">
                  <c:v>2014</c:v>
                </c:pt>
              </c:strCache>
            </c:strRef>
          </c:tx>
          <c:invertIfNegative val="0"/>
          <c:cat>
            <c:strRef>
              <c:f>'Funds analysis'!$B$171:$B$173</c:f>
              <c:strCache>
                <c:ptCount val="3"/>
                <c:pt idx="0">
                  <c:v> Nb of sanitation beneficiaries</c:v>
                </c:pt>
                <c:pt idx="1">
                  <c:v>Nb of water access beneficiaries</c:v>
                </c:pt>
                <c:pt idx="2">
                  <c:v>Nb of beneficiairies for HE in host</c:v>
                </c:pt>
              </c:strCache>
            </c:strRef>
          </c:cat>
          <c:val>
            <c:numRef>
              <c:f>'Funds analysis'!$E$171:$E$173</c:f>
              <c:numCache>
                <c:formatCode>0</c:formatCode>
                <c:ptCount val="3"/>
                <c:pt idx="0">
                  <c:v>0</c:v>
                </c:pt>
                <c:pt idx="1">
                  <c:v>0</c:v>
                </c:pt>
                <c:pt idx="2">
                  <c:v>2418</c:v>
                </c:pt>
              </c:numCache>
            </c:numRef>
          </c:val>
        </c:ser>
        <c:ser>
          <c:idx val="3"/>
          <c:order val="3"/>
          <c:tx>
            <c:strRef>
              <c:f>'Funds analysis'!$F$169:$F$170</c:f>
              <c:strCache>
                <c:ptCount val="1"/>
                <c:pt idx="0">
                  <c:v>2015</c:v>
                </c:pt>
              </c:strCache>
            </c:strRef>
          </c:tx>
          <c:invertIfNegative val="0"/>
          <c:cat>
            <c:strRef>
              <c:f>'Funds analysis'!$B$171:$B$173</c:f>
              <c:strCache>
                <c:ptCount val="3"/>
                <c:pt idx="0">
                  <c:v> Nb of sanitation beneficiaries</c:v>
                </c:pt>
                <c:pt idx="1">
                  <c:v>Nb of water access beneficiaries</c:v>
                </c:pt>
                <c:pt idx="2">
                  <c:v>Nb of beneficiairies for HE in host</c:v>
                </c:pt>
              </c:strCache>
            </c:strRef>
          </c:cat>
          <c:val>
            <c:numRef>
              <c:f>'Funds analysis'!$F$171:$F$173</c:f>
              <c:numCache>
                <c:formatCode>0</c:formatCode>
                <c:ptCount val="3"/>
                <c:pt idx="0">
                  <c:v>1910</c:v>
                </c:pt>
                <c:pt idx="1">
                  <c:v>1910</c:v>
                </c:pt>
                <c:pt idx="2">
                  <c:v>1910</c:v>
                </c:pt>
              </c:numCache>
            </c:numRef>
          </c:val>
        </c:ser>
        <c:dLbls>
          <c:showLegendKey val="0"/>
          <c:showVal val="0"/>
          <c:showCatName val="0"/>
          <c:showSerName val="0"/>
          <c:showPercent val="0"/>
          <c:showBubbleSize val="0"/>
        </c:dLbls>
        <c:gapWidth val="150"/>
        <c:shape val="box"/>
        <c:axId val="230285904"/>
        <c:axId val="230286296"/>
        <c:axId val="0"/>
      </c:bar3DChart>
      <c:catAx>
        <c:axId val="230285904"/>
        <c:scaling>
          <c:orientation val="minMax"/>
        </c:scaling>
        <c:delete val="0"/>
        <c:axPos val="b"/>
        <c:numFmt formatCode="General" sourceLinked="0"/>
        <c:majorTickMark val="out"/>
        <c:minorTickMark val="none"/>
        <c:tickLblPos val="nextTo"/>
        <c:crossAx val="230286296"/>
        <c:crosses val="autoZero"/>
        <c:auto val="1"/>
        <c:lblAlgn val="ctr"/>
        <c:lblOffset val="100"/>
        <c:noMultiLvlLbl val="0"/>
      </c:catAx>
      <c:valAx>
        <c:axId val="230286296"/>
        <c:scaling>
          <c:orientation val="minMax"/>
        </c:scaling>
        <c:delete val="0"/>
        <c:axPos val="l"/>
        <c:majorGridlines/>
        <c:numFmt formatCode="0" sourceLinked="1"/>
        <c:majorTickMark val="out"/>
        <c:minorTickMark val="none"/>
        <c:tickLblPos val="nextTo"/>
        <c:crossAx val="230285904"/>
        <c:crosses val="autoZero"/>
        <c:crossBetween val="between"/>
      </c:valAx>
    </c:plotArea>
    <c:legend>
      <c:legendPos val="r"/>
      <c:overlay val="0"/>
    </c:legend>
    <c:plotVisOnly val="1"/>
    <c:dispBlanksAs val="gap"/>
    <c:showDLblsOverMax val="0"/>
  </c:chart>
  <c:spPr>
    <a:effectLst>
      <a:outerShdw blurRad="50800" dist="38100" algn="l" rotWithShape="0">
        <a:prstClr val="black">
          <a:alpha val="40000"/>
        </a:prstClr>
      </a:outerShdw>
    </a:effectLst>
    <a:scene3d>
      <a:camera prst="orthographicFront"/>
      <a:lightRig rig="threePt" dir="t"/>
    </a:scene3d>
    <a:sp3d>
      <a:bevelT prst="relaxedInset"/>
    </a:sp3d>
  </c:spPr>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2015.xlsx]Funds analysis!PivotTable9</c:name>
    <c:fmtId val="18"/>
  </c:pivotSource>
  <c:chart>
    <c:title>
      <c:tx>
        <c:rich>
          <a:bodyPr/>
          <a:lstStyle/>
          <a:p>
            <a:pPr>
              <a:defRPr sz="1400"/>
            </a:pPr>
            <a:r>
              <a:rPr lang="en-US" sz="1400"/>
              <a:t>GEOGRAPHIC FUND REPARTITION</a:t>
            </a:r>
          </a:p>
        </c:rich>
      </c:tx>
      <c:layout>
        <c:manualLayout>
          <c:xMode val="edge"/>
          <c:yMode val="edge"/>
          <c:x val="0.29850830967484726"/>
          <c:y val="6.7460317460317457E-2"/>
        </c:manualLayout>
      </c:layout>
      <c:overlay val="0"/>
    </c:title>
    <c:autoTitleDeleted val="0"/>
    <c:pivotFmts>
      <c:pivotFmt>
        <c:idx val="0"/>
        <c:marker>
          <c:symbol val="none"/>
        </c:marker>
        <c:dLbl>
          <c:idx val="0"/>
          <c:spPr/>
          <c:txPr>
            <a:bodyPr/>
            <a:lstStyle/>
            <a:p>
              <a:pPr>
                <a:defRPr/>
              </a:pPr>
              <a:endParaRPr lang="en-US"/>
            </a:p>
          </c:txPr>
          <c:showLegendKey val="0"/>
          <c:showVal val="0"/>
          <c:showCatName val="0"/>
          <c:showSerName val="0"/>
          <c:showPercent val="1"/>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n-US"/>
            </a:p>
          </c:txPr>
          <c:showLegendKey val="0"/>
          <c:showVal val="0"/>
          <c:showCatName val="0"/>
          <c:showSerName val="0"/>
          <c:showPercent val="1"/>
          <c:showBubbleSize val="0"/>
          <c:extLst>
            <c:ext xmlns:c15="http://schemas.microsoft.com/office/drawing/2012/chart" uri="{CE6537A1-D6FC-4f65-9D91-7224C49458BB}"/>
          </c:extLst>
        </c:dLbl>
      </c:pivotFmt>
      <c:pivotFmt>
        <c:idx val="2"/>
        <c:marker>
          <c:symbol val="none"/>
        </c:marker>
        <c:dLbl>
          <c:idx val="0"/>
          <c:spPr/>
          <c:txPr>
            <a:bodyPr/>
            <a:lstStyle/>
            <a:p>
              <a:pPr>
                <a:defRPr/>
              </a:pPr>
              <a:endParaRPr lang="en-US"/>
            </a:p>
          </c:txPr>
          <c:showLegendKey val="0"/>
          <c:showVal val="0"/>
          <c:showCatName val="0"/>
          <c:showSerName val="0"/>
          <c:showPercent val="1"/>
          <c:showBubbleSize val="0"/>
          <c:extLst>
            <c:ext xmlns:c15="http://schemas.microsoft.com/office/drawing/2012/chart" uri="{CE6537A1-D6FC-4f65-9D91-7224C49458BB}"/>
          </c:extLst>
        </c:dLbl>
      </c:pivotFmt>
      <c:pivotFmt>
        <c:idx val="3"/>
        <c:marker>
          <c:symbol val="none"/>
        </c:marker>
        <c:dLbl>
          <c:idx val="0"/>
          <c:spPr/>
          <c:txPr>
            <a:bodyPr/>
            <a:lstStyle/>
            <a:p>
              <a:pPr>
                <a:defRPr/>
              </a:pPr>
              <a:endParaRPr lang="en-US"/>
            </a:p>
          </c:txPr>
          <c:showLegendKey val="0"/>
          <c:showVal val="0"/>
          <c:showCatName val="0"/>
          <c:showSerName val="0"/>
          <c:showPercent val="1"/>
          <c:showBubbleSize val="0"/>
          <c:extLst>
            <c:ext xmlns:c15="http://schemas.microsoft.com/office/drawing/2012/chart" uri="{CE6537A1-D6FC-4f65-9D91-7224C49458BB}"/>
          </c:extLst>
        </c:dLbl>
      </c:pivotFmt>
      <c:pivotFmt>
        <c:idx val="4"/>
        <c:marker>
          <c:symbol val="none"/>
        </c:marker>
        <c:dLbl>
          <c:idx val="0"/>
          <c:spPr>
            <a:noFill/>
            <a:ln>
              <a:noFill/>
            </a:ln>
            <a:effectLst/>
          </c:spPr>
          <c:txPr>
            <a:bodyPr wrap="square" lIns="38100" tIns="19050" rIns="38100" bIns="19050" anchor="ctr">
              <a:spAutoFit/>
            </a:bodyPr>
            <a:lstStyle/>
            <a:p>
              <a:pPr>
                <a:defRPr/>
              </a:pPr>
              <a:endParaRPr lang="en-US"/>
            </a:p>
          </c:txPr>
          <c:showLegendKey val="0"/>
          <c:showVal val="0"/>
          <c:showCatName val="1"/>
          <c:showSerName val="0"/>
          <c:showPercent val="0"/>
          <c:showBubbleSize val="0"/>
          <c:extLst>
            <c:ext xmlns:c15="http://schemas.microsoft.com/office/drawing/2012/chart" uri="{CE6537A1-D6FC-4f65-9D91-7224C49458BB}"/>
          </c:extLst>
        </c:dLbl>
      </c:pivotFmt>
      <c:pivotFmt>
        <c:idx val="5"/>
        <c:dLbl>
          <c:idx val="0"/>
          <c:layout>
            <c:manualLayout>
              <c:x val="0.11104427968349607"/>
              <c:y val="0.16601674790651169"/>
            </c:manualLayout>
          </c:layout>
          <c:spPr>
            <a:noFill/>
            <a:ln>
              <a:noFill/>
            </a:ln>
            <a:effectLst/>
          </c:spPr>
          <c:txPr>
            <a:bodyPr wrap="square" lIns="38100" tIns="19050" rIns="38100" bIns="19050" anchor="ctr">
              <a:spAutoFit/>
            </a:bodyPr>
            <a:lstStyle/>
            <a:p>
              <a:pPr>
                <a:defRPr/>
              </a:pPr>
              <a:endParaRPr lang="en-US"/>
            </a:p>
          </c:txPr>
          <c:showLegendKey val="0"/>
          <c:showVal val="0"/>
          <c:showCatName val="1"/>
          <c:showSerName val="0"/>
          <c:showPercent val="0"/>
          <c:showBubbleSize val="0"/>
          <c:extLst>
            <c:ext xmlns:c15="http://schemas.microsoft.com/office/drawing/2012/chart" uri="{CE6537A1-D6FC-4f65-9D91-7224C49458BB}"/>
          </c:extLst>
        </c:dLbl>
      </c:pivotFmt>
      <c:pivotFmt>
        <c:idx val="6"/>
        <c:marker>
          <c:symbol val="none"/>
        </c:marker>
        <c:dLbl>
          <c:idx val="0"/>
          <c:spPr>
            <a:noFill/>
            <a:ln>
              <a:noFill/>
            </a:ln>
            <a:effectLst/>
          </c:spPr>
          <c:txPr>
            <a:bodyPr wrap="square" lIns="38100" tIns="19050" rIns="38100" bIns="19050" anchor="ctr">
              <a:spAutoFit/>
            </a:bodyPr>
            <a:lstStyle/>
            <a:p>
              <a:pPr>
                <a:defRPr/>
              </a:pPr>
              <a:endParaRPr lang="en-US"/>
            </a:p>
          </c:txPr>
          <c:showLegendKey val="0"/>
          <c:showVal val="0"/>
          <c:showCatName val="1"/>
          <c:showSerName val="0"/>
          <c:showPercent val="0"/>
          <c:showBubbleSize val="0"/>
          <c:extLst>
            <c:ext xmlns:c15="http://schemas.microsoft.com/office/drawing/2012/chart" uri="{CE6537A1-D6FC-4f65-9D91-7224C49458BB}"/>
          </c:extLst>
        </c:dLbl>
      </c:pivotFmt>
      <c:pivotFmt>
        <c:idx val="7"/>
        <c:dLbl>
          <c:idx val="0"/>
          <c:layout>
            <c:manualLayout>
              <c:x val="0.11104427968349607"/>
              <c:y val="0.16601674790651169"/>
            </c:manualLayout>
          </c:layout>
          <c:spPr>
            <a:noFill/>
            <a:ln>
              <a:noFill/>
            </a:ln>
            <a:effectLst/>
          </c:spPr>
          <c:txPr>
            <a:bodyPr wrap="square" lIns="38100" tIns="19050" rIns="38100" bIns="19050" anchor="ctr">
              <a:spAutoFit/>
            </a:bodyPr>
            <a:lstStyle/>
            <a:p>
              <a:pPr>
                <a:defRPr/>
              </a:pPr>
              <a:endParaRPr lang="en-US"/>
            </a:p>
          </c:txPr>
          <c:showLegendKey val="0"/>
          <c:showVal val="0"/>
          <c:showCatName val="1"/>
          <c:showSerName val="0"/>
          <c:showPercent val="0"/>
          <c:showBubbleSize val="0"/>
          <c:extLst>
            <c:ext xmlns:c15="http://schemas.microsoft.com/office/drawing/2012/chart" uri="{CE6537A1-D6FC-4f65-9D91-7224C49458BB}"/>
          </c:extLst>
        </c:dLbl>
      </c:pivotFmt>
    </c:pivotFmts>
    <c:view3D>
      <c:rotX val="30"/>
      <c:rotY val="0"/>
      <c:rAngAx val="0"/>
    </c:view3D>
    <c:floor>
      <c:thickness val="0"/>
    </c:floor>
    <c:sideWall>
      <c:thickness val="0"/>
    </c:sideWall>
    <c:backWall>
      <c:thickness val="0"/>
    </c:backWall>
    <c:plotArea>
      <c:layout>
        <c:manualLayout>
          <c:layoutTarget val="inner"/>
          <c:xMode val="edge"/>
          <c:yMode val="edge"/>
          <c:x val="6.9129453448780326E-2"/>
          <c:y val="0.24709286339207598"/>
          <c:w val="0.52417359288422283"/>
          <c:h val="0.75199107425401612"/>
        </c:manualLayout>
      </c:layout>
      <c:pie3DChart>
        <c:varyColors val="1"/>
        <c:ser>
          <c:idx val="0"/>
          <c:order val="0"/>
          <c:tx>
            <c:strRef>
              <c:f>'Funds analysis'!$C$108</c:f>
              <c:strCache>
                <c:ptCount val="1"/>
                <c:pt idx="0">
                  <c:v>Total</c:v>
                </c:pt>
              </c:strCache>
            </c:strRef>
          </c:tx>
          <c:dPt>
            <c:idx val="0"/>
            <c:bubble3D val="0"/>
            <c:explosion val="14"/>
          </c:dPt>
          <c:dLbls>
            <c:dLbl>
              <c:idx val="0"/>
              <c:layout>
                <c:manualLayout>
                  <c:x val="0.11104427968349607"/>
                  <c:y val="0.16601674790651169"/>
                </c:manualLayout>
              </c:layout>
              <c:showLegendKey val="0"/>
              <c:showVal val="0"/>
              <c:showCatName val="1"/>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a:pPr>
                <a:endParaRPr lang="en-US"/>
              </a:p>
            </c:txPr>
            <c:showLegendKey val="0"/>
            <c:showVal val="0"/>
            <c:showCatName val="1"/>
            <c:showSerName val="0"/>
            <c:showPercent val="0"/>
            <c:showBubbleSize val="0"/>
            <c:showLeaderLines val="1"/>
            <c:extLst>
              <c:ext xmlns:c15="http://schemas.microsoft.com/office/drawing/2012/chart" uri="{CE6537A1-D6FC-4f65-9D91-7224C49458BB}"/>
            </c:extLst>
          </c:dLbls>
          <c:cat>
            <c:strRef>
              <c:f>'Funds analysis'!$B$109:$B$110</c:f>
              <c:strCache>
                <c:ptCount val="2"/>
                <c:pt idx="0">
                  <c:v>Average of Approximative % of NGCA beneficiaries</c:v>
                </c:pt>
                <c:pt idx="1">
                  <c:v>Average of Approximative % of GCA beneficiaries</c:v>
                </c:pt>
              </c:strCache>
            </c:strRef>
          </c:cat>
          <c:val>
            <c:numRef>
              <c:f>'Funds analysis'!$C$109:$C$110</c:f>
              <c:numCache>
                <c:formatCode>0%</c:formatCode>
                <c:ptCount val="2"/>
                <c:pt idx="0">
                  <c:v>0.45509928457266513</c:v>
                </c:pt>
                <c:pt idx="1">
                  <c:v>357.95309961793021</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effectLst>
      <a:outerShdw blurRad="50800" dist="38100" algn="l" rotWithShape="0">
        <a:prstClr val="black">
          <a:alpha val="40000"/>
        </a:prstClr>
      </a:outerShdw>
    </a:effectLst>
    <a:scene3d>
      <a:camera prst="orthographicFront"/>
      <a:lightRig rig="threePt" dir="t"/>
    </a:scene3d>
    <a:sp3d>
      <a:bevelT prst="relaxedInset"/>
    </a:sp3d>
  </c:spPr>
  <c:printSettings>
    <c:headerFooter/>
    <c:pageMargins b="0.75000000000000022" l="0.70000000000000018" r="0.70000000000000018" t="0.75000000000000022" header="0.3000000000000001" footer="0.3000000000000001"/>
    <c:pageSetup/>
  </c:printSettings>
  <c:extLst>
    <c:ext xmlns:c14="http://schemas.microsoft.com/office/drawing/2007/8/2/chart" uri="{781A3756-C4B2-4CAC-9D66-4F8BD8637D16}">
      <c14:pivotOptions>
        <c14:dropZoneFilter val="1"/>
        <c14:dropZoneData val="1"/>
        <c14:dropZoneSeries val="1"/>
      </c14:pivotOptions>
    </c:ext>
  </c:extLst>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2015.xlsx]Funds analysis!PivotTable4</c:name>
    <c:fmtId val="11"/>
  </c:pivotSource>
  <c:chart>
    <c:title>
      <c:tx>
        <c:rich>
          <a:bodyPr/>
          <a:lstStyle/>
          <a:p>
            <a:pPr>
              <a:defRPr sz="1400"/>
            </a:pPr>
            <a:r>
              <a:rPr lang="en-US" sz="1400"/>
              <a:t>FUND RECEIVED PER YEAR (US$)</a:t>
            </a:r>
          </a:p>
        </c:rich>
      </c:tx>
      <c:overlay val="0"/>
    </c:title>
    <c:autoTitleDeleted val="0"/>
    <c:pivotFmts>
      <c:pivotFmt>
        <c:idx val="0"/>
        <c:marker>
          <c:symbol val="none"/>
        </c:marker>
      </c:pivotFmt>
      <c:pivotFmt>
        <c:idx val="1"/>
        <c:marker>
          <c:symbol val="none"/>
        </c:marker>
      </c:pivotFmt>
    </c:pivotFmts>
    <c:view3D>
      <c:rotX val="15"/>
      <c:rotY val="20"/>
      <c:depthPercent val="100"/>
      <c:rAngAx val="1"/>
    </c:view3D>
    <c:floor>
      <c:thickness val="0"/>
      <c:spPr>
        <a:solidFill>
          <a:schemeClr val="bg1">
            <a:lumMod val="65000"/>
          </a:schemeClr>
        </a:solidFill>
      </c:spPr>
    </c:floor>
    <c:sideWall>
      <c:thickness val="0"/>
      <c:spPr>
        <a:solidFill>
          <a:schemeClr val="bg1">
            <a:lumMod val="65000"/>
          </a:schemeClr>
        </a:solidFill>
      </c:spPr>
    </c:sideWall>
    <c:backWall>
      <c:thickness val="0"/>
      <c:spPr>
        <a:solidFill>
          <a:schemeClr val="bg1">
            <a:lumMod val="65000"/>
          </a:schemeClr>
        </a:solidFill>
      </c:spPr>
    </c:backWall>
    <c:plotArea>
      <c:layout>
        <c:manualLayout>
          <c:layoutTarget val="inner"/>
          <c:xMode val="edge"/>
          <c:yMode val="edge"/>
          <c:x val="8.2545079592323711E-2"/>
          <c:y val="0.18514552024487241"/>
          <c:w val="0.89364539659815267"/>
          <c:h val="0.58800975709061298"/>
        </c:manualLayout>
      </c:layout>
      <c:bar3DChart>
        <c:barDir val="col"/>
        <c:grouping val="stacked"/>
        <c:varyColors val="0"/>
        <c:ser>
          <c:idx val="0"/>
          <c:order val="0"/>
          <c:tx>
            <c:strRef>
              <c:f>'Funds analysis'!$C$56:$C$57</c:f>
              <c:strCache>
                <c:ptCount val="1"/>
                <c:pt idx="0">
                  <c:v>Total</c:v>
                </c:pt>
              </c:strCache>
            </c:strRef>
          </c:tx>
          <c:invertIfNegative val="0"/>
          <c:cat>
            <c:strRef>
              <c:f>'Funds analysis'!$B$58:$B$62</c:f>
              <c:strCache>
                <c:ptCount val="4"/>
                <c:pt idx="0">
                  <c:v>2012</c:v>
                </c:pt>
                <c:pt idx="1">
                  <c:v>2013</c:v>
                </c:pt>
                <c:pt idx="2">
                  <c:v>2014</c:v>
                </c:pt>
                <c:pt idx="3">
                  <c:v>2015</c:v>
                </c:pt>
              </c:strCache>
            </c:strRef>
          </c:cat>
          <c:val>
            <c:numRef>
              <c:f>'Funds analysis'!$C$58:$C$62</c:f>
              <c:numCache>
                <c:formatCode>#,##0</c:formatCode>
                <c:ptCount val="4"/>
                <c:pt idx="0">
                  <c:v>3335112.61</c:v>
                </c:pt>
                <c:pt idx="1">
                  <c:v>4596720</c:v>
                </c:pt>
                <c:pt idx="2">
                  <c:v>4695578</c:v>
                </c:pt>
                <c:pt idx="3">
                  <c:v>2478434</c:v>
                </c:pt>
              </c:numCache>
            </c:numRef>
          </c:val>
        </c:ser>
        <c:dLbls>
          <c:showLegendKey val="0"/>
          <c:showVal val="0"/>
          <c:showCatName val="0"/>
          <c:showSerName val="0"/>
          <c:showPercent val="0"/>
          <c:showBubbleSize val="0"/>
        </c:dLbls>
        <c:gapWidth val="150"/>
        <c:shape val="box"/>
        <c:axId val="231432448"/>
        <c:axId val="231432840"/>
        <c:axId val="0"/>
      </c:bar3DChart>
      <c:catAx>
        <c:axId val="231432448"/>
        <c:scaling>
          <c:orientation val="minMax"/>
        </c:scaling>
        <c:delete val="0"/>
        <c:axPos val="b"/>
        <c:numFmt formatCode="General" sourceLinked="1"/>
        <c:majorTickMark val="out"/>
        <c:minorTickMark val="none"/>
        <c:tickLblPos val="nextTo"/>
        <c:txPr>
          <a:bodyPr/>
          <a:lstStyle/>
          <a:p>
            <a:pPr>
              <a:defRPr sz="1000"/>
            </a:pPr>
            <a:endParaRPr lang="en-US"/>
          </a:p>
        </c:txPr>
        <c:crossAx val="231432840"/>
        <c:crosses val="autoZero"/>
        <c:auto val="0"/>
        <c:lblAlgn val="ctr"/>
        <c:lblOffset val="100"/>
        <c:noMultiLvlLbl val="0"/>
      </c:catAx>
      <c:valAx>
        <c:axId val="231432840"/>
        <c:scaling>
          <c:orientation val="minMax"/>
          <c:max val="6000000"/>
        </c:scaling>
        <c:delete val="0"/>
        <c:axPos val="l"/>
        <c:majorGridlines/>
        <c:numFmt formatCode="#,##0" sourceLinked="1"/>
        <c:majorTickMark val="out"/>
        <c:minorTickMark val="none"/>
        <c:tickLblPos val="nextTo"/>
        <c:txPr>
          <a:bodyPr/>
          <a:lstStyle/>
          <a:p>
            <a:pPr>
              <a:defRPr sz="1000"/>
            </a:pPr>
            <a:endParaRPr lang="en-US"/>
          </a:p>
        </c:txPr>
        <c:crossAx val="231432448"/>
        <c:crosses val="autoZero"/>
        <c:crossBetween val="between"/>
      </c:valAx>
      <c:spPr>
        <a:noFill/>
        <a:ln w="25400">
          <a:noFill/>
        </a:ln>
      </c:spPr>
    </c:plotArea>
    <c:plotVisOnly val="1"/>
    <c:dispBlanksAs val="gap"/>
    <c:showDLblsOverMax val="0"/>
  </c:chart>
  <c:spPr>
    <a:effectLst>
      <a:outerShdw blurRad="50800" dist="38100" algn="l" rotWithShape="0">
        <a:prstClr val="black">
          <a:alpha val="40000"/>
        </a:prstClr>
      </a:outerShdw>
    </a:effectLst>
    <a:scene3d>
      <a:camera prst="orthographicFront"/>
      <a:lightRig rig="threePt" dir="t"/>
    </a:scene3d>
    <a:sp3d>
      <a:bevelT prst="relaxedInset"/>
    </a:sp3d>
  </c:spPr>
  <c:printSettings>
    <c:headerFooter/>
    <c:pageMargins b="0.75000000000000022" l="0.70000000000000018" r="0.70000000000000018" t="0.75000000000000022" header="0.3000000000000001" footer="0.3000000000000001"/>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2015.xlsx]Funds analysis!PivotTable5</c:name>
    <c:fmtId val="8"/>
  </c:pivotSource>
  <c:chart>
    <c:title>
      <c:tx>
        <c:rich>
          <a:bodyPr/>
          <a:lstStyle/>
          <a:p>
            <a:pPr>
              <a:defRPr sz="1400"/>
            </a:pPr>
            <a:r>
              <a:rPr lang="en-US" sz="1400"/>
              <a:t>APPROXIMATE FUND USE/ENGAGED PER YEAR</a:t>
            </a:r>
            <a:r>
              <a:rPr lang="en-US" sz="1400" baseline="0"/>
              <a:t>(US$)</a:t>
            </a:r>
            <a:endParaRPr lang="en-US" sz="1400"/>
          </a:p>
        </c:rich>
      </c:tx>
      <c:overlay val="0"/>
    </c:title>
    <c:autoTitleDeleted val="0"/>
    <c:pivotFmts>
      <c:pivotFmt>
        <c:idx val="0"/>
        <c:marker>
          <c:symbol val="none"/>
        </c:marker>
      </c:pivotFmt>
      <c:pivotFmt>
        <c:idx val="1"/>
        <c:marker>
          <c:symbol val="none"/>
        </c:marker>
      </c:pivotFmt>
    </c:pivotFmts>
    <c:view3D>
      <c:rotX val="15"/>
      <c:rotY val="20"/>
      <c:depthPercent val="100"/>
      <c:rAngAx val="1"/>
    </c:view3D>
    <c:floor>
      <c:thickness val="0"/>
      <c:spPr>
        <a:solidFill>
          <a:schemeClr val="bg1">
            <a:lumMod val="65000"/>
          </a:schemeClr>
        </a:solidFill>
      </c:spPr>
    </c:floor>
    <c:sideWall>
      <c:thickness val="0"/>
      <c:spPr>
        <a:solidFill>
          <a:schemeClr val="bg1">
            <a:lumMod val="65000"/>
          </a:schemeClr>
        </a:solidFill>
      </c:spPr>
    </c:sideWall>
    <c:backWall>
      <c:thickness val="0"/>
      <c:spPr>
        <a:solidFill>
          <a:schemeClr val="bg1">
            <a:lumMod val="65000"/>
          </a:schemeClr>
        </a:solidFill>
      </c:spPr>
    </c:backWall>
    <c:plotArea>
      <c:layout>
        <c:manualLayout>
          <c:layoutTarget val="inner"/>
          <c:xMode val="edge"/>
          <c:yMode val="edge"/>
          <c:x val="8.2545079592323711E-2"/>
          <c:y val="0.18514552024487241"/>
          <c:w val="0.89364539659815267"/>
          <c:h val="0.58800975709061298"/>
        </c:manualLayout>
      </c:layout>
      <c:bar3DChart>
        <c:barDir val="col"/>
        <c:grouping val="stacked"/>
        <c:varyColors val="0"/>
        <c:ser>
          <c:idx val="0"/>
          <c:order val="0"/>
          <c:tx>
            <c:strRef>
              <c:f>'Funds analysis'!$C$69:$C$70</c:f>
              <c:strCache>
                <c:ptCount val="1"/>
                <c:pt idx="0">
                  <c:v>ECHO</c:v>
                </c:pt>
              </c:strCache>
            </c:strRef>
          </c:tx>
          <c:invertIfNegative val="0"/>
          <c:cat>
            <c:strRef>
              <c:f>'Funds analysis'!$B$71:$B$73</c:f>
              <c:strCache>
                <c:ptCount val="3"/>
                <c:pt idx="0">
                  <c:v>Before 2014</c:v>
                </c:pt>
                <c:pt idx="1">
                  <c:v>2014</c:v>
                </c:pt>
                <c:pt idx="2">
                  <c:v>2015</c:v>
                </c:pt>
              </c:strCache>
            </c:strRef>
          </c:cat>
          <c:val>
            <c:numRef>
              <c:f>'Funds analysis'!$C$71:$C$73</c:f>
              <c:numCache>
                <c:formatCode>#,##0</c:formatCode>
                <c:ptCount val="3"/>
                <c:pt idx="0">
                  <c:v>2174530.0636635181</c:v>
                </c:pt>
                <c:pt idx="1">
                  <c:v>1331418.2826844645</c:v>
                </c:pt>
                <c:pt idx="2">
                  <c:v>923764.65365201782</c:v>
                </c:pt>
              </c:numCache>
            </c:numRef>
          </c:val>
        </c:ser>
        <c:ser>
          <c:idx val="1"/>
          <c:order val="1"/>
          <c:tx>
            <c:strRef>
              <c:f>'Funds analysis'!$D$69:$D$70</c:f>
              <c:strCache>
                <c:ptCount val="1"/>
                <c:pt idx="0">
                  <c:v>Germany</c:v>
                </c:pt>
              </c:strCache>
            </c:strRef>
          </c:tx>
          <c:invertIfNegative val="0"/>
          <c:cat>
            <c:strRef>
              <c:f>'Funds analysis'!$B$71:$B$73</c:f>
              <c:strCache>
                <c:ptCount val="3"/>
                <c:pt idx="0">
                  <c:v>Before 2014</c:v>
                </c:pt>
                <c:pt idx="1">
                  <c:v>2014</c:v>
                </c:pt>
                <c:pt idx="2">
                  <c:v>2015</c:v>
                </c:pt>
              </c:strCache>
            </c:strRef>
          </c:cat>
          <c:val>
            <c:numRef>
              <c:f>'Funds analysis'!$D$71:$D$73</c:f>
              <c:numCache>
                <c:formatCode>#,##0</c:formatCode>
                <c:ptCount val="3"/>
                <c:pt idx="0">
                  <c:v>338770</c:v>
                </c:pt>
                <c:pt idx="1">
                  <c:v>0</c:v>
                </c:pt>
                <c:pt idx="2">
                  <c:v>75653</c:v>
                </c:pt>
              </c:numCache>
            </c:numRef>
          </c:val>
        </c:ser>
        <c:ser>
          <c:idx val="2"/>
          <c:order val="2"/>
          <c:tx>
            <c:strRef>
              <c:f>'Funds analysis'!$E$69:$E$70</c:f>
              <c:strCache>
                <c:ptCount val="1"/>
                <c:pt idx="0">
                  <c:v>OFDA</c:v>
                </c:pt>
              </c:strCache>
            </c:strRef>
          </c:tx>
          <c:invertIfNegative val="0"/>
          <c:cat>
            <c:strRef>
              <c:f>'Funds analysis'!$B$71:$B$73</c:f>
              <c:strCache>
                <c:ptCount val="3"/>
                <c:pt idx="0">
                  <c:v>Before 2014</c:v>
                </c:pt>
                <c:pt idx="1">
                  <c:v>2014</c:v>
                </c:pt>
                <c:pt idx="2">
                  <c:v>2015</c:v>
                </c:pt>
              </c:strCache>
            </c:strRef>
          </c:cat>
          <c:val>
            <c:numRef>
              <c:f>'Funds analysis'!$E$71:$E$73</c:f>
              <c:numCache>
                <c:formatCode>#,##0</c:formatCode>
                <c:ptCount val="3"/>
                <c:pt idx="0">
                  <c:v>1067394.5833333333</c:v>
                </c:pt>
                <c:pt idx="1">
                  <c:v>968695.31498302927</c:v>
                </c:pt>
                <c:pt idx="2">
                  <c:v>1725089.1016836374</c:v>
                </c:pt>
              </c:numCache>
            </c:numRef>
          </c:val>
        </c:ser>
        <c:ser>
          <c:idx val="3"/>
          <c:order val="3"/>
          <c:tx>
            <c:strRef>
              <c:f>'Funds analysis'!$F$69:$F$70</c:f>
              <c:strCache>
                <c:ptCount val="1"/>
                <c:pt idx="0">
                  <c:v>CERF</c:v>
                </c:pt>
              </c:strCache>
            </c:strRef>
          </c:tx>
          <c:invertIfNegative val="0"/>
          <c:cat>
            <c:strRef>
              <c:f>'Funds analysis'!$B$71:$B$73</c:f>
              <c:strCache>
                <c:ptCount val="3"/>
                <c:pt idx="0">
                  <c:v>Before 2014</c:v>
                </c:pt>
                <c:pt idx="1">
                  <c:v>2014</c:v>
                </c:pt>
                <c:pt idx="2">
                  <c:v>2015</c:v>
                </c:pt>
              </c:strCache>
            </c:strRef>
          </c:cat>
          <c:val>
            <c:numRef>
              <c:f>'Funds analysis'!$F$71:$F$73</c:f>
              <c:numCache>
                <c:formatCode>#,##0</c:formatCode>
                <c:ptCount val="3"/>
                <c:pt idx="0">
                  <c:v>1172664.4566898956</c:v>
                </c:pt>
                <c:pt idx="1">
                  <c:v>1022388.1533101045</c:v>
                </c:pt>
                <c:pt idx="2">
                  <c:v>0</c:v>
                </c:pt>
              </c:numCache>
            </c:numRef>
          </c:val>
        </c:ser>
        <c:ser>
          <c:idx val="4"/>
          <c:order val="4"/>
          <c:tx>
            <c:strRef>
              <c:f>'Funds analysis'!$G$69:$G$70</c:f>
              <c:strCache>
                <c:ptCount val="1"/>
                <c:pt idx="0">
                  <c:v>Canada</c:v>
                </c:pt>
              </c:strCache>
            </c:strRef>
          </c:tx>
          <c:invertIfNegative val="0"/>
          <c:cat>
            <c:strRef>
              <c:f>'Funds analysis'!$B$71:$B$73</c:f>
              <c:strCache>
                <c:ptCount val="3"/>
                <c:pt idx="0">
                  <c:v>Before 2014</c:v>
                </c:pt>
                <c:pt idx="1">
                  <c:v>2014</c:v>
                </c:pt>
                <c:pt idx="2">
                  <c:v>2015</c:v>
                </c:pt>
              </c:strCache>
            </c:strRef>
          </c:cat>
          <c:val>
            <c:numRef>
              <c:f>'Funds analysis'!$G$71:$G$73</c:f>
              <c:numCache>
                <c:formatCode>#,##0</c:formatCode>
                <c:ptCount val="3"/>
                <c:pt idx="0">
                  <c:v>292113</c:v>
                </c:pt>
                <c:pt idx="1">
                  <c:v>0</c:v>
                </c:pt>
                <c:pt idx="2">
                  <c:v>0</c:v>
                </c:pt>
              </c:numCache>
            </c:numRef>
          </c:val>
        </c:ser>
        <c:ser>
          <c:idx val="5"/>
          <c:order val="5"/>
          <c:tx>
            <c:strRef>
              <c:f>'Funds analysis'!$H$69:$H$70</c:f>
              <c:strCache>
                <c:ptCount val="1"/>
                <c:pt idx="0">
                  <c:v>Australian</c:v>
                </c:pt>
              </c:strCache>
            </c:strRef>
          </c:tx>
          <c:invertIfNegative val="0"/>
          <c:cat>
            <c:strRef>
              <c:f>'Funds analysis'!$B$71:$B$73</c:f>
              <c:strCache>
                <c:ptCount val="3"/>
                <c:pt idx="0">
                  <c:v>Before 2014</c:v>
                </c:pt>
                <c:pt idx="1">
                  <c:v>2014</c:v>
                </c:pt>
                <c:pt idx="2">
                  <c:v>2015</c:v>
                </c:pt>
              </c:strCache>
            </c:strRef>
          </c:cat>
          <c:val>
            <c:numRef>
              <c:f>'Funds analysis'!$H$71:$H$73</c:f>
              <c:numCache>
                <c:formatCode>#,##0</c:formatCode>
                <c:ptCount val="3"/>
                <c:pt idx="0">
                  <c:v>414065.16519823787</c:v>
                </c:pt>
                <c:pt idx="1">
                  <c:v>100963.83480176212</c:v>
                </c:pt>
                <c:pt idx="2">
                  <c:v>0</c:v>
                </c:pt>
              </c:numCache>
            </c:numRef>
          </c:val>
        </c:ser>
        <c:ser>
          <c:idx val="6"/>
          <c:order val="6"/>
          <c:tx>
            <c:strRef>
              <c:f>'Funds analysis'!$I$69:$I$70</c:f>
              <c:strCache>
                <c:ptCount val="1"/>
                <c:pt idx="0">
                  <c:v>France</c:v>
                </c:pt>
              </c:strCache>
            </c:strRef>
          </c:tx>
          <c:invertIfNegative val="0"/>
          <c:cat>
            <c:strRef>
              <c:f>'Funds analysis'!$B$71:$B$73</c:f>
              <c:strCache>
                <c:ptCount val="3"/>
                <c:pt idx="0">
                  <c:v>Before 2014</c:v>
                </c:pt>
                <c:pt idx="1">
                  <c:v>2014</c:v>
                </c:pt>
                <c:pt idx="2">
                  <c:v>2015</c:v>
                </c:pt>
              </c:strCache>
            </c:strRef>
          </c:cat>
          <c:val>
            <c:numRef>
              <c:f>'Funds analysis'!$I$71:$I$73</c:f>
              <c:numCache>
                <c:formatCode>#,##0</c:formatCode>
                <c:ptCount val="3"/>
                <c:pt idx="0">
                  <c:v>197000</c:v>
                </c:pt>
                <c:pt idx="1">
                  <c:v>0</c:v>
                </c:pt>
                <c:pt idx="2">
                  <c:v>0</c:v>
                </c:pt>
              </c:numCache>
            </c:numRef>
          </c:val>
        </c:ser>
        <c:ser>
          <c:idx val="7"/>
          <c:order val="7"/>
          <c:tx>
            <c:strRef>
              <c:f>'Funds analysis'!$J$69:$J$70</c:f>
              <c:strCache>
                <c:ptCount val="1"/>
                <c:pt idx="0">
                  <c:v>Sweden</c:v>
                </c:pt>
              </c:strCache>
            </c:strRef>
          </c:tx>
          <c:invertIfNegative val="0"/>
          <c:cat>
            <c:strRef>
              <c:f>'Funds analysis'!$B$71:$B$73</c:f>
              <c:strCache>
                <c:ptCount val="3"/>
                <c:pt idx="0">
                  <c:v>Before 2014</c:v>
                </c:pt>
                <c:pt idx="1">
                  <c:v>2014</c:v>
                </c:pt>
                <c:pt idx="2">
                  <c:v>2015</c:v>
                </c:pt>
              </c:strCache>
            </c:strRef>
          </c:cat>
          <c:val>
            <c:numRef>
              <c:f>'Funds analysis'!$J$71:$J$73</c:f>
              <c:numCache>
                <c:formatCode>#,##0</c:formatCode>
                <c:ptCount val="3"/>
                <c:pt idx="0">
                  <c:v>106270</c:v>
                </c:pt>
                <c:pt idx="1">
                  <c:v>50000</c:v>
                </c:pt>
                <c:pt idx="2">
                  <c:v>0</c:v>
                </c:pt>
              </c:numCache>
            </c:numRef>
          </c:val>
        </c:ser>
        <c:ser>
          <c:idx val="8"/>
          <c:order val="8"/>
          <c:tx>
            <c:strRef>
              <c:f>'Funds analysis'!$K$69:$K$70</c:f>
              <c:strCache>
                <c:ptCount val="1"/>
                <c:pt idx="0">
                  <c:v>CIDA</c:v>
                </c:pt>
              </c:strCache>
            </c:strRef>
          </c:tx>
          <c:invertIfNegative val="0"/>
          <c:cat>
            <c:strRef>
              <c:f>'Funds analysis'!$B$71:$B$73</c:f>
              <c:strCache>
                <c:ptCount val="3"/>
                <c:pt idx="0">
                  <c:v>Before 2014</c:v>
                </c:pt>
                <c:pt idx="1">
                  <c:v>2014</c:v>
                </c:pt>
                <c:pt idx="2">
                  <c:v>2015</c:v>
                </c:pt>
              </c:strCache>
            </c:strRef>
          </c:cat>
          <c:val>
            <c:numRef>
              <c:f>'Funds analysis'!$K$71:$K$73</c:f>
              <c:numCache>
                <c:formatCode>#,##0</c:formatCode>
                <c:ptCount val="3"/>
                <c:pt idx="0">
                  <c:v>153948.79955947137</c:v>
                </c:pt>
                <c:pt idx="1">
                  <c:v>37538.200440528635</c:v>
                </c:pt>
                <c:pt idx="2">
                  <c:v>205305</c:v>
                </c:pt>
              </c:numCache>
            </c:numRef>
          </c:val>
        </c:ser>
        <c:ser>
          <c:idx val="9"/>
          <c:order val="9"/>
          <c:tx>
            <c:strRef>
              <c:f>'Funds analysis'!$L$69:$L$70</c:f>
              <c:strCache>
                <c:ptCount val="1"/>
                <c:pt idx="0">
                  <c:v>Japan</c:v>
                </c:pt>
              </c:strCache>
            </c:strRef>
          </c:tx>
          <c:invertIfNegative val="0"/>
          <c:cat>
            <c:strRef>
              <c:f>'Funds analysis'!$B$71:$B$73</c:f>
              <c:strCache>
                <c:ptCount val="3"/>
                <c:pt idx="0">
                  <c:v>Before 2014</c:v>
                </c:pt>
                <c:pt idx="1">
                  <c:v>2014</c:v>
                </c:pt>
                <c:pt idx="2">
                  <c:v>2015</c:v>
                </c:pt>
              </c:strCache>
            </c:strRef>
          </c:cat>
          <c:val>
            <c:numRef>
              <c:f>'Funds analysis'!$L$71:$L$73</c:f>
              <c:numCache>
                <c:formatCode>#,##0</c:formatCode>
                <c:ptCount val="3"/>
                <c:pt idx="0">
                  <c:v>0</c:v>
                </c:pt>
                <c:pt idx="1">
                  <c:v>564560.43956043955</c:v>
                </c:pt>
                <c:pt idx="2">
                  <c:v>185439.56043956045</c:v>
                </c:pt>
              </c:numCache>
            </c:numRef>
          </c:val>
        </c:ser>
        <c:ser>
          <c:idx val="10"/>
          <c:order val="10"/>
          <c:tx>
            <c:strRef>
              <c:f>'Funds analysis'!$M$69:$M$70</c:f>
              <c:strCache>
                <c:ptCount val="1"/>
                <c:pt idx="0">
                  <c:v>SC seed funding</c:v>
                </c:pt>
              </c:strCache>
            </c:strRef>
          </c:tx>
          <c:invertIfNegative val="0"/>
          <c:cat>
            <c:strRef>
              <c:f>'Funds analysis'!$B$71:$B$73</c:f>
              <c:strCache>
                <c:ptCount val="3"/>
                <c:pt idx="0">
                  <c:v>Before 2014</c:v>
                </c:pt>
                <c:pt idx="1">
                  <c:v>2014</c:v>
                </c:pt>
                <c:pt idx="2">
                  <c:v>2015</c:v>
                </c:pt>
              </c:strCache>
            </c:strRef>
          </c:cat>
          <c:val>
            <c:numRef>
              <c:f>'Funds analysis'!$M$71:$M$73</c:f>
              <c:numCache>
                <c:formatCode>#,##0</c:formatCode>
                <c:ptCount val="3"/>
                <c:pt idx="0">
                  <c:v>0</c:v>
                </c:pt>
                <c:pt idx="1">
                  <c:v>17000</c:v>
                </c:pt>
                <c:pt idx="2">
                  <c:v>0</c:v>
                </c:pt>
              </c:numCache>
            </c:numRef>
          </c:val>
        </c:ser>
        <c:ser>
          <c:idx val="11"/>
          <c:order val="11"/>
          <c:tx>
            <c:strRef>
              <c:f>'Funds analysis'!$N$69:$N$70</c:f>
              <c:strCache>
                <c:ptCount val="1"/>
                <c:pt idx="0">
                  <c:v>SIDA</c:v>
                </c:pt>
              </c:strCache>
            </c:strRef>
          </c:tx>
          <c:invertIfNegative val="0"/>
          <c:cat>
            <c:strRef>
              <c:f>'Funds analysis'!$B$71:$B$73</c:f>
              <c:strCache>
                <c:ptCount val="3"/>
                <c:pt idx="0">
                  <c:v>Before 2014</c:v>
                </c:pt>
                <c:pt idx="1">
                  <c:v>2014</c:v>
                </c:pt>
                <c:pt idx="2">
                  <c:v>2015</c:v>
                </c:pt>
              </c:strCache>
            </c:strRef>
          </c:cat>
          <c:val>
            <c:numRef>
              <c:f>'Funds analysis'!$N$71:$N$73</c:f>
              <c:numCache>
                <c:formatCode>#,##0</c:formatCode>
                <c:ptCount val="3"/>
                <c:pt idx="0">
                  <c:v>0</c:v>
                </c:pt>
                <c:pt idx="1">
                  <c:v>80400</c:v>
                </c:pt>
                <c:pt idx="2">
                  <c:v>0</c:v>
                </c:pt>
              </c:numCache>
            </c:numRef>
          </c:val>
        </c:ser>
        <c:ser>
          <c:idx val="12"/>
          <c:order val="12"/>
          <c:tx>
            <c:strRef>
              <c:f>'Funds analysis'!$O$69:$O$70</c:f>
              <c:strCache>
                <c:ptCount val="1"/>
                <c:pt idx="0">
                  <c:v>Start fund</c:v>
                </c:pt>
              </c:strCache>
            </c:strRef>
          </c:tx>
          <c:invertIfNegative val="0"/>
          <c:cat>
            <c:strRef>
              <c:f>'Funds analysis'!$B$71:$B$73</c:f>
              <c:strCache>
                <c:ptCount val="3"/>
                <c:pt idx="0">
                  <c:v>Before 2014</c:v>
                </c:pt>
                <c:pt idx="1">
                  <c:v>2014</c:v>
                </c:pt>
                <c:pt idx="2">
                  <c:v>2015</c:v>
                </c:pt>
              </c:strCache>
            </c:strRef>
          </c:cat>
          <c:val>
            <c:numRef>
              <c:f>'Funds analysis'!$O$71:$O$73</c:f>
              <c:numCache>
                <c:formatCode>#,##0</c:formatCode>
                <c:ptCount val="3"/>
                <c:pt idx="0">
                  <c:v>0</c:v>
                </c:pt>
                <c:pt idx="1">
                  <c:v>43482</c:v>
                </c:pt>
                <c:pt idx="2">
                  <c:v>0</c:v>
                </c:pt>
              </c:numCache>
            </c:numRef>
          </c:val>
        </c:ser>
        <c:ser>
          <c:idx val="13"/>
          <c:order val="13"/>
          <c:tx>
            <c:strRef>
              <c:f>'Funds analysis'!$P$69:$P$70</c:f>
              <c:strCache>
                <c:ptCount val="1"/>
                <c:pt idx="0">
                  <c:v>DFAT</c:v>
                </c:pt>
              </c:strCache>
            </c:strRef>
          </c:tx>
          <c:invertIfNegative val="0"/>
          <c:cat>
            <c:strRef>
              <c:f>'Funds analysis'!$B$71:$B$73</c:f>
              <c:strCache>
                <c:ptCount val="3"/>
                <c:pt idx="0">
                  <c:v>Before 2014</c:v>
                </c:pt>
                <c:pt idx="1">
                  <c:v>2014</c:v>
                </c:pt>
                <c:pt idx="2">
                  <c:v>2015</c:v>
                </c:pt>
              </c:strCache>
            </c:strRef>
          </c:cat>
          <c:val>
            <c:numRef>
              <c:f>'Funds analysis'!$P$71:$P$73</c:f>
              <c:numCache>
                <c:formatCode>#,##0</c:formatCode>
                <c:ptCount val="3"/>
                <c:pt idx="0">
                  <c:v>0</c:v>
                </c:pt>
                <c:pt idx="1">
                  <c:v>439801.04303797468</c:v>
                </c:pt>
                <c:pt idx="2">
                  <c:v>272171.95696202532</c:v>
                </c:pt>
              </c:numCache>
            </c:numRef>
          </c:val>
        </c:ser>
        <c:ser>
          <c:idx val="14"/>
          <c:order val="14"/>
          <c:tx>
            <c:strRef>
              <c:f>'Funds analysis'!$Q$69:$Q$70</c:f>
              <c:strCache>
                <c:ptCount val="1"/>
                <c:pt idx="0">
                  <c:v>ERF</c:v>
                </c:pt>
              </c:strCache>
            </c:strRef>
          </c:tx>
          <c:invertIfNegative val="0"/>
          <c:cat>
            <c:strRef>
              <c:f>'Funds analysis'!$B$71:$B$73</c:f>
              <c:strCache>
                <c:ptCount val="3"/>
                <c:pt idx="0">
                  <c:v>Before 2014</c:v>
                </c:pt>
                <c:pt idx="1">
                  <c:v>2014</c:v>
                </c:pt>
                <c:pt idx="2">
                  <c:v>2015</c:v>
                </c:pt>
              </c:strCache>
            </c:strRef>
          </c:cat>
          <c:val>
            <c:numRef>
              <c:f>'Funds analysis'!$Q$71:$Q$73</c:f>
              <c:numCache>
                <c:formatCode>#,##0</c:formatCode>
                <c:ptCount val="3"/>
                <c:pt idx="0">
                  <c:v>0</c:v>
                </c:pt>
                <c:pt idx="1">
                  <c:v>161000.81218274112</c:v>
                </c:pt>
                <c:pt idx="2">
                  <c:v>185134.18781725888</c:v>
                </c:pt>
              </c:numCache>
            </c:numRef>
          </c:val>
        </c:ser>
        <c:ser>
          <c:idx val="15"/>
          <c:order val="15"/>
          <c:tx>
            <c:strRef>
              <c:f>'Funds analysis'!$R$69:$R$70</c:f>
              <c:strCache>
                <c:ptCount val="1"/>
                <c:pt idx="0">
                  <c:v>FCA</c:v>
                </c:pt>
              </c:strCache>
            </c:strRef>
          </c:tx>
          <c:invertIfNegative val="0"/>
          <c:cat>
            <c:strRef>
              <c:f>'Funds analysis'!$B$71:$B$73</c:f>
              <c:strCache>
                <c:ptCount val="3"/>
                <c:pt idx="0">
                  <c:v>Before 2014</c:v>
                </c:pt>
                <c:pt idx="1">
                  <c:v>2014</c:v>
                </c:pt>
                <c:pt idx="2">
                  <c:v>2015</c:v>
                </c:pt>
              </c:strCache>
            </c:strRef>
          </c:cat>
          <c:val>
            <c:numRef>
              <c:f>'Funds analysis'!$R$71:$R$73</c:f>
              <c:numCache>
                <c:formatCode>#,##0</c:formatCode>
                <c:ptCount val="3"/>
                <c:pt idx="0">
                  <c:v>0</c:v>
                </c:pt>
                <c:pt idx="1">
                  <c:v>0</c:v>
                </c:pt>
                <c:pt idx="2">
                  <c:v>400000</c:v>
                </c:pt>
              </c:numCache>
            </c:numRef>
          </c:val>
        </c:ser>
        <c:ser>
          <c:idx val="16"/>
          <c:order val="16"/>
          <c:tx>
            <c:strRef>
              <c:f>'Funds analysis'!$S$69:$S$70</c:f>
              <c:strCache>
                <c:ptCount val="1"/>
                <c:pt idx="0">
                  <c:v>HIDA( HOPE)</c:v>
                </c:pt>
              </c:strCache>
            </c:strRef>
          </c:tx>
          <c:invertIfNegative val="0"/>
          <c:cat>
            <c:strRef>
              <c:f>'Funds analysis'!$B$71:$B$73</c:f>
              <c:strCache>
                <c:ptCount val="3"/>
                <c:pt idx="0">
                  <c:v>Before 2014</c:v>
                </c:pt>
                <c:pt idx="1">
                  <c:v>2014</c:v>
                </c:pt>
                <c:pt idx="2">
                  <c:v>2015</c:v>
                </c:pt>
              </c:strCache>
            </c:strRef>
          </c:cat>
          <c:val>
            <c:numRef>
              <c:f>'Funds analysis'!$S$71:$S$73</c:f>
              <c:numCache>
                <c:formatCode>#,##0</c:formatCode>
                <c:ptCount val="3"/>
                <c:pt idx="0">
                  <c:v>0</c:v>
                </c:pt>
                <c:pt idx="1">
                  <c:v>0</c:v>
                </c:pt>
                <c:pt idx="2">
                  <c:v>0</c:v>
                </c:pt>
              </c:numCache>
            </c:numRef>
          </c:val>
        </c:ser>
        <c:ser>
          <c:idx val="17"/>
          <c:order val="17"/>
          <c:tx>
            <c:strRef>
              <c:f>'Funds analysis'!$T$69:$T$70</c:f>
              <c:strCache>
                <c:ptCount val="1"/>
                <c:pt idx="0">
                  <c:v>DIFID</c:v>
                </c:pt>
              </c:strCache>
            </c:strRef>
          </c:tx>
          <c:invertIfNegative val="0"/>
          <c:cat>
            <c:strRef>
              <c:f>'Funds analysis'!$B$71:$B$73</c:f>
              <c:strCache>
                <c:ptCount val="3"/>
                <c:pt idx="0">
                  <c:v>Before 2014</c:v>
                </c:pt>
                <c:pt idx="1">
                  <c:v>2014</c:v>
                </c:pt>
                <c:pt idx="2">
                  <c:v>2015</c:v>
                </c:pt>
              </c:strCache>
            </c:strRef>
          </c:cat>
          <c:val>
            <c:numRef>
              <c:f>'Funds analysis'!$T$71:$T$73</c:f>
              <c:numCache>
                <c:formatCode>#,##0</c:formatCode>
                <c:ptCount val="3"/>
                <c:pt idx="0">
                  <c:v>165239.41391941393</c:v>
                </c:pt>
                <c:pt idx="1">
                  <c:v>79925.586080586087</c:v>
                </c:pt>
                <c:pt idx="2">
                  <c:v>154118</c:v>
                </c:pt>
              </c:numCache>
            </c:numRef>
          </c:val>
        </c:ser>
        <c:dLbls>
          <c:showLegendKey val="0"/>
          <c:showVal val="0"/>
          <c:showCatName val="0"/>
          <c:showSerName val="0"/>
          <c:showPercent val="0"/>
          <c:showBubbleSize val="0"/>
        </c:dLbls>
        <c:gapWidth val="150"/>
        <c:shape val="box"/>
        <c:axId val="231433624"/>
        <c:axId val="231434016"/>
        <c:axId val="0"/>
      </c:bar3DChart>
      <c:catAx>
        <c:axId val="231433624"/>
        <c:scaling>
          <c:orientation val="minMax"/>
        </c:scaling>
        <c:delete val="0"/>
        <c:axPos val="b"/>
        <c:numFmt formatCode="General" sourceLinked="1"/>
        <c:majorTickMark val="out"/>
        <c:minorTickMark val="none"/>
        <c:tickLblPos val="nextTo"/>
        <c:txPr>
          <a:bodyPr/>
          <a:lstStyle/>
          <a:p>
            <a:pPr>
              <a:defRPr sz="1000"/>
            </a:pPr>
            <a:endParaRPr lang="en-US"/>
          </a:p>
        </c:txPr>
        <c:crossAx val="231434016"/>
        <c:crosses val="autoZero"/>
        <c:auto val="0"/>
        <c:lblAlgn val="ctr"/>
        <c:lblOffset val="100"/>
        <c:noMultiLvlLbl val="0"/>
      </c:catAx>
      <c:valAx>
        <c:axId val="231434016"/>
        <c:scaling>
          <c:orientation val="minMax"/>
          <c:max val="8000000"/>
        </c:scaling>
        <c:delete val="0"/>
        <c:axPos val="l"/>
        <c:majorGridlines/>
        <c:numFmt formatCode="#,##0" sourceLinked="1"/>
        <c:majorTickMark val="out"/>
        <c:minorTickMark val="none"/>
        <c:tickLblPos val="nextTo"/>
        <c:txPr>
          <a:bodyPr/>
          <a:lstStyle/>
          <a:p>
            <a:pPr>
              <a:defRPr sz="1000"/>
            </a:pPr>
            <a:endParaRPr lang="en-US"/>
          </a:p>
        </c:txPr>
        <c:crossAx val="231433624"/>
        <c:crosses val="autoZero"/>
        <c:crossBetween val="between"/>
      </c:valAx>
      <c:spPr>
        <a:noFill/>
        <a:ln w="25400">
          <a:noFill/>
        </a:ln>
      </c:spPr>
    </c:plotArea>
    <c:legend>
      <c:legendPos val="r"/>
      <c:overlay val="0"/>
    </c:legend>
    <c:plotVisOnly val="1"/>
    <c:dispBlanksAs val="gap"/>
    <c:showDLblsOverMax val="0"/>
  </c:chart>
  <c:spPr>
    <a:effectLst>
      <a:outerShdw blurRad="50800" dist="38100" algn="l" rotWithShape="0">
        <a:prstClr val="black">
          <a:alpha val="40000"/>
        </a:prstClr>
      </a:outerShdw>
    </a:effectLst>
    <a:scene3d>
      <a:camera prst="orthographicFront"/>
      <a:lightRig rig="threePt" dir="t"/>
    </a:scene3d>
    <a:sp3d>
      <a:bevelT prst="relaxedInset"/>
    </a:sp3d>
  </c:spPr>
  <c:printSettings>
    <c:headerFooter/>
    <c:pageMargins b="0.75000000000000022" l="0.70000000000000018" r="0.70000000000000018" t="0.75000000000000022" header="0.3000000000000001" footer="0.3000000000000001"/>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2015.xlsx]Funds analysis!PivotTable8</c:name>
    <c:fmtId val="4"/>
  </c:pivotSource>
  <c:chart>
    <c:title>
      <c:tx>
        <c:rich>
          <a:bodyPr/>
          <a:lstStyle/>
          <a:p>
            <a:pPr>
              <a:defRPr sz="1400"/>
            </a:pPr>
            <a:r>
              <a:rPr lang="en-US" sz="1400"/>
              <a:t>GEOGRAPHIC FUND REPARTITION</a:t>
            </a:r>
          </a:p>
        </c:rich>
      </c:tx>
      <c:layout>
        <c:manualLayout>
          <c:xMode val="edge"/>
          <c:yMode val="edge"/>
          <c:x val="0.29358796296296297"/>
          <c:y val="8.3333333333333329E-2"/>
        </c:manualLayout>
      </c:layout>
      <c:overlay val="0"/>
    </c:title>
    <c:autoTitleDeleted val="0"/>
    <c:pivotFmts>
      <c:pivotFmt>
        <c:idx val="0"/>
        <c:marker>
          <c:symbol val="none"/>
        </c:marker>
        <c:dLbl>
          <c:idx val="0"/>
          <c:spPr/>
          <c:txPr>
            <a:bodyPr/>
            <a:lstStyle/>
            <a:p>
              <a:pPr>
                <a:defRPr/>
              </a:pPr>
              <a:endParaRPr lang="en-US"/>
            </a:p>
          </c:txPr>
          <c:showLegendKey val="0"/>
          <c:showVal val="0"/>
          <c:showCatName val="0"/>
          <c:showSerName val="0"/>
          <c:showPercent val="1"/>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n-US"/>
            </a:p>
          </c:txPr>
          <c:showLegendKey val="0"/>
          <c:showVal val="0"/>
          <c:showCatName val="0"/>
          <c:showSerName val="0"/>
          <c:showPercent val="1"/>
          <c:showBubbleSize val="0"/>
          <c:extLst>
            <c:ext xmlns:c15="http://schemas.microsoft.com/office/drawing/2012/chart" uri="{CE6537A1-D6FC-4f65-9D91-7224C49458BB}"/>
          </c:extLst>
        </c:dLbl>
      </c:pivotFmt>
      <c:pivotFmt>
        <c:idx val="2"/>
        <c:marker>
          <c:symbol val="none"/>
        </c:marker>
        <c:dLbl>
          <c:idx val="0"/>
          <c:spPr/>
          <c:txPr>
            <a:bodyPr/>
            <a:lstStyle/>
            <a:p>
              <a:pPr>
                <a:defRPr/>
              </a:pPr>
              <a:endParaRPr lang="en-US"/>
            </a:p>
          </c:txPr>
          <c:showLegendKey val="0"/>
          <c:showVal val="0"/>
          <c:showCatName val="0"/>
          <c:showSerName val="0"/>
          <c:showPercent val="1"/>
          <c:showBubbleSize val="0"/>
          <c:extLst>
            <c:ext xmlns:c15="http://schemas.microsoft.com/office/drawing/2012/chart" uri="{CE6537A1-D6FC-4f65-9D91-7224C49458BB}"/>
          </c:extLst>
        </c:dLbl>
      </c:pivotFmt>
      <c:pivotFmt>
        <c:idx val="3"/>
        <c:dLbl>
          <c:idx val="0"/>
          <c:layout>
            <c:manualLayout>
              <c:x val="-2.3360126859142606E-2"/>
              <c:y val="2.6588863892013499E-2"/>
            </c:manualLayout>
          </c:layout>
          <c:showLegendKey val="0"/>
          <c:showVal val="0"/>
          <c:showCatName val="0"/>
          <c:showSerName val="0"/>
          <c:showPercent val="1"/>
          <c:showBubbleSize val="0"/>
          <c:extLst>
            <c:ext xmlns:c15="http://schemas.microsoft.com/office/drawing/2012/chart" uri="{CE6537A1-D6FC-4f65-9D91-7224C49458BB}"/>
          </c:extLst>
        </c:dLbl>
      </c:pivotFmt>
      <c:pivotFmt>
        <c:idx val="4"/>
        <c:marker>
          <c:symbol val="none"/>
        </c:marker>
        <c:dLbl>
          <c:idx val="0"/>
          <c:spPr/>
          <c:txPr>
            <a:bodyPr/>
            <a:lstStyle/>
            <a:p>
              <a:pPr>
                <a:defRPr/>
              </a:pPr>
              <a:endParaRPr lang="en-US"/>
            </a:p>
          </c:txPr>
          <c:showLegendKey val="0"/>
          <c:showVal val="0"/>
          <c:showCatName val="0"/>
          <c:showSerName val="0"/>
          <c:showPercent val="1"/>
          <c:showBubbleSize val="0"/>
          <c:extLst>
            <c:ext xmlns:c15="http://schemas.microsoft.com/office/drawing/2012/chart" uri="{CE6537A1-D6FC-4f65-9D91-7224C49458BB}"/>
          </c:extLst>
        </c:dLbl>
      </c:pivotFmt>
      <c:pivotFmt>
        <c:idx val="5"/>
        <c:marker>
          <c:symbol val="none"/>
        </c:marker>
        <c:dLbl>
          <c:idx val="0"/>
          <c:spPr>
            <a:noFill/>
            <a:ln>
              <a:noFill/>
            </a:ln>
            <a:effectLst/>
          </c:spPr>
          <c:txPr>
            <a:bodyPr wrap="square" lIns="38100" tIns="19050" rIns="38100" bIns="19050" anchor="ctr">
              <a:spAutoFit/>
            </a:bodyPr>
            <a:lstStyle/>
            <a:p>
              <a:pPr>
                <a:defRPr/>
              </a:pPr>
              <a:endParaRPr lang="en-US"/>
            </a:p>
          </c:txPr>
          <c:showLegendKey val="0"/>
          <c:showVal val="0"/>
          <c:showCatName val="1"/>
          <c:showSerName val="0"/>
          <c:showPercent val="0"/>
          <c:showBubbleSize val="0"/>
          <c:extLst>
            <c:ext xmlns:c15="http://schemas.microsoft.com/office/drawing/2012/chart" uri="{CE6537A1-D6FC-4f65-9D91-7224C49458BB}"/>
          </c:extLst>
        </c:dLbl>
      </c:pivotFmt>
      <c:pivotFmt>
        <c:idx val="6"/>
        <c:marker>
          <c:symbol val="none"/>
        </c:marker>
        <c:dLbl>
          <c:idx val="0"/>
          <c:spPr>
            <a:noFill/>
            <a:ln>
              <a:noFill/>
            </a:ln>
            <a:effectLst/>
          </c:spPr>
          <c:txPr>
            <a:bodyPr wrap="square" lIns="38100" tIns="19050" rIns="38100" bIns="19050" anchor="ctr">
              <a:spAutoFit/>
            </a:bodyPr>
            <a:lstStyle/>
            <a:p>
              <a:pPr>
                <a:defRPr/>
              </a:pPr>
              <a:endParaRPr lang="en-US"/>
            </a:p>
          </c:txPr>
          <c:showLegendKey val="0"/>
          <c:showVal val="0"/>
          <c:showCatName val="1"/>
          <c:showSerName val="0"/>
          <c:showPercent val="0"/>
          <c:showBubbleSize val="0"/>
          <c:extLst>
            <c:ext xmlns:c15="http://schemas.microsoft.com/office/drawing/2012/chart" uri="{CE6537A1-D6FC-4f65-9D91-7224C49458BB}"/>
          </c:extLst>
        </c:dLbl>
      </c:pivotFmt>
      <c:pivotFmt>
        <c:idx val="7"/>
        <c:dLbl>
          <c:idx val="0"/>
          <c:layout>
            <c:manualLayout>
              <c:x val="5.6913431061166593E-2"/>
              <c:y val="-3.5505547602004292E-2"/>
            </c:manualLayout>
          </c:layout>
          <c:spPr>
            <a:noFill/>
            <a:ln>
              <a:noFill/>
            </a:ln>
            <a:effectLst/>
          </c:spPr>
          <c:txPr>
            <a:bodyPr wrap="square" lIns="38100" tIns="19050" rIns="38100" bIns="19050" anchor="ctr">
              <a:spAutoFit/>
            </a:bodyPr>
            <a:lstStyle/>
            <a:p>
              <a:pPr>
                <a:defRPr/>
              </a:pPr>
              <a:endParaRPr lang="en-US"/>
            </a:p>
          </c:txPr>
          <c:showLegendKey val="0"/>
          <c:showVal val="0"/>
          <c:showCatName val="1"/>
          <c:showSerName val="0"/>
          <c:showPercent val="0"/>
          <c:showBubbleSize val="0"/>
          <c:extLst>
            <c:ext xmlns:c15="http://schemas.microsoft.com/office/drawing/2012/chart" uri="{CE6537A1-D6FC-4f65-9D91-7224C49458BB}"/>
          </c:extLst>
        </c:dLbl>
      </c:pivotFmt>
      <c:pivotFmt>
        <c:idx val="8"/>
        <c:dLbl>
          <c:idx val="0"/>
          <c:layout>
            <c:manualLayout>
              <c:x val="-6.8190231842442425E-2"/>
              <c:y val="6.6817775283657468E-2"/>
            </c:manualLayout>
          </c:layout>
          <c:spPr>
            <a:noFill/>
            <a:ln>
              <a:noFill/>
            </a:ln>
            <a:effectLst/>
          </c:spPr>
          <c:txPr>
            <a:bodyPr wrap="square" lIns="38100" tIns="19050" rIns="38100" bIns="19050" anchor="ctr">
              <a:spAutoFit/>
            </a:bodyPr>
            <a:lstStyle/>
            <a:p>
              <a:pPr>
                <a:defRPr/>
              </a:pPr>
              <a:endParaRPr lang="en-US"/>
            </a:p>
          </c:txPr>
          <c:showLegendKey val="0"/>
          <c:showVal val="0"/>
          <c:showCatName val="1"/>
          <c:showSerName val="0"/>
          <c:showPercent val="0"/>
          <c:showBubbleSize val="0"/>
          <c:extLst>
            <c:ext xmlns:c15="http://schemas.microsoft.com/office/drawing/2012/chart" uri="{CE6537A1-D6FC-4f65-9D91-7224C49458BB}"/>
          </c:extLst>
        </c:dLbl>
      </c:pivotFmt>
      <c:pivotFmt>
        <c:idx val="9"/>
        <c:dLbl>
          <c:idx val="0"/>
          <c:layout>
            <c:manualLayout>
              <c:x val="0.10603588696956626"/>
              <c:y val="5.63553303053154E-2"/>
            </c:manualLayout>
          </c:layout>
          <c:spPr>
            <a:noFill/>
            <a:ln>
              <a:noFill/>
            </a:ln>
            <a:effectLst/>
          </c:spPr>
          <c:txPr>
            <a:bodyPr wrap="square" lIns="38100" tIns="19050" rIns="38100" bIns="19050" anchor="ctr">
              <a:spAutoFit/>
            </a:bodyPr>
            <a:lstStyle/>
            <a:p>
              <a:pPr>
                <a:defRPr/>
              </a:pPr>
              <a:endParaRPr lang="en-US"/>
            </a:p>
          </c:txPr>
          <c:showLegendKey val="0"/>
          <c:showVal val="0"/>
          <c:showCatName val="1"/>
          <c:showSerName val="0"/>
          <c:showPercent val="0"/>
          <c:showBubbleSize val="0"/>
          <c:extLst>
            <c:ext xmlns:c15="http://schemas.microsoft.com/office/drawing/2012/chart" uri="{CE6537A1-D6FC-4f65-9D91-7224C49458BB}"/>
          </c:extLst>
        </c:dLbl>
      </c:pivotFmt>
    </c:pivotFmts>
    <c:view3D>
      <c:rotX val="30"/>
      <c:rotY val="0"/>
      <c:rAngAx val="0"/>
    </c:view3D>
    <c:floor>
      <c:thickness val="0"/>
    </c:floor>
    <c:sideWall>
      <c:thickness val="0"/>
    </c:sideWall>
    <c:backWall>
      <c:thickness val="0"/>
    </c:backWall>
    <c:plotArea>
      <c:layout/>
      <c:pie3DChart>
        <c:varyColors val="1"/>
        <c:ser>
          <c:idx val="0"/>
          <c:order val="0"/>
          <c:tx>
            <c:strRef>
              <c:f>'Funds analysis'!$C$94</c:f>
              <c:strCache>
                <c:ptCount val="1"/>
                <c:pt idx="0">
                  <c:v>Total</c:v>
                </c:pt>
              </c:strCache>
            </c:strRef>
          </c:tx>
          <c:explosion val="17"/>
          <c:dLbls>
            <c:dLbl>
              <c:idx val="0"/>
              <c:layout>
                <c:manualLayout>
                  <c:x val="0.10603588696956626"/>
                  <c:y val="5.63553303053154E-2"/>
                </c:manualLayout>
              </c:layout>
              <c:showLegendKey val="0"/>
              <c:showVal val="0"/>
              <c:showCatName val="1"/>
              <c:showSerName val="0"/>
              <c:showPercent val="0"/>
              <c:showBubbleSize val="0"/>
              <c:extLst>
                <c:ext xmlns:c15="http://schemas.microsoft.com/office/drawing/2012/chart" uri="{CE6537A1-D6FC-4f65-9D91-7224C49458BB}"/>
              </c:extLst>
            </c:dLbl>
            <c:dLbl>
              <c:idx val="1"/>
              <c:layout>
                <c:manualLayout>
                  <c:x val="5.6913431061166593E-2"/>
                  <c:y val="-3.5505547602004292E-2"/>
                </c:manualLayout>
              </c:layout>
              <c:showLegendKey val="0"/>
              <c:showVal val="0"/>
              <c:showCatName val="1"/>
              <c:showSerName val="0"/>
              <c:showPercent val="0"/>
              <c:showBubbleSize val="0"/>
              <c:extLst>
                <c:ext xmlns:c15="http://schemas.microsoft.com/office/drawing/2012/chart" uri="{CE6537A1-D6FC-4f65-9D91-7224C49458BB}"/>
              </c:extLst>
            </c:dLbl>
            <c:dLbl>
              <c:idx val="2"/>
              <c:layout>
                <c:manualLayout>
                  <c:x val="-6.8190231842442425E-2"/>
                  <c:y val="6.6817775283657468E-2"/>
                </c:manualLayout>
              </c:layout>
              <c:showLegendKey val="0"/>
              <c:showVal val="0"/>
              <c:showCatName val="1"/>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a:pPr>
                <a:endParaRPr lang="en-US"/>
              </a:p>
            </c:txPr>
            <c:showLegendKey val="0"/>
            <c:showVal val="0"/>
            <c:showCatName val="1"/>
            <c:showSerName val="0"/>
            <c:showPercent val="0"/>
            <c:showBubbleSize val="0"/>
            <c:showLeaderLines val="1"/>
            <c:extLst>
              <c:ext xmlns:c15="http://schemas.microsoft.com/office/drawing/2012/chart" uri="{CE6537A1-D6FC-4f65-9D91-7224C49458BB}"/>
            </c:extLst>
          </c:dLbls>
          <c:cat>
            <c:strRef>
              <c:f>'Funds analysis'!$B$95:$B$97</c:f>
              <c:strCache>
                <c:ptCount val="3"/>
                <c:pt idx="0">
                  <c:v>% fund attributed for Northern Shan</c:v>
                </c:pt>
                <c:pt idx="1">
                  <c:v> % fund attributed for South Kachin</c:v>
                </c:pt>
                <c:pt idx="2">
                  <c:v> % funds attributed for North kachin</c:v>
                </c:pt>
              </c:strCache>
            </c:strRef>
          </c:cat>
          <c:val>
            <c:numRef>
              <c:f>'Funds analysis'!$C$95:$C$97</c:f>
              <c:numCache>
                <c:formatCode>0%</c:formatCode>
                <c:ptCount val="3"/>
                <c:pt idx="0">
                  <c:v>0.1938129196660123</c:v>
                </c:pt>
                <c:pt idx="1">
                  <c:v>0.5113476526802645</c:v>
                </c:pt>
                <c:pt idx="2">
                  <c:v>0.31563953694991337</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effectLst>
      <a:outerShdw blurRad="50800" dist="38100" algn="l" rotWithShape="0">
        <a:prstClr val="black">
          <a:alpha val="40000"/>
        </a:prstClr>
      </a:outerShdw>
    </a:effectLst>
    <a:scene3d>
      <a:camera prst="orthographicFront"/>
      <a:lightRig rig="threePt" dir="t"/>
    </a:scene3d>
    <a:sp3d>
      <a:bevelT prst="relaxedInset"/>
    </a:sp3d>
  </c:spPr>
  <c:printSettings>
    <c:headerFooter/>
    <c:pageMargins b="0.75000000000000022" l="0.70000000000000018" r="0.70000000000000018" t="0.75000000000000022" header="0.3000000000000001" footer="0.3000000000000001"/>
    <c:pageSetup/>
  </c:printSettings>
  <c:extLst>
    <c:ext xmlns:c14="http://schemas.microsoft.com/office/drawing/2007/8/2/chart" uri="{781A3756-C4B2-4CAC-9D66-4F8BD8637D16}">
      <c14:pivotOptions>
        <c14:dropZoneFilter val="1"/>
        <c14:dropZoneData val="1"/>
        <c14:dropZoneSeries val="1"/>
      </c14:pivotOptions>
    </c:ext>
  </c:extLst>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600" b="0" i="0" u="none" strike="noStrike" kern="1200" spc="0" baseline="0">
                <a:solidFill>
                  <a:schemeClr val="tx1">
                    <a:lumMod val="65000"/>
                    <a:lumOff val="35000"/>
                  </a:schemeClr>
                </a:solidFill>
                <a:latin typeface="+mn-lt"/>
                <a:ea typeface="+mn-ea"/>
                <a:cs typeface="+mn-cs"/>
              </a:defRPr>
            </a:pPr>
            <a:r>
              <a:rPr lang="en-US" sz="600" b="1" i="0" baseline="0">
                <a:effectLst/>
              </a:rPr>
              <a:t>HRP</a:t>
            </a:r>
            <a:r>
              <a:rPr lang="en-US" sz="600" b="0" i="0" baseline="0">
                <a:effectLst/>
              </a:rPr>
              <a:t> Water target pop.:</a:t>
            </a:r>
            <a:endParaRPr lang="en-US" sz="600">
              <a:effectLst/>
            </a:endParaRPr>
          </a:p>
          <a:p>
            <a:pPr>
              <a:defRPr sz="600" b="0" i="0" u="none" strike="noStrike" kern="1200" spc="0" baseline="0">
                <a:solidFill>
                  <a:schemeClr val="tx1">
                    <a:lumMod val="65000"/>
                    <a:lumOff val="35000"/>
                  </a:schemeClr>
                </a:solidFill>
                <a:latin typeface="+mn-lt"/>
                <a:ea typeface="+mn-ea"/>
                <a:cs typeface="+mn-cs"/>
              </a:defRPr>
            </a:pPr>
            <a:r>
              <a:rPr lang="en-US" sz="600" b="0" i="1" baseline="0">
                <a:effectLst/>
              </a:rPr>
              <a:t>99,500</a:t>
            </a:r>
            <a:endParaRPr lang="en-US" sz="600" b="0">
              <a:effectLst/>
            </a:endParaRPr>
          </a:p>
          <a:p>
            <a:pPr>
              <a:defRPr sz="600" b="0" i="0" u="none" strike="noStrike" kern="1200" spc="0" baseline="0">
                <a:solidFill>
                  <a:schemeClr val="tx1">
                    <a:lumMod val="65000"/>
                    <a:lumOff val="35000"/>
                  </a:schemeClr>
                </a:solidFill>
                <a:latin typeface="+mn-lt"/>
                <a:ea typeface="+mn-ea"/>
                <a:cs typeface="+mn-cs"/>
              </a:defRPr>
            </a:pPr>
            <a:r>
              <a:rPr lang="en-US" sz="600" b="0" i="0" baseline="0">
                <a:effectLst/>
              </a:rPr>
              <a:t>Water 100% covered:</a:t>
            </a:r>
            <a:endParaRPr lang="en-US" sz="600">
              <a:effectLst/>
            </a:endParaRPr>
          </a:p>
        </c:rich>
      </c:tx>
      <c:layout>
        <c:manualLayout>
          <c:xMode val="edge"/>
          <c:yMode val="edge"/>
          <c:x val="0.14390662253882924"/>
          <c:y val="0.50728388906635458"/>
        </c:manualLayout>
      </c:layout>
      <c:overlay val="0"/>
      <c:spPr>
        <a:noFill/>
        <a:ln>
          <a:noFill/>
        </a:ln>
        <a:effectLst/>
      </c:spPr>
    </c:title>
    <c:autoTitleDeleted val="0"/>
    <c:plotArea>
      <c:layout>
        <c:manualLayout>
          <c:layoutTarget val="inner"/>
          <c:xMode val="edge"/>
          <c:yMode val="edge"/>
          <c:x val="3.2068299154913327E-2"/>
          <c:y val="0"/>
          <c:w val="0.92860661648063225"/>
          <c:h val="1"/>
        </c:manualLayout>
      </c:layout>
      <c:doughnutChart>
        <c:varyColors val="0"/>
        <c:ser>
          <c:idx val="0"/>
          <c:order val="0"/>
          <c:spPr>
            <a:solidFill>
              <a:schemeClr val="accent1"/>
            </a:solidFill>
            <a:ln w="19050">
              <a:noFill/>
            </a:ln>
            <a:effectLst/>
            <a:scene3d>
              <a:camera prst="orthographicFront"/>
              <a:lightRig rig="threePt" dir="t"/>
            </a:scene3d>
            <a:sp3d>
              <a:bevelT/>
            </a:sp3d>
          </c:spPr>
          <c:dPt>
            <c:idx val="0"/>
            <c:bubble3D val="0"/>
            <c:spPr>
              <a:gradFill flip="none" rotWithShape="1">
                <a:gsLst>
                  <a:gs pos="100000">
                    <a:schemeClr val="bg1">
                      <a:lumMod val="85000"/>
                    </a:schemeClr>
                  </a:gs>
                  <a:gs pos="0">
                    <a:schemeClr val="bg1">
                      <a:lumMod val="50000"/>
                    </a:schemeClr>
                  </a:gs>
                </a:gsLst>
                <a:path path="circle">
                  <a:fillToRect l="100000" t="100000"/>
                </a:path>
                <a:tileRect r="-100000" b="-100000"/>
              </a:gradFill>
              <a:ln w="12700">
                <a:solidFill>
                  <a:schemeClr val="bg1"/>
                </a:solidFill>
              </a:ln>
              <a:effectLst>
                <a:outerShdw blurRad="50800" dist="38100" dir="5400000" algn="t" rotWithShape="0">
                  <a:prstClr val="black">
                    <a:alpha val="40000"/>
                  </a:prstClr>
                </a:outerShdw>
              </a:effectLst>
              <a:scene3d>
                <a:camera prst="orthographicFront"/>
                <a:lightRig rig="threePt" dir="t"/>
              </a:scene3d>
              <a:sp3d>
                <a:bevelT/>
              </a:sp3d>
            </c:spPr>
          </c:dPt>
          <c:dPt>
            <c:idx val="1"/>
            <c:bubble3D val="0"/>
            <c:spPr>
              <a:solidFill>
                <a:srgbClr val="FF0000"/>
              </a:solidFill>
              <a:ln w="12700">
                <a:solidFill>
                  <a:schemeClr val="bg1"/>
                </a:solidFill>
              </a:ln>
              <a:effectLst/>
              <a:scene3d>
                <a:camera prst="orthographicFront"/>
                <a:lightRig rig="threePt" dir="t"/>
              </a:scene3d>
              <a:sp3d>
                <a:bevelT/>
              </a:sp3d>
            </c:spPr>
          </c:dPt>
          <c:dPt>
            <c:idx val="2"/>
            <c:bubble3D val="0"/>
            <c:spPr>
              <a:noFill/>
              <a:ln w="19050">
                <a:noFill/>
              </a:ln>
              <a:effectLst/>
            </c:spPr>
          </c:dPt>
          <c:dPt>
            <c:idx val="3"/>
            <c:bubble3D val="0"/>
            <c:spPr>
              <a:noFill/>
              <a:ln w="19050">
                <a:noFill/>
              </a:ln>
              <a:effectLst/>
            </c:spPr>
          </c:dPt>
          <c:dLbls>
            <c:dLbl>
              <c:idx val="0"/>
              <c:layout>
                <c:manualLayout>
                  <c:x val="6.8831427358592615E-2"/>
                  <c:y val="0.19506635578064144"/>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6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val>
            <c:numRef>
              <c:f>'Cluster indicator'!$C$54:$C$57</c:f>
              <c:numCache>
                <c:formatCode>0%</c:formatCode>
                <c:ptCount val="4"/>
                <c:pt idx="0">
                  <c:v>0.75406722442389562</c:v>
                </c:pt>
                <c:pt idx="1">
                  <c:v>0.24593277557610438</c:v>
                </c:pt>
                <c:pt idx="2">
                  <c:v>0.5</c:v>
                </c:pt>
                <c:pt idx="3">
                  <c:v>0.5</c:v>
                </c:pt>
              </c:numCache>
            </c:numRef>
          </c:val>
        </c:ser>
        <c:ser>
          <c:idx val="1"/>
          <c:order val="1"/>
          <c:tx>
            <c:v>Compteur</c:v>
          </c:tx>
          <c:spPr>
            <a:solidFill>
              <a:schemeClr val="accent2"/>
            </a:solidFill>
            <a:ln w="19050">
              <a:noFill/>
            </a:ln>
            <a:effectLst>
              <a:outerShdw dir="2040000" sx="1000" sy="1000" algn="ctr" rotWithShape="0">
                <a:srgbClr val="000000">
                  <a:alpha val="43137"/>
                </a:srgbClr>
              </a:outerShdw>
            </a:effectLst>
            <a:scene3d>
              <a:camera prst="orthographicFront"/>
              <a:lightRig rig="threePt" dir="t"/>
            </a:scene3d>
            <a:sp3d prstMaterial="matte"/>
          </c:spPr>
          <c:dPt>
            <c:idx val="0"/>
            <c:bubble3D val="0"/>
            <c:spPr>
              <a:gradFill flip="none" rotWithShape="1">
                <a:gsLst>
                  <a:gs pos="4000">
                    <a:srgbClr val="FF0000"/>
                  </a:gs>
                  <a:gs pos="100000">
                    <a:srgbClr val="FF9900"/>
                  </a:gs>
                </a:gsLst>
                <a:lin ang="16200000" scaled="1"/>
                <a:tileRect/>
              </a:gradFill>
              <a:ln w="19050">
                <a:noFill/>
              </a:ln>
              <a:effectLst>
                <a:outerShdw dir="2040000" sx="1000" sy="1000" algn="ctr" rotWithShape="0">
                  <a:srgbClr val="000000">
                    <a:alpha val="43137"/>
                  </a:srgbClr>
                </a:outerShdw>
              </a:effectLst>
              <a:scene3d>
                <a:camera prst="orthographicFront"/>
                <a:lightRig rig="threePt" dir="t"/>
              </a:scene3d>
              <a:sp3d prstMaterial="matte"/>
            </c:spPr>
          </c:dPt>
          <c:dPt>
            <c:idx val="1"/>
            <c:bubble3D val="0"/>
            <c:spPr>
              <a:gradFill flip="none" rotWithShape="1">
                <a:gsLst>
                  <a:gs pos="3000">
                    <a:srgbClr val="FFFF00"/>
                  </a:gs>
                  <a:gs pos="97000">
                    <a:srgbClr val="FF9900"/>
                  </a:gs>
                </a:gsLst>
                <a:lin ang="10800000" scaled="1"/>
                <a:tileRect/>
              </a:gradFill>
              <a:ln w="19050">
                <a:noFill/>
              </a:ln>
              <a:effectLst>
                <a:outerShdw dir="2040000" sx="1000" sy="1000" algn="ctr" rotWithShape="0">
                  <a:srgbClr val="000000">
                    <a:alpha val="43137"/>
                  </a:srgbClr>
                </a:outerShdw>
              </a:effectLst>
              <a:scene3d>
                <a:camera prst="orthographicFront"/>
                <a:lightRig rig="threePt" dir="t"/>
              </a:scene3d>
              <a:sp3d prstMaterial="matte"/>
            </c:spPr>
          </c:dPt>
          <c:dPt>
            <c:idx val="2"/>
            <c:bubble3D val="0"/>
            <c:spPr>
              <a:gradFill flip="none" rotWithShape="1">
                <a:gsLst>
                  <a:gs pos="100000">
                    <a:srgbClr val="66FF33"/>
                  </a:gs>
                  <a:gs pos="0">
                    <a:srgbClr val="FFFF00"/>
                  </a:gs>
                </a:gsLst>
                <a:lin ang="2700000" scaled="1"/>
                <a:tileRect/>
              </a:gradFill>
              <a:ln w="19050">
                <a:noFill/>
              </a:ln>
              <a:effectLst>
                <a:outerShdw dir="2040000" sx="1000" sy="1000" algn="ctr" rotWithShape="0">
                  <a:srgbClr val="000000">
                    <a:alpha val="43137"/>
                  </a:srgbClr>
                </a:outerShdw>
              </a:effectLst>
              <a:scene3d>
                <a:camera prst="orthographicFront"/>
                <a:lightRig rig="threePt" dir="t"/>
              </a:scene3d>
              <a:sp3d prstMaterial="matte"/>
            </c:spPr>
          </c:dPt>
          <c:dPt>
            <c:idx val="3"/>
            <c:bubble3D val="0"/>
            <c:spPr>
              <a:noFill/>
              <a:ln w="19050">
                <a:noFill/>
              </a:ln>
              <a:effectLst>
                <a:outerShdw dir="2040000" sx="1000" sy="1000" algn="ctr" rotWithShape="0">
                  <a:srgbClr val="000000">
                    <a:alpha val="43137"/>
                  </a:srgbClr>
                </a:outerShdw>
              </a:effectLst>
            </c:spPr>
          </c:dPt>
          <c:val>
            <c:numLit>
              <c:formatCode>General</c:formatCode>
              <c:ptCount val="4"/>
              <c:pt idx="0">
                <c:v>0.4</c:v>
              </c:pt>
              <c:pt idx="1">
                <c:v>0.3</c:v>
              </c:pt>
              <c:pt idx="2">
                <c:v>0.3</c:v>
              </c:pt>
              <c:pt idx="3">
                <c:v>1</c:v>
              </c:pt>
            </c:numLit>
          </c:val>
        </c:ser>
        <c:dLbls>
          <c:showLegendKey val="0"/>
          <c:showVal val="0"/>
          <c:showCatName val="0"/>
          <c:showSerName val="0"/>
          <c:showPercent val="0"/>
          <c:showBubbleSize val="0"/>
          <c:showLeaderLines val="1"/>
        </c:dLbls>
        <c:firstSliceAng val="270"/>
        <c:holeSize val="37"/>
      </c:doughnutChart>
      <c:spPr>
        <a:noFill/>
        <a:ln>
          <a:noFill/>
        </a:ln>
        <a:effectLst/>
      </c:spPr>
    </c:plotArea>
    <c:plotVisOnly val="1"/>
    <c:dispBlanksAs val="gap"/>
    <c:showDLblsOverMax val="0"/>
  </c:chart>
  <c:spPr>
    <a:solidFill>
      <a:schemeClr val="bg1"/>
    </a:solidFill>
    <a:ln w="9525" cap="flat" cmpd="sng" algn="ctr">
      <a:noFill/>
      <a:round/>
    </a:ln>
    <a:effectLst>
      <a:outerShdw blurRad="50800" dist="38100" dir="8100000" algn="tr" rotWithShape="0">
        <a:prstClr val="black">
          <a:alpha val="40000"/>
        </a:prstClr>
      </a:outerShdw>
    </a:effectLst>
  </c:spPr>
  <c:txPr>
    <a:bodyPr/>
    <a:lstStyle/>
    <a:p>
      <a:pPr>
        <a:defRPr sz="600"/>
      </a:pPr>
      <a:endParaRPr lang="en-US"/>
    </a:p>
  </c:txPr>
  <c:printSettings>
    <c:headerFooter/>
    <c:pageMargins b="0.75" l="0.7" r="0.7" t="0.75" header="0.3" footer="0.3"/>
    <c:pageSetup orientation="portrait"/>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2015.xlsx]Funds analysis!PivotTable1</c:name>
    <c:fmtId val="6"/>
  </c:pivotSource>
  <c:chart>
    <c:title>
      <c:tx>
        <c:rich>
          <a:bodyPr/>
          <a:lstStyle/>
          <a:p>
            <a:pPr>
              <a:defRPr sz="1400"/>
            </a:pPr>
            <a:r>
              <a:rPr lang="en-US" sz="1400"/>
              <a:t>TYPOLOGY OF THE BENEFICIARIES TARGETTED</a:t>
            </a:r>
          </a:p>
        </c:rich>
      </c:tx>
      <c:layout>
        <c:manualLayout>
          <c:xMode val="edge"/>
          <c:yMode val="edge"/>
          <c:x val="0.2591588160854893"/>
          <c:y val="7.1216061954364446E-2"/>
        </c:manualLayout>
      </c:layout>
      <c:overlay val="0"/>
    </c:title>
    <c:autoTitleDeleted val="0"/>
    <c:pivotFmts>
      <c:pivotFmt>
        <c:idx val="0"/>
        <c:marker>
          <c:symbol val="none"/>
        </c:marker>
        <c:dLbl>
          <c:idx val="0"/>
          <c:spPr/>
          <c:txPr>
            <a:bodyPr/>
            <a:lstStyle/>
            <a:p>
              <a:pPr>
                <a:defRPr/>
              </a:pPr>
              <a:endParaRPr lang="en-US"/>
            </a:p>
          </c:txPr>
          <c:showLegendKey val="0"/>
          <c:showVal val="0"/>
          <c:showCatName val="0"/>
          <c:showSerName val="0"/>
          <c:showPercent val="1"/>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n-US"/>
            </a:p>
          </c:txPr>
          <c:showLegendKey val="0"/>
          <c:showVal val="0"/>
          <c:showCatName val="0"/>
          <c:showSerName val="0"/>
          <c:showPercent val="1"/>
          <c:showBubbleSize val="0"/>
          <c:extLst>
            <c:ext xmlns:c15="http://schemas.microsoft.com/office/drawing/2012/chart" uri="{CE6537A1-D6FC-4f65-9D91-7224C49458BB}"/>
          </c:extLst>
        </c:dLbl>
      </c:pivotFmt>
      <c:pivotFmt>
        <c:idx val="2"/>
        <c:marker>
          <c:symbol val="none"/>
        </c:marker>
        <c:dLbl>
          <c:idx val="0"/>
          <c:spPr/>
          <c:txPr>
            <a:bodyPr/>
            <a:lstStyle/>
            <a:p>
              <a:pPr>
                <a:defRPr/>
              </a:pPr>
              <a:endParaRPr lang="en-US"/>
            </a:p>
          </c:txPr>
          <c:showLegendKey val="0"/>
          <c:showVal val="0"/>
          <c:showCatName val="0"/>
          <c:showSerName val="0"/>
          <c:showPercent val="1"/>
          <c:showBubbleSize val="0"/>
          <c:extLst>
            <c:ext xmlns:c15="http://schemas.microsoft.com/office/drawing/2012/chart" uri="{CE6537A1-D6FC-4f65-9D91-7224C49458BB}"/>
          </c:extLst>
        </c:dLbl>
      </c:pivotFmt>
      <c:pivotFmt>
        <c:idx val="3"/>
        <c:marker>
          <c:symbol val="none"/>
        </c:marker>
        <c:dLbl>
          <c:idx val="0"/>
          <c:spPr/>
          <c:txPr>
            <a:bodyPr/>
            <a:lstStyle/>
            <a:p>
              <a:pPr>
                <a:defRPr/>
              </a:pPr>
              <a:endParaRPr lang="en-US"/>
            </a:p>
          </c:txPr>
          <c:showLegendKey val="0"/>
          <c:showVal val="0"/>
          <c:showCatName val="0"/>
          <c:showSerName val="0"/>
          <c:showPercent val="1"/>
          <c:showBubbleSize val="0"/>
          <c:extLst>
            <c:ext xmlns:c15="http://schemas.microsoft.com/office/drawing/2012/chart" uri="{CE6537A1-D6FC-4f65-9D91-7224C49458BB}"/>
          </c:extLst>
        </c:dLbl>
      </c:pivotFmt>
      <c:pivotFmt>
        <c:idx val="4"/>
        <c:marker>
          <c:symbol val="none"/>
        </c:marker>
        <c:dLbl>
          <c:idx val="0"/>
          <c:spPr>
            <a:noFill/>
            <a:ln>
              <a:noFill/>
            </a:ln>
            <a:effectLst/>
          </c:spPr>
          <c:txPr>
            <a:bodyPr wrap="square" lIns="38100" tIns="19050" rIns="38100" bIns="19050" anchor="ctr">
              <a:spAutoFit/>
            </a:bodyPr>
            <a:lstStyle/>
            <a:p>
              <a:pPr>
                <a:defRPr/>
              </a:pPr>
              <a:endParaRPr lang="en-US"/>
            </a:p>
          </c:txPr>
          <c:showLegendKey val="0"/>
          <c:showVal val="0"/>
          <c:showCatName val="1"/>
          <c:showSerName val="0"/>
          <c:showPercent val="0"/>
          <c:showBubbleSize val="0"/>
          <c:extLst>
            <c:ext xmlns:c15="http://schemas.microsoft.com/office/drawing/2012/chart" uri="{CE6537A1-D6FC-4f65-9D91-7224C49458BB}"/>
          </c:extLst>
        </c:dLbl>
      </c:pivotFmt>
      <c:pivotFmt>
        <c:idx val="5"/>
        <c:dLbl>
          <c:idx val="0"/>
          <c:layout>
            <c:manualLayout>
              <c:x val="-0.39169113981490949"/>
              <c:y val="0.17380657421940873"/>
            </c:manualLayout>
          </c:layout>
          <c:spPr>
            <a:noFill/>
            <a:ln>
              <a:noFill/>
            </a:ln>
            <a:effectLst/>
          </c:spPr>
          <c:txPr>
            <a:bodyPr wrap="square" lIns="38100" tIns="19050" rIns="38100" bIns="19050" anchor="ctr">
              <a:spAutoFit/>
            </a:bodyPr>
            <a:lstStyle/>
            <a:p>
              <a:pPr>
                <a:defRPr/>
              </a:pPr>
              <a:endParaRPr lang="en-US"/>
            </a:p>
          </c:txPr>
          <c:showLegendKey val="0"/>
          <c:showVal val="0"/>
          <c:showCatName val="1"/>
          <c:showSerName val="0"/>
          <c:showPercent val="0"/>
          <c:showBubbleSize val="0"/>
          <c:extLst>
            <c:ext xmlns:c15="http://schemas.microsoft.com/office/drawing/2012/chart" uri="{CE6537A1-D6FC-4f65-9D91-7224C49458BB}"/>
          </c:extLst>
        </c:dLbl>
      </c:pivotFmt>
      <c:pivotFmt>
        <c:idx val="6"/>
        <c:dLbl>
          <c:idx val="0"/>
          <c:layout>
            <c:manualLayout>
              <c:x val="0.17055760430514366"/>
              <c:y val="6.3487657123584409E-2"/>
            </c:manualLayout>
          </c:layout>
          <c:spPr>
            <a:noFill/>
            <a:ln>
              <a:noFill/>
            </a:ln>
            <a:effectLst/>
          </c:spPr>
          <c:txPr>
            <a:bodyPr wrap="square" lIns="38100" tIns="19050" rIns="38100" bIns="19050" anchor="ctr">
              <a:spAutoFit/>
            </a:bodyPr>
            <a:lstStyle/>
            <a:p>
              <a:pPr>
                <a:defRPr/>
              </a:pPr>
              <a:endParaRPr lang="en-US"/>
            </a:p>
          </c:txPr>
          <c:showLegendKey val="0"/>
          <c:showVal val="0"/>
          <c:showCatName val="1"/>
          <c:showSerName val="0"/>
          <c:showPercent val="0"/>
          <c:showBubbleSize val="0"/>
          <c:extLst>
            <c:ext xmlns:c15="http://schemas.microsoft.com/office/drawing/2012/chart" uri="{CE6537A1-D6FC-4f65-9D91-7224C49458BB}"/>
          </c:extLst>
        </c:dLbl>
      </c:pivotFmt>
      <c:pivotFmt>
        <c:idx val="7"/>
        <c:marker>
          <c:symbol val="none"/>
        </c:marker>
        <c:dLbl>
          <c:idx val="0"/>
          <c:spPr>
            <a:noFill/>
            <a:ln>
              <a:noFill/>
            </a:ln>
            <a:effectLst/>
          </c:spPr>
          <c:txPr>
            <a:bodyPr wrap="square" lIns="38100" tIns="19050" rIns="38100" bIns="19050" anchor="ctr">
              <a:spAutoFit/>
            </a:bodyPr>
            <a:lstStyle/>
            <a:p>
              <a:pPr>
                <a:defRPr/>
              </a:pPr>
              <a:endParaRPr lang="en-US"/>
            </a:p>
          </c:txPr>
          <c:showLegendKey val="0"/>
          <c:showVal val="0"/>
          <c:showCatName val="1"/>
          <c:showSerName val="0"/>
          <c:showPercent val="0"/>
          <c:showBubbleSize val="0"/>
          <c:extLst>
            <c:ext xmlns:c15="http://schemas.microsoft.com/office/drawing/2012/chart" uri="{CE6537A1-D6FC-4f65-9D91-7224C49458BB}"/>
          </c:extLst>
        </c:dLbl>
      </c:pivotFmt>
      <c:pivotFmt>
        <c:idx val="8"/>
        <c:dLbl>
          <c:idx val="0"/>
          <c:layout>
            <c:manualLayout>
              <c:x val="-0.39169113981490949"/>
              <c:y val="0.17380657421940873"/>
            </c:manualLayout>
          </c:layout>
          <c:spPr>
            <a:noFill/>
            <a:ln>
              <a:noFill/>
            </a:ln>
            <a:effectLst/>
          </c:spPr>
          <c:txPr>
            <a:bodyPr wrap="square" lIns="38100" tIns="19050" rIns="38100" bIns="19050" anchor="ctr">
              <a:spAutoFit/>
            </a:bodyPr>
            <a:lstStyle/>
            <a:p>
              <a:pPr>
                <a:defRPr/>
              </a:pPr>
              <a:endParaRPr lang="en-US"/>
            </a:p>
          </c:txPr>
          <c:showLegendKey val="0"/>
          <c:showVal val="0"/>
          <c:showCatName val="1"/>
          <c:showSerName val="0"/>
          <c:showPercent val="0"/>
          <c:showBubbleSize val="0"/>
          <c:extLst>
            <c:ext xmlns:c15="http://schemas.microsoft.com/office/drawing/2012/chart" uri="{CE6537A1-D6FC-4f65-9D91-7224C49458BB}"/>
          </c:extLst>
        </c:dLbl>
      </c:pivotFmt>
      <c:pivotFmt>
        <c:idx val="9"/>
        <c:dLbl>
          <c:idx val="0"/>
          <c:layout>
            <c:manualLayout>
              <c:x val="0.17055760430514366"/>
              <c:y val="6.3487657123584409E-2"/>
            </c:manualLayout>
          </c:layout>
          <c:spPr>
            <a:noFill/>
            <a:ln>
              <a:noFill/>
            </a:ln>
            <a:effectLst/>
          </c:spPr>
          <c:txPr>
            <a:bodyPr wrap="square" lIns="38100" tIns="19050" rIns="38100" bIns="19050" anchor="ctr">
              <a:spAutoFit/>
            </a:bodyPr>
            <a:lstStyle/>
            <a:p>
              <a:pPr>
                <a:defRPr/>
              </a:pPr>
              <a:endParaRPr lang="en-US"/>
            </a:p>
          </c:txPr>
          <c:showLegendKey val="0"/>
          <c:showVal val="0"/>
          <c:showCatName val="1"/>
          <c:showSerName val="0"/>
          <c:showPercent val="0"/>
          <c:showBubbleSize val="0"/>
          <c:extLst>
            <c:ext xmlns:c15="http://schemas.microsoft.com/office/drawing/2012/chart" uri="{CE6537A1-D6FC-4f65-9D91-7224C49458BB}"/>
          </c:extLst>
        </c:dLbl>
      </c:pivotFmt>
    </c:pivotFmts>
    <c:view3D>
      <c:rotX val="30"/>
      <c:rotY val="0"/>
      <c:rAngAx val="0"/>
    </c:view3D>
    <c:floor>
      <c:thickness val="0"/>
    </c:floor>
    <c:sideWall>
      <c:thickness val="0"/>
    </c:sideWall>
    <c:backWall>
      <c:thickness val="0"/>
    </c:backWall>
    <c:plotArea>
      <c:layout>
        <c:manualLayout>
          <c:layoutTarget val="inner"/>
          <c:xMode val="edge"/>
          <c:yMode val="edge"/>
          <c:x val="9.2938311688311695E-2"/>
          <c:y val="0.30739015942611786"/>
          <c:w val="0.8303571428571429"/>
          <c:h val="0.69036795132898343"/>
        </c:manualLayout>
      </c:layout>
      <c:pie3DChart>
        <c:varyColors val="1"/>
        <c:ser>
          <c:idx val="0"/>
          <c:order val="0"/>
          <c:tx>
            <c:strRef>
              <c:f>'Funds analysis'!$C$124</c:f>
              <c:strCache>
                <c:ptCount val="1"/>
                <c:pt idx="0">
                  <c:v>Total</c:v>
                </c:pt>
              </c:strCache>
            </c:strRef>
          </c:tx>
          <c:dPt>
            <c:idx val="1"/>
            <c:bubble3D val="0"/>
            <c:explosion val="15"/>
          </c:dPt>
          <c:dLbls>
            <c:dLbl>
              <c:idx val="0"/>
              <c:layout>
                <c:manualLayout>
                  <c:x val="-0.39169113981490949"/>
                  <c:y val="0.17380657421940873"/>
                </c:manualLayout>
              </c:layout>
              <c:showLegendKey val="0"/>
              <c:showVal val="0"/>
              <c:showCatName val="1"/>
              <c:showSerName val="0"/>
              <c:showPercent val="0"/>
              <c:showBubbleSize val="0"/>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a:pPr>
                <a:endParaRPr lang="en-US"/>
              </a:p>
            </c:txPr>
            <c:showLegendKey val="0"/>
            <c:showVal val="0"/>
            <c:showCatName val="1"/>
            <c:showSerName val="0"/>
            <c:showPercent val="0"/>
            <c:showBubbleSize val="0"/>
            <c:showLeaderLines val="1"/>
            <c:extLst>
              <c:ext xmlns:c15="http://schemas.microsoft.com/office/drawing/2012/chart" uri="{CE6537A1-D6FC-4f65-9D91-7224C49458BB}"/>
            </c:extLst>
          </c:dLbls>
          <c:cat>
            <c:strRef>
              <c:f>'Funds analysis'!$B$125:$B$126</c:f>
              <c:strCache>
                <c:ptCount val="2"/>
                <c:pt idx="0">
                  <c:v>Average of Approximate % of beneficiaries in host community</c:v>
                </c:pt>
                <c:pt idx="1">
                  <c:v>Average of Approximate % of beneficiaries in camps</c:v>
                </c:pt>
              </c:strCache>
            </c:strRef>
          </c:cat>
          <c:val>
            <c:numRef>
              <c:f>'Funds analysis'!$C$125:$C$126</c:f>
              <c:numCache>
                <c:formatCode>0%</c:formatCode>
                <c:ptCount val="2"/>
                <c:pt idx="0">
                  <c:v>3.6226415094339624E-2</c:v>
                </c:pt>
                <c:pt idx="1">
                  <c:v>0.96490909090909094</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effectLst>
      <a:outerShdw blurRad="50800" dist="38100" algn="l" rotWithShape="0">
        <a:prstClr val="black">
          <a:alpha val="40000"/>
        </a:prstClr>
      </a:outerShdw>
    </a:effectLst>
    <a:scene3d>
      <a:camera prst="orthographicFront"/>
      <a:lightRig rig="threePt" dir="t"/>
    </a:scene3d>
    <a:sp3d>
      <a:bevelT prst="relaxedInset"/>
    </a:sp3d>
  </c:spPr>
  <c:printSettings>
    <c:headerFooter/>
    <c:pageMargins b="0.75000000000000022" l="0.70000000000000018" r="0.70000000000000018" t="0.75000000000000022" header="0.3000000000000001" footer="0.3000000000000001"/>
    <c:pageSetup/>
  </c:printSettings>
  <c:extLst>
    <c:ext xmlns:c14="http://schemas.microsoft.com/office/drawing/2007/8/2/chart" uri="{781A3756-C4B2-4CAC-9D66-4F8BD8637D16}">
      <c14:pivotOptions>
        <c14:dropZoneFilter val="1"/>
        <c14:dropZoneData val="1"/>
        <c14:dropZoneSeries val="1"/>
      </c14:pivotOptions>
    </c:ext>
  </c:extLst>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2015.xlsx]Funds analysis!PivotTable10</c:name>
    <c:fmtId val="57"/>
  </c:pivotSource>
  <c:chart>
    <c:title>
      <c:tx>
        <c:rich>
          <a:bodyPr/>
          <a:lstStyle/>
          <a:p>
            <a:pPr>
              <a:defRPr sz="1400"/>
            </a:pPr>
            <a:r>
              <a:rPr lang="en-US" sz="1400"/>
              <a:t>DONORS</a:t>
            </a:r>
            <a:r>
              <a:rPr lang="en-US" sz="1400" baseline="0"/>
              <a:t> FUNDING </a:t>
            </a:r>
            <a:r>
              <a:rPr lang="en-US" sz="1400" baseline="0">
                <a:solidFill>
                  <a:srgbClr val="FF0000"/>
                </a:solidFill>
              </a:rPr>
              <a:t>in 2014 (up to July)</a:t>
            </a:r>
            <a:endParaRPr lang="en-US" sz="1400">
              <a:solidFill>
                <a:srgbClr val="FF0000"/>
              </a:solidFill>
            </a:endParaRPr>
          </a:p>
        </c:rich>
      </c:tx>
      <c:overlay val="0"/>
    </c:title>
    <c:autoTitleDeleted val="0"/>
    <c:pivotFmts>
      <c:pivotFmt>
        <c:idx val="0"/>
        <c:marker>
          <c:symbol val="none"/>
        </c:marker>
        <c:dLbl>
          <c:idx val="0"/>
          <c:spPr/>
          <c:txPr>
            <a:bodyPr/>
            <a:lstStyle/>
            <a:p>
              <a:pPr>
                <a:defRPr/>
              </a:pPr>
              <a:endParaRPr lang="en-US"/>
            </a:p>
          </c:txPr>
          <c:showLegendKey val="0"/>
          <c:showVal val="0"/>
          <c:showCatName val="1"/>
          <c:showSerName val="0"/>
          <c:showPercent val="1"/>
          <c:showBubbleSize val="0"/>
          <c:extLst>
            <c:ext xmlns:c15="http://schemas.microsoft.com/office/drawing/2012/chart" uri="{CE6537A1-D6FC-4f65-9D91-7224C49458BB}"/>
          </c:extLst>
        </c:dLbl>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dLbl>
          <c:idx val="0"/>
          <c:layout>
            <c:manualLayout>
              <c:x val="5.946545414217589E-2"/>
              <c:y val="-0.1189238845144357"/>
            </c:manualLayout>
          </c:layout>
          <c:spPr/>
          <c:txPr>
            <a:bodyPr/>
            <a:lstStyle/>
            <a:p>
              <a:pPr>
                <a:defRPr/>
              </a:pPr>
              <a:endParaRPr lang="en-US"/>
            </a:p>
          </c:txPr>
          <c:showLegendKey val="0"/>
          <c:showVal val="0"/>
          <c:showCatName val="1"/>
          <c:showSerName val="0"/>
          <c:showPercent val="1"/>
          <c:showBubbleSize val="0"/>
          <c:extLst>
            <c:ext xmlns:c15="http://schemas.microsoft.com/office/drawing/2012/chart" uri="{CE6537A1-D6FC-4f65-9D91-7224C49458BB}"/>
          </c:extLst>
        </c:dLbl>
      </c:pivotFmt>
      <c:pivotFmt>
        <c:idx val="13"/>
        <c:dLbl>
          <c:idx val="0"/>
          <c:layout>
            <c:manualLayout>
              <c:x val="6.6003659753798377E-2"/>
              <c:y val="-1.5044088590049839E-2"/>
            </c:manualLayout>
          </c:layout>
          <c:spPr/>
          <c:txPr>
            <a:bodyPr/>
            <a:lstStyle/>
            <a:p>
              <a:pPr>
                <a:defRPr/>
              </a:pPr>
              <a:endParaRPr lang="en-US"/>
            </a:p>
          </c:txPr>
          <c:showLegendKey val="0"/>
          <c:showVal val="0"/>
          <c:showCatName val="1"/>
          <c:showSerName val="0"/>
          <c:showPercent val="1"/>
          <c:showBubbleSize val="0"/>
          <c:extLst>
            <c:ext xmlns:c15="http://schemas.microsoft.com/office/drawing/2012/chart" uri="{CE6537A1-D6FC-4f65-9D91-7224C49458BB}"/>
          </c:extLst>
        </c:dLbl>
      </c:pivotFmt>
      <c:pivotFmt>
        <c:idx val="14"/>
        <c:marker>
          <c:symbol val="none"/>
        </c:marker>
        <c:dLbl>
          <c:idx val="0"/>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15"/>
        <c:dLbl>
          <c:idx val="0"/>
          <c:layout>
            <c:manualLayout>
              <c:x val="5.946545414217589E-2"/>
              <c:y val="-0.1189238845144357"/>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16"/>
        <c:dLbl>
          <c:idx val="0"/>
          <c:layout>
            <c:manualLayout>
              <c:x val="-7.68534038878943E-2"/>
              <c:y val="-0.10042526699752731"/>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17"/>
        <c:dLbl>
          <c:idx val="0"/>
          <c:layout>
            <c:manualLayout>
              <c:x val="0.14557391593656427"/>
              <c:y val="-0.13988763306034407"/>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18"/>
        <c:dLbl>
          <c:idx val="0"/>
          <c:layout>
            <c:manualLayout>
              <c:x val="-6.5877944834360491E-3"/>
              <c:y val="8.4786339909758465E-2"/>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19"/>
        <c:dLbl>
          <c:idx val="0"/>
          <c:layout>
            <c:manualLayout>
              <c:x val="1.8222563728829654E-2"/>
              <c:y val="0.16414034687757562"/>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20"/>
        <c:dLbl>
          <c:idx val="0"/>
          <c:layout>
            <c:manualLayout>
              <c:x val="-2.9633074034759739E-2"/>
              <c:y val="0.1095869210669379"/>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21"/>
        <c:dLbl>
          <c:idx val="0"/>
          <c:layout>
            <c:manualLayout>
              <c:x val="0.1923360636258496"/>
              <c:y val="-7.493577153078583E-2"/>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22"/>
        <c:dLbl>
          <c:idx val="0"/>
          <c:layout>
            <c:manualLayout>
              <c:x val="-2.4969264405329615E-2"/>
              <c:y val="-4.3072930490430303E-2"/>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23"/>
        <c:dLbl>
          <c:idx val="0"/>
          <c:layout>
            <c:manualLayout>
              <c:x val="-6.6488854386159479E-2"/>
              <c:y val="3.2185916209248898E-2"/>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24"/>
        <c:dLbl>
          <c:idx val="0"/>
          <c:layout>
            <c:manualLayout>
              <c:x val="-6.2121231324957622E-2"/>
              <c:y val="-2.3692852007084861E-2"/>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25"/>
        <c:dLbl>
          <c:idx val="0"/>
          <c:layout>
            <c:manualLayout>
              <c:x val="3.2567214309478919E-2"/>
              <c:y val="-0.11013099977202181"/>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26"/>
        <c:marker>
          <c:symbol val="none"/>
        </c:marker>
        <c:dLbl>
          <c:idx val="0"/>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27"/>
        <c:dLbl>
          <c:idx val="0"/>
          <c:layout>
            <c:manualLayout>
              <c:x val="5.946545414217589E-2"/>
              <c:y val="-0.1189238845144357"/>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28"/>
        <c:dLbl>
          <c:idx val="0"/>
          <c:layout>
            <c:manualLayout>
              <c:x val="-6.5877944834360491E-3"/>
              <c:y val="8.4786339909758465E-2"/>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29"/>
        <c:dLbl>
          <c:idx val="0"/>
          <c:layout>
            <c:manualLayout>
              <c:x val="1.8222563728829654E-2"/>
              <c:y val="0.16414034687757562"/>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30"/>
        <c:dLbl>
          <c:idx val="0"/>
          <c:layout>
            <c:manualLayout>
              <c:x val="-2.9633074034759739E-2"/>
              <c:y val="0.1095869210669379"/>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31"/>
        <c:dLbl>
          <c:idx val="0"/>
          <c:layout>
            <c:manualLayout>
              <c:x val="-6.6488854386159479E-2"/>
              <c:y val="3.2185916209248898E-2"/>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32"/>
        <c:dLbl>
          <c:idx val="0"/>
          <c:layout>
            <c:manualLayout>
              <c:x val="-6.2121231324957622E-2"/>
              <c:y val="-2.3692852007084861E-2"/>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33"/>
        <c:dLbl>
          <c:idx val="0"/>
          <c:layout>
            <c:manualLayout>
              <c:x val="-7.68534038878943E-2"/>
              <c:y val="-0.10042526699752731"/>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34"/>
        <c:dLbl>
          <c:idx val="0"/>
          <c:layout>
            <c:manualLayout>
              <c:x val="-2.4969264405329615E-2"/>
              <c:y val="-4.3072930490430303E-2"/>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35"/>
        <c:dLbl>
          <c:idx val="0"/>
          <c:layout>
            <c:manualLayout>
              <c:x val="3.2567214309478919E-2"/>
              <c:y val="-0.11013099977202181"/>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36"/>
        <c:dLbl>
          <c:idx val="0"/>
          <c:layout>
            <c:manualLayout>
              <c:x val="0.14557391593656427"/>
              <c:y val="-0.13988763306034407"/>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37"/>
        <c:dLbl>
          <c:idx val="0"/>
          <c:layout>
            <c:manualLayout>
              <c:x val="0.1923360636258496"/>
              <c:y val="-7.493577153078583E-2"/>
            </c:manualLayout>
          </c:layout>
          <c:spPr>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38"/>
        <c:marker>
          <c:symbol val="none"/>
        </c:marker>
        <c:dLbl>
          <c:idx val="0"/>
          <c:spPr>
            <a:noFill/>
            <a:ln>
              <a:noFill/>
            </a:ln>
            <a:effectLst/>
          </c:spPr>
          <c:txPr>
            <a:bodyPr wrap="square" lIns="38100" tIns="19050" rIns="38100" bIns="19050" anchor="ctr">
              <a:spAutoFit/>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39"/>
        <c:marker>
          <c:symbol val="none"/>
        </c:marker>
        <c:dLbl>
          <c:idx val="0"/>
          <c:spPr>
            <a:noFill/>
            <a:ln>
              <a:noFill/>
            </a:ln>
            <a:effectLst/>
          </c:spPr>
          <c:txPr>
            <a:bodyPr wrap="square" lIns="38100" tIns="19050" rIns="38100" bIns="19050" anchor="ctr">
              <a:spAutoFit/>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40"/>
        <c:marker>
          <c:symbol val="none"/>
        </c:marker>
        <c:dLbl>
          <c:idx val="0"/>
          <c:spPr>
            <a:noFill/>
            <a:ln>
              <a:noFill/>
            </a:ln>
            <a:effectLst/>
          </c:spPr>
          <c:txPr>
            <a:bodyPr wrap="square" lIns="38100" tIns="19050" rIns="38100" bIns="19050" anchor="ctr">
              <a:spAutoFit/>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41"/>
        <c:dLbl>
          <c:idx val="0"/>
          <c:layout>
            <c:manualLayout>
              <c:x val="-2.7511973996734503E-2"/>
              <c:y val="-5.8997246725005698E-2"/>
            </c:manualLayout>
          </c:layout>
          <c:spPr>
            <a:noFill/>
            <a:ln>
              <a:noFill/>
            </a:ln>
            <a:effectLst/>
          </c:spPr>
          <c:txPr>
            <a:bodyPr wrap="square" lIns="38100" tIns="19050" rIns="38100" bIns="19050" anchor="ctr">
              <a:spAutoFit/>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42"/>
        <c:dLbl>
          <c:idx val="0"/>
          <c:layout>
            <c:manualLayout>
              <c:x val="-2.998614728544137E-2"/>
              <c:y val="-4.2458306297458906E-2"/>
            </c:manualLayout>
          </c:layout>
          <c:spPr>
            <a:noFill/>
            <a:ln>
              <a:noFill/>
            </a:ln>
            <a:effectLst/>
          </c:spPr>
          <c:txPr>
            <a:bodyPr wrap="square" lIns="38100" tIns="19050" rIns="38100" bIns="19050" anchor="ctr">
              <a:spAutoFit/>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43"/>
        <c:dLbl>
          <c:idx val="0"/>
          <c:layout>
            <c:manualLayout>
              <c:x val="7.7646653166054583E-2"/>
              <c:y val="-5.4857250583098045E-2"/>
            </c:manualLayout>
          </c:layout>
          <c:spPr>
            <a:noFill/>
            <a:ln>
              <a:noFill/>
            </a:ln>
            <a:effectLst/>
          </c:spPr>
          <c:txPr>
            <a:bodyPr wrap="square" lIns="38100" tIns="19050" rIns="38100" bIns="19050" anchor="ctr">
              <a:spAutoFit/>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44"/>
        <c:dLbl>
          <c:idx val="0"/>
          <c:layout>
            <c:manualLayout>
              <c:x val="1.389760761506958E-2"/>
              <c:y val="-5.3465268400469987E-2"/>
            </c:manualLayout>
          </c:layout>
          <c:spPr>
            <a:noFill/>
            <a:ln>
              <a:noFill/>
            </a:ln>
            <a:effectLst/>
          </c:spPr>
          <c:txPr>
            <a:bodyPr wrap="square" lIns="38100" tIns="19050" rIns="38100" bIns="19050" anchor="ctr">
              <a:spAutoFit/>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
        <c:idx val="45"/>
        <c:dLbl>
          <c:idx val="0"/>
          <c:layout>
            <c:manualLayout>
              <c:x val="5.8706536730819721E-3"/>
              <c:y val="8.3706574540097861E-2"/>
            </c:manualLayout>
          </c:layout>
          <c:spPr>
            <a:noFill/>
            <a:ln>
              <a:noFill/>
            </a:ln>
            <a:effectLst/>
          </c:spPr>
          <c:txPr>
            <a:bodyPr wrap="square" lIns="38100" tIns="19050" rIns="38100" bIns="19050" anchor="ctr">
              <a:spAutoFit/>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extLst>
        </c:dLbl>
      </c:pivotFmt>
    </c:pivotFmts>
    <c:view3D>
      <c:rotX val="30"/>
      <c:rotY val="0"/>
      <c:rAngAx val="0"/>
    </c:view3D>
    <c:floor>
      <c:thickness val="0"/>
    </c:floor>
    <c:sideWall>
      <c:thickness val="0"/>
    </c:sideWall>
    <c:backWall>
      <c:thickness val="0"/>
    </c:backWall>
    <c:plotArea>
      <c:layout>
        <c:manualLayout>
          <c:layoutTarget val="inner"/>
          <c:xMode val="edge"/>
          <c:yMode val="edge"/>
          <c:x val="0.16592816742977551"/>
          <c:y val="0.25175345913052627"/>
          <c:w val="0.74775786005472722"/>
          <c:h val="0.61369520690754775"/>
        </c:manualLayout>
      </c:layout>
      <c:pie3DChart>
        <c:varyColors val="1"/>
        <c:ser>
          <c:idx val="0"/>
          <c:order val="0"/>
          <c:tx>
            <c:strRef>
              <c:f>'Funds analysis'!$C$33:$C$34</c:f>
              <c:strCache>
                <c:ptCount val="1"/>
                <c:pt idx="0">
                  <c:v>Total</c:v>
                </c:pt>
              </c:strCache>
            </c:strRef>
          </c:tx>
          <c:explosion val="20"/>
          <c:dLbls>
            <c:dLbl>
              <c:idx val="4"/>
              <c:layout>
                <c:manualLayout>
                  <c:x val="5.8706536730819721E-3"/>
                  <c:y val="8.3706574540097861E-2"/>
                </c:manualLayout>
              </c:layout>
              <c:showLegendKey val="0"/>
              <c:showVal val="1"/>
              <c:showCatName val="1"/>
              <c:showSerName val="0"/>
              <c:showPercent val="1"/>
              <c:showBubbleSize val="0"/>
              <c:separator>
</c:separator>
              <c:extLst>
                <c:ext xmlns:c15="http://schemas.microsoft.com/office/drawing/2012/chart" uri="{CE6537A1-D6FC-4f65-9D91-7224C49458BB}"/>
              </c:extLst>
            </c:dLbl>
            <c:dLbl>
              <c:idx val="5"/>
              <c:layout>
                <c:manualLayout>
                  <c:x val="-2.7511973996734503E-2"/>
                  <c:y val="-5.8997246725005698E-2"/>
                </c:manualLayout>
              </c:layout>
              <c:showLegendKey val="0"/>
              <c:showVal val="1"/>
              <c:showCatName val="1"/>
              <c:showSerName val="0"/>
              <c:showPercent val="1"/>
              <c:showBubbleSize val="0"/>
              <c:separator>
</c:separator>
              <c:extLst>
                <c:ext xmlns:c15="http://schemas.microsoft.com/office/drawing/2012/chart" uri="{CE6537A1-D6FC-4f65-9D91-7224C49458BB}"/>
              </c:extLst>
            </c:dLbl>
            <c:dLbl>
              <c:idx val="7"/>
              <c:layout>
                <c:manualLayout>
                  <c:x val="7.7646653166054583E-2"/>
                  <c:y val="-5.4857250583098045E-2"/>
                </c:manualLayout>
              </c:layout>
              <c:showLegendKey val="0"/>
              <c:showVal val="1"/>
              <c:showCatName val="1"/>
              <c:showSerName val="0"/>
              <c:showPercent val="1"/>
              <c:showBubbleSize val="0"/>
              <c:separator>
</c:separator>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a:pPr>
                <a:endParaRPr lang="en-US"/>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'Funds analysis'!$B$35:$B$45</c:f>
              <c:strCache>
                <c:ptCount val="10"/>
                <c:pt idx="0">
                  <c:v>ECHO</c:v>
                </c:pt>
                <c:pt idx="1">
                  <c:v>OFDA</c:v>
                </c:pt>
                <c:pt idx="2">
                  <c:v>CERF</c:v>
                </c:pt>
                <c:pt idx="3">
                  <c:v>CIDA</c:v>
                </c:pt>
                <c:pt idx="4">
                  <c:v>Start fund</c:v>
                </c:pt>
                <c:pt idx="5">
                  <c:v>Australian</c:v>
                </c:pt>
                <c:pt idx="6">
                  <c:v>SC seed funding</c:v>
                </c:pt>
                <c:pt idx="7">
                  <c:v>Sweden</c:v>
                </c:pt>
                <c:pt idx="8">
                  <c:v>ERF</c:v>
                </c:pt>
                <c:pt idx="9">
                  <c:v>DIFID</c:v>
                </c:pt>
              </c:strCache>
            </c:strRef>
          </c:cat>
          <c:val>
            <c:numRef>
              <c:f>'Funds analysis'!$C$35:$C$45</c:f>
              <c:numCache>
                <c:formatCode>#,##0</c:formatCode>
                <c:ptCount val="10"/>
                <c:pt idx="0">
                  <c:v>723675.93633648218</c:v>
                </c:pt>
                <c:pt idx="1">
                  <c:v>585345.41666666674</c:v>
                </c:pt>
                <c:pt idx="2">
                  <c:v>1022388.1533101045</c:v>
                </c:pt>
                <c:pt idx="3">
                  <c:v>37538.200440528635</c:v>
                </c:pt>
                <c:pt idx="4">
                  <c:v>43482</c:v>
                </c:pt>
                <c:pt idx="5">
                  <c:v>100963.83480176212</c:v>
                </c:pt>
                <c:pt idx="6">
                  <c:v>17000</c:v>
                </c:pt>
                <c:pt idx="7">
                  <c:v>50000</c:v>
                </c:pt>
                <c:pt idx="8">
                  <c:v>78945</c:v>
                </c:pt>
                <c:pt idx="9">
                  <c:v>79925.586080586087</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effectLst>
      <a:outerShdw blurRad="50800" dist="38100" algn="l" rotWithShape="0">
        <a:prstClr val="black">
          <a:alpha val="40000"/>
        </a:prstClr>
      </a:outerShdw>
    </a:effectLst>
    <a:scene3d>
      <a:camera prst="orthographicFront"/>
      <a:lightRig rig="threePt" dir="t"/>
    </a:scene3d>
    <a:sp3d>
      <a:bevelT prst="relaxedInset"/>
    </a:sp3d>
  </c:spPr>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Data val="1"/>
        <c14:dropZoneSeries val="1"/>
      </c14:pivotOptions>
    </c:ext>
  </c:extLst>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600" b="0" i="0" u="none" strike="noStrike" kern="1200" spc="0" baseline="0">
                <a:solidFill>
                  <a:schemeClr val="tx1">
                    <a:lumMod val="65000"/>
                    <a:lumOff val="35000"/>
                  </a:schemeClr>
                </a:solidFill>
                <a:latin typeface="+mn-lt"/>
                <a:ea typeface="+mn-ea"/>
                <a:cs typeface="+mn-cs"/>
              </a:defRPr>
            </a:pPr>
            <a:r>
              <a:rPr lang="en-US" sz="600" b="1" i="0" baseline="0">
                <a:effectLst/>
              </a:rPr>
              <a:t>HRP</a:t>
            </a:r>
            <a:r>
              <a:rPr lang="en-US" sz="600" b="0" i="0" baseline="0">
                <a:effectLst/>
              </a:rPr>
              <a:t> Sanitation target:</a:t>
            </a:r>
          </a:p>
          <a:p>
            <a:pPr>
              <a:defRPr sz="600" b="0" i="0" u="none" strike="noStrike" kern="1200" spc="0" baseline="0">
                <a:solidFill>
                  <a:schemeClr val="tx1">
                    <a:lumMod val="65000"/>
                    <a:lumOff val="35000"/>
                  </a:schemeClr>
                </a:solidFill>
                <a:latin typeface="+mn-lt"/>
                <a:ea typeface="+mn-ea"/>
                <a:cs typeface="+mn-cs"/>
              </a:defRPr>
            </a:pPr>
            <a:r>
              <a:rPr lang="en-US" sz="600" b="0" i="0" baseline="0">
                <a:effectLst/>
              </a:rPr>
              <a:t>99,500</a:t>
            </a:r>
            <a:endParaRPr lang="en-US" sz="600">
              <a:effectLst/>
            </a:endParaRPr>
          </a:p>
          <a:p>
            <a:pPr>
              <a:defRPr sz="600" b="0" i="0" u="none" strike="noStrike" kern="1200" spc="0" baseline="0">
                <a:solidFill>
                  <a:schemeClr val="tx1">
                    <a:lumMod val="65000"/>
                    <a:lumOff val="35000"/>
                  </a:schemeClr>
                </a:solidFill>
                <a:latin typeface="+mn-lt"/>
                <a:ea typeface="+mn-ea"/>
                <a:cs typeface="+mn-cs"/>
              </a:defRPr>
            </a:pPr>
            <a:r>
              <a:rPr lang="en-US" sz="600" b="0" i="0" baseline="0">
                <a:effectLst/>
              </a:rPr>
              <a:t>Sanitation 100% covered:</a:t>
            </a:r>
            <a:endParaRPr lang="en-US" sz="600">
              <a:effectLst/>
            </a:endParaRPr>
          </a:p>
          <a:p>
            <a:pPr>
              <a:defRPr sz="600" b="0" i="0" u="none" strike="noStrike" kern="1200" spc="0" baseline="0">
                <a:solidFill>
                  <a:schemeClr val="tx1">
                    <a:lumMod val="65000"/>
                    <a:lumOff val="35000"/>
                  </a:schemeClr>
                </a:solidFill>
                <a:latin typeface="+mn-lt"/>
                <a:ea typeface="+mn-ea"/>
                <a:cs typeface="+mn-cs"/>
              </a:defRPr>
            </a:pPr>
            <a:r>
              <a:rPr lang="en-US" sz="600" b="0" i="0" baseline="0">
                <a:effectLst/>
              </a:rPr>
              <a:t> </a:t>
            </a:r>
            <a:endParaRPr lang="en-US" sz="600">
              <a:effectLst/>
            </a:endParaRPr>
          </a:p>
        </c:rich>
      </c:tx>
      <c:layout>
        <c:manualLayout>
          <c:xMode val="edge"/>
          <c:yMode val="edge"/>
          <c:x val="0.14390662253882924"/>
          <c:y val="0.50728388906635458"/>
        </c:manualLayout>
      </c:layout>
      <c:overlay val="0"/>
      <c:spPr>
        <a:noFill/>
        <a:ln>
          <a:noFill/>
        </a:ln>
        <a:effectLst/>
      </c:spPr>
    </c:title>
    <c:autoTitleDeleted val="0"/>
    <c:plotArea>
      <c:layout>
        <c:manualLayout>
          <c:layoutTarget val="inner"/>
          <c:xMode val="edge"/>
          <c:yMode val="edge"/>
          <c:x val="3.2068299154913327E-2"/>
          <c:y val="0"/>
          <c:w val="0.92860661648063225"/>
          <c:h val="1"/>
        </c:manualLayout>
      </c:layout>
      <c:doughnutChart>
        <c:varyColors val="0"/>
        <c:ser>
          <c:idx val="0"/>
          <c:order val="0"/>
          <c:spPr>
            <a:solidFill>
              <a:schemeClr val="accent1"/>
            </a:solidFill>
            <a:ln w="19050">
              <a:noFill/>
            </a:ln>
            <a:effectLst/>
            <a:scene3d>
              <a:camera prst="orthographicFront"/>
              <a:lightRig rig="threePt" dir="t"/>
            </a:scene3d>
            <a:sp3d>
              <a:bevelT/>
            </a:sp3d>
          </c:spPr>
          <c:dPt>
            <c:idx val="0"/>
            <c:bubble3D val="0"/>
            <c:spPr>
              <a:gradFill flip="none" rotWithShape="1">
                <a:gsLst>
                  <a:gs pos="100000">
                    <a:schemeClr val="bg1">
                      <a:lumMod val="85000"/>
                    </a:schemeClr>
                  </a:gs>
                  <a:gs pos="0">
                    <a:schemeClr val="bg1">
                      <a:lumMod val="50000"/>
                    </a:schemeClr>
                  </a:gs>
                </a:gsLst>
                <a:path path="circle">
                  <a:fillToRect l="100000" t="100000"/>
                </a:path>
                <a:tileRect r="-100000" b="-100000"/>
              </a:gradFill>
              <a:ln w="12700">
                <a:solidFill>
                  <a:schemeClr val="bg1"/>
                </a:solidFill>
              </a:ln>
              <a:effectLst>
                <a:outerShdw blurRad="50800" dist="38100" dir="5400000" algn="t" rotWithShape="0">
                  <a:prstClr val="black">
                    <a:alpha val="40000"/>
                  </a:prstClr>
                </a:outerShdw>
              </a:effectLst>
              <a:scene3d>
                <a:camera prst="orthographicFront"/>
                <a:lightRig rig="threePt" dir="t"/>
              </a:scene3d>
              <a:sp3d>
                <a:bevelT/>
              </a:sp3d>
            </c:spPr>
          </c:dPt>
          <c:dPt>
            <c:idx val="1"/>
            <c:bubble3D val="0"/>
            <c:spPr>
              <a:solidFill>
                <a:srgbClr val="FF0000"/>
              </a:solidFill>
              <a:ln w="12700">
                <a:solidFill>
                  <a:schemeClr val="bg1"/>
                </a:solidFill>
              </a:ln>
              <a:effectLst/>
              <a:scene3d>
                <a:camera prst="orthographicFront"/>
                <a:lightRig rig="threePt" dir="t"/>
              </a:scene3d>
              <a:sp3d>
                <a:bevelT/>
              </a:sp3d>
            </c:spPr>
          </c:dPt>
          <c:dPt>
            <c:idx val="2"/>
            <c:bubble3D val="0"/>
            <c:spPr>
              <a:noFill/>
              <a:ln w="19050">
                <a:noFill/>
              </a:ln>
              <a:effectLst/>
            </c:spPr>
          </c:dPt>
          <c:dPt>
            <c:idx val="3"/>
            <c:bubble3D val="0"/>
            <c:spPr>
              <a:noFill/>
              <a:ln w="19050">
                <a:noFill/>
              </a:ln>
              <a:effectLst/>
            </c:spPr>
          </c:dPt>
          <c:dLbls>
            <c:dLbl>
              <c:idx val="0"/>
              <c:layout>
                <c:manualLayout>
                  <c:x val="6.8930994576686513E-2"/>
                  <c:y val="0.18179937822794964"/>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6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val>
            <c:numRef>
              <c:f>'Cluster indicator'!$C$61:$C$64</c:f>
              <c:numCache>
                <c:formatCode>0%</c:formatCode>
                <c:ptCount val="4"/>
                <c:pt idx="0">
                  <c:v>0.68834874504623511</c:v>
                </c:pt>
                <c:pt idx="1">
                  <c:v>0.31165125495376489</c:v>
                </c:pt>
                <c:pt idx="2">
                  <c:v>0.5</c:v>
                </c:pt>
                <c:pt idx="3">
                  <c:v>0.5</c:v>
                </c:pt>
              </c:numCache>
            </c:numRef>
          </c:val>
        </c:ser>
        <c:ser>
          <c:idx val="1"/>
          <c:order val="1"/>
          <c:tx>
            <c:v>Compteur</c:v>
          </c:tx>
          <c:spPr>
            <a:solidFill>
              <a:schemeClr val="accent2"/>
            </a:solidFill>
            <a:ln w="19050">
              <a:noFill/>
            </a:ln>
            <a:effectLst>
              <a:outerShdw dir="2040000" sx="1000" sy="1000" algn="ctr" rotWithShape="0">
                <a:srgbClr val="000000">
                  <a:alpha val="43137"/>
                </a:srgbClr>
              </a:outerShdw>
            </a:effectLst>
            <a:scene3d>
              <a:camera prst="orthographicFront"/>
              <a:lightRig rig="threePt" dir="t"/>
            </a:scene3d>
            <a:sp3d prstMaterial="matte"/>
          </c:spPr>
          <c:dPt>
            <c:idx val="0"/>
            <c:bubble3D val="0"/>
            <c:spPr>
              <a:gradFill flip="none" rotWithShape="1">
                <a:gsLst>
                  <a:gs pos="4000">
                    <a:srgbClr val="FF0000"/>
                  </a:gs>
                  <a:gs pos="100000">
                    <a:srgbClr val="FF9900"/>
                  </a:gs>
                </a:gsLst>
                <a:lin ang="16200000" scaled="1"/>
                <a:tileRect/>
              </a:gradFill>
              <a:ln w="19050">
                <a:noFill/>
              </a:ln>
              <a:effectLst>
                <a:outerShdw dir="2040000" sx="1000" sy="1000" algn="ctr" rotWithShape="0">
                  <a:srgbClr val="000000">
                    <a:alpha val="43137"/>
                  </a:srgbClr>
                </a:outerShdw>
              </a:effectLst>
              <a:scene3d>
                <a:camera prst="orthographicFront"/>
                <a:lightRig rig="threePt" dir="t"/>
              </a:scene3d>
              <a:sp3d prstMaterial="matte"/>
            </c:spPr>
          </c:dPt>
          <c:dPt>
            <c:idx val="1"/>
            <c:bubble3D val="0"/>
            <c:spPr>
              <a:gradFill flip="none" rotWithShape="1">
                <a:gsLst>
                  <a:gs pos="3000">
                    <a:srgbClr val="FFFF00"/>
                  </a:gs>
                  <a:gs pos="97000">
                    <a:srgbClr val="FF9900"/>
                  </a:gs>
                </a:gsLst>
                <a:lin ang="10800000" scaled="1"/>
                <a:tileRect/>
              </a:gradFill>
              <a:ln w="19050">
                <a:noFill/>
              </a:ln>
              <a:effectLst>
                <a:outerShdw dir="2040000" sx="1000" sy="1000" algn="ctr" rotWithShape="0">
                  <a:srgbClr val="000000">
                    <a:alpha val="43137"/>
                  </a:srgbClr>
                </a:outerShdw>
              </a:effectLst>
              <a:scene3d>
                <a:camera prst="orthographicFront"/>
                <a:lightRig rig="threePt" dir="t"/>
              </a:scene3d>
              <a:sp3d prstMaterial="matte"/>
            </c:spPr>
          </c:dPt>
          <c:dPt>
            <c:idx val="2"/>
            <c:bubble3D val="0"/>
            <c:spPr>
              <a:gradFill flip="none" rotWithShape="1">
                <a:gsLst>
                  <a:gs pos="100000">
                    <a:srgbClr val="66FF33"/>
                  </a:gs>
                  <a:gs pos="0">
                    <a:srgbClr val="FFFF00"/>
                  </a:gs>
                </a:gsLst>
                <a:lin ang="2700000" scaled="1"/>
                <a:tileRect/>
              </a:gradFill>
              <a:ln w="19050">
                <a:noFill/>
              </a:ln>
              <a:effectLst>
                <a:outerShdw dir="2040000" sx="1000" sy="1000" algn="ctr" rotWithShape="0">
                  <a:srgbClr val="000000">
                    <a:alpha val="43137"/>
                  </a:srgbClr>
                </a:outerShdw>
              </a:effectLst>
              <a:scene3d>
                <a:camera prst="orthographicFront"/>
                <a:lightRig rig="threePt" dir="t"/>
              </a:scene3d>
              <a:sp3d prstMaterial="matte"/>
            </c:spPr>
          </c:dPt>
          <c:dPt>
            <c:idx val="3"/>
            <c:bubble3D val="0"/>
            <c:spPr>
              <a:noFill/>
              <a:ln w="19050">
                <a:noFill/>
              </a:ln>
              <a:effectLst>
                <a:outerShdw dir="2040000" sx="1000" sy="1000" algn="ctr" rotWithShape="0">
                  <a:srgbClr val="000000">
                    <a:alpha val="43137"/>
                  </a:srgbClr>
                </a:outerShdw>
              </a:effectLst>
            </c:spPr>
          </c:dPt>
          <c:val>
            <c:numLit>
              <c:formatCode>General</c:formatCode>
              <c:ptCount val="4"/>
              <c:pt idx="0">
                <c:v>0.4</c:v>
              </c:pt>
              <c:pt idx="1">
                <c:v>0.3</c:v>
              </c:pt>
              <c:pt idx="2">
                <c:v>0.3</c:v>
              </c:pt>
              <c:pt idx="3">
                <c:v>1</c:v>
              </c:pt>
            </c:numLit>
          </c:val>
        </c:ser>
        <c:dLbls>
          <c:showLegendKey val="0"/>
          <c:showVal val="0"/>
          <c:showCatName val="0"/>
          <c:showSerName val="0"/>
          <c:showPercent val="0"/>
          <c:showBubbleSize val="0"/>
          <c:showLeaderLines val="1"/>
        </c:dLbls>
        <c:firstSliceAng val="270"/>
        <c:holeSize val="37"/>
      </c:doughnutChart>
      <c:spPr>
        <a:noFill/>
        <a:ln>
          <a:noFill/>
        </a:ln>
        <a:effectLst/>
      </c:spPr>
    </c:plotArea>
    <c:plotVisOnly val="1"/>
    <c:dispBlanksAs val="gap"/>
    <c:showDLblsOverMax val="0"/>
  </c:chart>
  <c:spPr>
    <a:solidFill>
      <a:schemeClr val="bg1"/>
    </a:solidFill>
    <a:ln w="9525" cap="flat" cmpd="sng" algn="ctr">
      <a:noFill/>
      <a:round/>
    </a:ln>
    <a:effectLst>
      <a:outerShdw blurRad="50800" dist="38100" dir="8100000" algn="tr" rotWithShape="0">
        <a:prstClr val="black">
          <a:alpha val="40000"/>
        </a:prstClr>
      </a:outerShdw>
    </a:effectLst>
  </c:spPr>
  <c:txPr>
    <a:bodyPr/>
    <a:lstStyle/>
    <a:p>
      <a:pPr>
        <a:defRPr sz="600"/>
      </a:pPr>
      <a:endParaRPr lang="en-US"/>
    </a:p>
  </c:txPr>
  <c:printSettings>
    <c:headerFooter/>
    <c:pageMargins b="0.75" l="0.7" r="0.7" t="0.75" header="0.3" footer="0.3"/>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600" b="0" i="0" u="none" strike="noStrike" kern="1200" spc="0" baseline="0">
                <a:solidFill>
                  <a:schemeClr val="tx1">
                    <a:lumMod val="65000"/>
                    <a:lumOff val="35000"/>
                  </a:schemeClr>
                </a:solidFill>
                <a:latin typeface="+mn-lt"/>
                <a:ea typeface="+mn-ea"/>
                <a:cs typeface="+mn-cs"/>
              </a:defRPr>
            </a:pPr>
            <a:r>
              <a:rPr lang="en-US" sz="600" b="1" i="0" baseline="0">
                <a:effectLst/>
              </a:rPr>
              <a:t>HRP</a:t>
            </a:r>
            <a:r>
              <a:rPr lang="en-US" sz="600" b="0" i="0" baseline="0">
                <a:effectLst/>
              </a:rPr>
              <a:t> HP target:</a:t>
            </a:r>
            <a:endParaRPr lang="en-US" sz="600">
              <a:effectLst/>
            </a:endParaRPr>
          </a:p>
          <a:p>
            <a:pPr>
              <a:defRPr sz="600" b="0" i="0" u="none" strike="noStrike" kern="1200" spc="0" baseline="0">
                <a:solidFill>
                  <a:schemeClr val="tx1">
                    <a:lumMod val="65000"/>
                    <a:lumOff val="35000"/>
                  </a:schemeClr>
                </a:solidFill>
                <a:latin typeface="+mn-lt"/>
                <a:ea typeface="+mn-ea"/>
                <a:cs typeface="+mn-cs"/>
              </a:defRPr>
            </a:pPr>
            <a:r>
              <a:rPr lang="en-US" sz="600" b="0" i="0" baseline="0">
                <a:effectLst/>
              </a:rPr>
              <a:t>99,500</a:t>
            </a:r>
            <a:endParaRPr lang="en-US" sz="600">
              <a:effectLst/>
            </a:endParaRPr>
          </a:p>
          <a:p>
            <a:pPr>
              <a:defRPr sz="600" b="0" i="0" u="none" strike="noStrike" kern="1200" spc="0" baseline="0">
                <a:solidFill>
                  <a:schemeClr val="tx1">
                    <a:lumMod val="65000"/>
                    <a:lumOff val="35000"/>
                  </a:schemeClr>
                </a:solidFill>
                <a:latin typeface="+mn-lt"/>
                <a:ea typeface="+mn-ea"/>
                <a:cs typeface="+mn-cs"/>
              </a:defRPr>
            </a:pPr>
            <a:r>
              <a:rPr lang="en-US" sz="600" b="0" i="0" baseline="0">
                <a:effectLst/>
              </a:rPr>
              <a:t>HP population covered:</a:t>
            </a:r>
            <a:endParaRPr lang="en-US" sz="600">
              <a:effectLst/>
            </a:endParaRPr>
          </a:p>
        </c:rich>
      </c:tx>
      <c:layout>
        <c:manualLayout>
          <c:xMode val="edge"/>
          <c:yMode val="edge"/>
          <c:x val="0.15545063932946532"/>
          <c:y val="0.52055127947985091"/>
        </c:manualLayout>
      </c:layout>
      <c:overlay val="0"/>
      <c:spPr>
        <a:noFill/>
        <a:ln>
          <a:noFill/>
        </a:ln>
        <a:effectLst/>
      </c:spPr>
    </c:title>
    <c:autoTitleDeleted val="0"/>
    <c:plotArea>
      <c:layout>
        <c:manualLayout>
          <c:layoutTarget val="inner"/>
          <c:xMode val="edge"/>
          <c:yMode val="edge"/>
          <c:x val="3.2068299154913327E-2"/>
          <c:y val="0"/>
          <c:w val="0.92860661648063225"/>
          <c:h val="1"/>
        </c:manualLayout>
      </c:layout>
      <c:doughnutChart>
        <c:varyColors val="0"/>
        <c:ser>
          <c:idx val="0"/>
          <c:order val="0"/>
          <c:spPr>
            <a:solidFill>
              <a:schemeClr val="accent1"/>
            </a:solidFill>
            <a:ln w="19050">
              <a:noFill/>
            </a:ln>
            <a:effectLst/>
            <a:scene3d>
              <a:camera prst="orthographicFront"/>
              <a:lightRig rig="threePt" dir="t"/>
            </a:scene3d>
            <a:sp3d>
              <a:bevelT/>
            </a:sp3d>
          </c:spPr>
          <c:dPt>
            <c:idx val="0"/>
            <c:bubble3D val="0"/>
            <c:spPr>
              <a:gradFill flip="none" rotWithShape="1">
                <a:gsLst>
                  <a:gs pos="100000">
                    <a:schemeClr val="bg1">
                      <a:lumMod val="85000"/>
                    </a:schemeClr>
                  </a:gs>
                  <a:gs pos="0">
                    <a:schemeClr val="bg1">
                      <a:lumMod val="50000"/>
                    </a:schemeClr>
                  </a:gs>
                </a:gsLst>
                <a:path path="circle">
                  <a:fillToRect l="100000" t="100000"/>
                </a:path>
                <a:tileRect r="-100000" b="-100000"/>
              </a:gradFill>
              <a:ln w="12700">
                <a:solidFill>
                  <a:schemeClr val="bg1"/>
                </a:solidFill>
              </a:ln>
              <a:effectLst>
                <a:outerShdw blurRad="50800" dist="38100" dir="5400000" algn="t" rotWithShape="0">
                  <a:prstClr val="black">
                    <a:alpha val="40000"/>
                  </a:prstClr>
                </a:outerShdw>
              </a:effectLst>
              <a:scene3d>
                <a:camera prst="orthographicFront"/>
                <a:lightRig rig="threePt" dir="t"/>
              </a:scene3d>
              <a:sp3d>
                <a:bevelT/>
              </a:sp3d>
            </c:spPr>
          </c:dPt>
          <c:dPt>
            <c:idx val="1"/>
            <c:bubble3D val="0"/>
            <c:spPr>
              <a:solidFill>
                <a:srgbClr val="FF0000"/>
              </a:solidFill>
              <a:ln w="12700">
                <a:solidFill>
                  <a:schemeClr val="bg1"/>
                </a:solidFill>
              </a:ln>
              <a:effectLst/>
              <a:scene3d>
                <a:camera prst="orthographicFront"/>
                <a:lightRig rig="threePt" dir="t"/>
              </a:scene3d>
              <a:sp3d>
                <a:bevelT/>
              </a:sp3d>
            </c:spPr>
          </c:dPt>
          <c:dPt>
            <c:idx val="2"/>
            <c:bubble3D val="0"/>
            <c:spPr>
              <a:noFill/>
              <a:ln w="19050">
                <a:noFill/>
              </a:ln>
              <a:effectLst/>
            </c:spPr>
          </c:dPt>
          <c:dPt>
            <c:idx val="3"/>
            <c:bubble3D val="0"/>
            <c:spPr>
              <a:noFill/>
              <a:ln w="19050">
                <a:noFill/>
              </a:ln>
              <a:effectLst/>
            </c:spPr>
          </c:dPt>
          <c:dLbls>
            <c:dLbl>
              <c:idx val="0"/>
              <c:layout>
                <c:manualLayout>
                  <c:x val="0.16128348100990472"/>
                  <c:y val="0.128731468017182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6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val>
            <c:numRef>
              <c:f>'Cluster indicator'!$C$68:$C$71</c:f>
              <c:numCache>
                <c:formatCode>0%</c:formatCode>
                <c:ptCount val="4"/>
                <c:pt idx="0">
                  <c:v>0.43917173051519159</c:v>
                </c:pt>
                <c:pt idx="1">
                  <c:v>0.56082826948480835</c:v>
                </c:pt>
                <c:pt idx="2">
                  <c:v>0.5</c:v>
                </c:pt>
                <c:pt idx="3">
                  <c:v>0.5</c:v>
                </c:pt>
              </c:numCache>
            </c:numRef>
          </c:val>
        </c:ser>
        <c:ser>
          <c:idx val="1"/>
          <c:order val="1"/>
          <c:tx>
            <c:v>Compteur</c:v>
          </c:tx>
          <c:spPr>
            <a:solidFill>
              <a:schemeClr val="accent2"/>
            </a:solidFill>
            <a:ln w="19050">
              <a:noFill/>
            </a:ln>
            <a:effectLst>
              <a:outerShdw dir="2040000" sx="1000" sy="1000" algn="ctr" rotWithShape="0">
                <a:srgbClr val="000000">
                  <a:alpha val="43137"/>
                </a:srgbClr>
              </a:outerShdw>
            </a:effectLst>
            <a:scene3d>
              <a:camera prst="orthographicFront"/>
              <a:lightRig rig="threePt" dir="t"/>
            </a:scene3d>
            <a:sp3d prstMaterial="matte"/>
          </c:spPr>
          <c:dPt>
            <c:idx val="0"/>
            <c:bubble3D val="0"/>
            <c:spPr>
              <a:gradFill flip="none" rotWithShape="1">
                <a:gsLst>
                  <a:gs pos="4000">
                    <a:srgbClr val="FF0000"/>
                  </a:gs>
                  <a:gs pos="100000">
                    <a:srgbClr val="FF9900"/>
                  </a:gs>
                </a:gsLst>
                <a:lin ang="16200000" scaled="1"/>
                <a:tileRect/>
              </a:gradFill>
              <a:ln w="19050">
                <a:noFill/>
              </a:ln>
              <a:effectLst>
                <a:outerShdw dir="2040000" sx="1000" sy="1000" algn="ctr" rotWithShape="0">
                  <a:srgbClr val="000000">
                    <a:alpha val="43137"/>
                  </a:srgbClr>
                </a:outerShdw>
              </a:effectLst>
              <a:scene3d>
                <a:camera prst="orthographicFront"/>
                <a:lightRig rig="threePt" dir="t"/>
              </a:scene3d>
              <a:sp3d prstMaterial="matte"/>
            </c:spPr>
          </c:dPt>
          <c:dPt>
            <c:idx val="1"/>
            <c:bubble3D val="0"/>
            <c:spPr>
              <a:gradFill flip="none" rotWithShape="1">
                <a:gsLst>
                  <a:gs pos="3000">
                    <a:srgbClr val="FFFF00"/>
                  </a:gs>
                  <a:gs pos="97000">
                    <a:srgbClr val="FF9900"/>
                  </a:gs>
                </a:gsLst>
                <a:lin ang="10800000" scaled="1"/>
                <a:tileRect/>
              </a:gradFill>
              <a:ln w="19050">
                <a:noFill/>
              </a:ln>
              <a:effectLst>
                <a:outerShdw dir="2040000" sx="1000" sy="1000" algn="ctr" rotWithShape="0">
                  <a:srgbClr val="000000">
                    <a:alpha val="43137"/>
                  </a:srgbClr>
                </a:outerShdw>
              </a:effectLst>
              <a:scene3d>
                <a:camera prst="orthographicFront"/>
                <a:lightRig rig="threePt" dir="t"/>
              </a:scene3d>
              <a:sp3d prstMaterial="matte"/>
            </c:spPr>
          </c:dPt>
          <c:dPt>
            <c:idx val="2"/>
            <c:bubble3D val="0"/>
            <c:spPr>
              <a:gradFill flip="none" rotWithShape="1">
                <a:gsLst>
                  <a:gs pos="100000">
                    <a:srgbClr val="66FF33"/>
                  </a:gs>
                  <a:gs pos="0">
                    <a:srgbClr val="FFFF00"/>
                  </a:gs>
                </a:gsLst>
                <a:lin ang="2700000" scaled="1"/>
                <a:tileRect/>
              </a:gradFill>
              <a:ln w="19050">
                <a:noFill/>
              </a:ln>
              <a:effectLst>
                <a:outerShdw dir="2040000" sx="1000" sy="1000" algn="ctr" rotWithShape="0">
                  <a:srgbClr val="000000">
                    <a:alpha val="43137"/>
                  </a:srgbClr>
                </a:outerShdw>
              </a:effectLst>
              <a:scene3d>
                <a:camera prst="orthographicFront"/>
                <a:lightRig rig="threePt" dir="t"/>
              </a:scene3d>
              <a:sp3d prstMaterial="matte"/>
            </c:spPr>
          </c:dPt>
          <c:dPt>
            <c:idx val="3"/>
            <c:bubble3D val="0"/>
            <c:spPr>
              <a:noFill/>
              <a:ln w="19050">
                <a:noFill/>
              </a:ln>
              <a:effectLst>
                <a:outerShdw dir="2040000" sx="1000" sy="1000" algn="ctr" rotWithShape="0">
                  <a:srgbClr val="000000">
                    <a:alpha val="43137"/>
                  </a:srgbClr>
                </a:outerShdw>
              </a:effectLst>
            </c:spPr>
          </c:dPt>
          <c:val>
            <c:numLit>
              <c:formatCode>General</c:formatCode>
              <c:ptCount val="4"/>
              <c:pt idx="0">
                <c:v>0.4</c:v>
              </c:pt>
              <c:pt idx="1">
                <c:v>0.3</c:v>
              </c:pt>
              <c:pt idx="2">
                <c:v>0.3</c:v>
              </c:pt>
              <c:pt idx="3">
                <c:v>1</c:v>
              </c:pt>
            </c:numLit>
          </c:val>
        </c:ser>
        <c:dLbls>
          <c:showLegendKey val="0"/>
          <c:showVal val="0"/>
          <c:showCatName val="0"/>
          <c:showSerName val="0"/>
          <c:showPercent val="0"/>
          <c:showBubbleSize val="0"/>
          <c:showLeaderLines val="1"/>
        </c:dLbls>
        <c:firstSliceAng val="270"/>
        <c:holeSize val="37"/>
      </c:doughnutChart>
      <c:spPr>
        <a:noFill/>
        <a:ln>
          <a:noFill/>
        </a:ln>
        <a:effectLst/>
      </c:spPr>
    </c:plotArea>
    <c:plotVisOnly val="1"/>
    <c:dispBlanksAs val="gap"/>
    <c:showDLblsOverMax val="0"/>
  </c:chart>
  <c:spPr>
    <a:solidFill>
      <a:schemeClr val="bg1"/>
    </a:solidFill>
    <a:ln w="9525" cap="flat" cmpd="sng" algn="ctr">
      <a:noFill/>
      <a:round/>
    </a:ln>
    <a:effectLst>
      <a:outerShdw blurRad="50800" dist="38100" dir="8100000" algn="tr" rotWithShape="0">
        <a:prstClr val="black">
          <a:alpha val="40000"/>
        </a:prstClr>
      </a:outerShdw>
    </a:effectLst>
  </c:spPr>
  <c:txPr>
    <a:bodyPr/>
    <a:lstStyle/>
    <a:p>
      <a:pPr>
        <a:defRPr sz="600"/>
      </a:pPr>
      <a:endParaRPr lang="en-US"/>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2015.xlsx]SituationAnalysis!PivotTable11</c:name>
    <c:fmtId val="41"/>
  </c:pivotSource>
  <c:chart>
    <c:title>
      <c:tx>
        <c:rich>
          <a:bodyPr rot="0" spcFirstLastPara="1" vertOverflow="ellipsis" vert="horz" wrap="square" anchor="ctr" anchorCtr="1"/>
          <a:lstStyle/>
          <a:p>
            <a:pPr>
              <a:defRPr sz="800" b="1" i="0" u="none" strike="noStrike" kern="1200" spc="0" baseline="0">
                <a:solidFill>
                  <a:schemeClr val="tx1">
                    <a:lumMod val="65000"/>
                    <a:lumOff val="35000"/>
                  </a:schemeClr>
                </a:solidFill>
                <a:latin typeface="+mn-lt"/>
                <a:ea typeface="+mn-ea"/>
                <a:cs typeface="+mn-cs"/>
              </a:defRPr>
            </a:pPr>
            <a:r>
              <a:rPr lang="en-US" sz="800" b="1"/>
              <a:t>Location coverage</a:t>
            </a:r>
          </a:p>
        </c:rich>
      </c:tx>
      <c:layout>
        <c:manualLayout>
          <c:xMode val="edge"/>
          <c:yMode val="edge"/>
          <c:x val="0.38397627461921596"/>
          <c:y val="0"/>
        </c:manualLayout>
      </c:layout>
      <c:overlay val="0"/>
      <c:spPr>
        <a:noFill/>
        <a:ln>
          <a:noFill/>
        </a:ln>
        <a:effectLst/>
      </c:spPr>
      <c:txPr>
        <a:bodyPr rot="0" spcFirstLastPara="1" vertOverflow="ellipsis" vert="horz" wrap="square" anchor="ctr" anchorCtr="1"/>
        <a:lstStyle/>
        <a:p>
          <a:pPr>
            <a:defRPr sz="8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a:sp3d/>
        </c:spPr>
        <c:marker>
          <c:symbol val="none"/>
        </c:marker>
        <c:dLbl>
          <c:idx val="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a:sp3d/>
        </c:spPr>
        <c:marker>
          <c:symbol val="none"/>
        </c:marker>
        <c:dLbl>
          <c:idx val="0"/>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manualLayout>
          <c:layoutTarget val="inner"/>
          <c:xMode val="edge"/>
          <c:yMode val="edge"/>
          <c:x val="8.497364994729989E-2"/>
          <c:y val="0.14921451891684268"/>
          <c:w val="0.91502635005270005"/>
          <c:h val="0.63521157416298568"/>
        </c:manualLayout>
      </c:layout>
      <c:bar3DChart>
        <c:barDir val="col"/>
        <c:grouping val="stacked"/>
        <c:varyColors val="0"/>
        <c:ser>
          <c:idx val="0"/>
          <c:order val="0"/>
          <c:tx>
            <c:strRef>
              <c:f>SituationAnalysis!$C$589:$C$590</c:f>
              <c:strCache>
                <c:ptCount val="1"/>
                <c:pt idx="0">
                  <c:v>Covered</c:v>
                </c:pt>
              </c:strCache>
            </c:strRef>
          </c:tx>
          <c:spPr>
            <a:solidFill>
              <a:schemeClr val="accent1"/>
            </a:solidFill>
            <a:ln>
              <a:noFill/>
            </a:ln>
            <a:effectLst/>
            <a:sp3d/>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SituationAnalysis!$B$591:$B$593</c:f>
              <c:strCache>
                <c:ptCount val="2"/>
                <c:pt idx="0">
                  <c:v>GCA</c:v>
                </c:pt>
                <c:pt idx="1">
                  <c:v>NGCA</c:v>
                </c:pt>
              </c:strCache>
            </c:strRef>
          </c:cat>
          <c:val>
            <c:numRef>
              <c:f>SituationAnalysis!$C$591:$C$593</c:f>
              <c:numCache>
                <c:formatCode>0</c:formatCode>
                <c:ptCount val="2"/>
                <c:pt idx="0">
                  <c:v>96</c:v>
                </c:pt>
                <c:pt idx="1">
                  <c:v>9</c:v>
                </c:pt>
              </c:numCache>
            </c:numRef>
          </c:val>
        </c:ser>
        <c:ser>
          <c:idx val="1"/>
          <c:order val="1"/>
          <c:tx>
            <c:strRef>
              <c:f>SituationAnalysis!$D$589:$D$590</c:f>
              <c:strCache>
                <c:ptCount val="1"/>
                <c:pt idx="0">
                  <c:v>Not covered</c:v>
                </c:pt>
              </c:strCache>
            </c:strRef>
          </c:tx>
          <c:spPr>
            <a:solidFill>
              <a:schemeClr val="accent2"/>
            </a:solidFill>
            <a:ln>
              <a:noFill/>
            </a:ln>
            <a:effectLst/>
            <a:sp3d/>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SituationAnalysis!$B$591:$B$593</c:f>
              <c:strCache>
                <c:ptCount val="2"/>
                <c:pt idx="0">
                  <c:v>GCA</c:v>
                </c:pt>
                <c:pt idx="1">
                  <c:v>NGCA</c:v>
                </c:pt>
              </c:strCache>
            </c:strRef>
          </c:cat>
          <c:val>
            <c:numRef>
              <c:f>SituationAnalysis!$D$591:$D$593</c:f>
              <c:numCache>
                <c:formatCode>0</c:formatCode>
                <c:ptCount val="2"/>
                <c:pt idx="0">
                  <c:v>46</c:v>
                </c:pt>
                <c:pt idx="1">
                  <c:v>16</c:v>
                </c:pt>
              </c:numCache>
            </c:numRef>
          </c:val>
        </c:ser>
        <c:dLbls>
          <c:showLegendKey val="0"/>
          <c:showVal val="1"/>
          <c:showCatName val="0"/>
          <c:showSerName val="0"/>
          <c:showPercent val="0"/>
          <c:showBubbleSize val="0"/>
        </c:dLbls>
        <c:gapWidth val="150"/>
        <c:shape val="box"/>
        <c:axId val="202594736"/>
        <c:axId val="202783032"/>
        <c:axId val="0"/>
      </c:bar3DChart>
      <c:catAx>
        <c:axId val="2025947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202783032"/>
        <c:crosses val="autoZero"/>
        <c:auto val="1"/>
        <c:lblAlgn val="ctr"/>
        <c:lblOffset val="100"/>
        <c:noMultiLvlLbl val="0"/>
      </c:catAx>
      <c:valAx>
        <c:axId val="202783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202594736"/>
        <c:crosses val="autoZero"/>
        <c:crossBetween val="between"/>
      </c:valAx>
      <c:spPr>
        <a:noFill/>
        <a:ln>
          <a:noFill/>
        </a:ln>
        <a:effectLst/>
      </c:spPr>
    </c:plotArea>
    <c:legend>
      <c:legendPos val="b"/>
      <c:layout>
        <c:manualLayout>
          <c:xMode val="edge"/>
          <c:yMode val="edge"/>
          <c:x val="0.28426643519953709"/>
          <c:y val="0.84550967714401548"/>
          <c:w val="0.39997106660879989"/>
          <c:h val="0.14365021445490045"/>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10800000" algn="r" rotWithShape="0">
        <a:prstClr val="black">
          <a:alpha val="40000"/>
        </a:prstClr>
      </a:outerShdw>
    </a:effectLst>
    <a:scene3d>
      <a:camera prst="orthographicFront"/>
      <a:lightRig rig="threePt" dir="t"/>
    </a:scene3d>
    <a:sp3d/>
  </c:spPr>
  <c:txPr>
    <a:bodyPr/>
    <a:lstStyle/>
    <a:p>
      <a:pPr>
        <a:defRPr sz="600"/>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[Copy of 4Ws Wash_Matrix_KachinNorth Shan_September 2015.xlsx]SituationAnalysis!PivotTable1</c:name>
    <c:fmtId val="5"/>
  </c:pivotSource>
  <c:chart>
    <c:title>
      <c:tx>
        <c:rich>
          <a:bodyPr rot="0" spcFirstLastPara="1" vertOverflow="ellipsis" vert="horz" wrap="square" anchor="ctr" anchorCtr="1"/>
          <a:lstStyle/>
          <a:p>
            <a:pPr>
              <a:defRPr sz="800" b="1" i="0" u="none" strike="noStrike" kern="1200" spc="0" baseline="0">
                <a:solidFill>
                  <a:schemeClr val="tx1">
                    <a:lumMod val="65000"/>
                    <a:lumOff val="35000"/>
                  </a:schemeClr>
                </a:solidFill>
                <a:latin typeface="+mn-lt"/>
                <a:ea typeface="+mn-ea"/>
                <a:cs typeface="+mn-cs"/>
              </a:defRPr>
            </a:pPr>
            <a:r>
              <a:rPr lang="en-US" sz="800" b="1"/>
              <a:t>Needs Coverage</a:t>
            </a:r>
          </a:p>
        </c:rich>
      </c:tx>
      <c:layout>
        <c:manualLayout>
          <c:xMode val="edge"/>
          <c:yMode val="edge"/>
          <c:x val="0.3826745468274998"/>
          <c:y val="3.7988295498143829E-3"/>
        </c:manualLayout>
      </c:layout>
      <c:overlay val="0"/>
      <c:spPr>
        <a:noFill/>
        <a:ln>
          <a:noFill/>
        </a:ln>
        <a:effectLst/>
      </c:spPr>
      <c:txPr>
        <a:bodyPr rot="0" spcFirstLastPara="1" vertOverflow="ellipsis" vert="horz" wrap="square" anchor="ctr" anchorCtr="1"/>
        <a:lstStyle/>
        <a:p>
          <a:pPr>
            <a:defRPr sz="8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s>
    <c:view3D>
      <c:rotX val="15"/>
      <c:rotY val="20"/>
      <c:depthPercent val="100"/>
      <c:rAngAx val="1"/>
    </c:view3D>
    <c:floor>
      <c:thickness val="0"/>
      <c:spPr>
        <a:solidFill>
          <a:schemeClr val="bg1">
            <a:lumMod val="65000"/>
          </a:schemeClr>
        </a:solidFill>
        <a:ln>
          <a:noFill/>
        </a:ln>
        <a:effectLst/>
        <a:sp3d/>
      </c:spPr>
    </c:floor>
    <c:sideWall>
      <c:thickness val="0"/>
      <c:spPr>
        <a:solidFill>
          <a:schemeClr val="bg1">
            <a:lumMod val="65000"/>
          </a:schemeClr>
        </a:solidFill>
        <a:ln>
          <a:noFill/>
        </a:ln>
        <a:effectLst/>
        <a:sp3d/>
      </c:spPr>
    </c:sideWall>
    <c:backWall>
      <c:thickness val="0"/>
      <c:spPr>
        <a:solidFill>
          <a:schemeClr val="bg1">
            <a:lumMod val="65000"/>
          </a:schemeClr>
        </a:solidFill>
        <a:ln>
          <a:noFill/>
        </a:ln>
        <a:effectLst/>
        <a:sp3d/>
      </c:spPr>
    </c:backWall>
    <c:plotArea>
      <c:layout>
        <c:manualLayout>
          <c:layoutTarget val="inner"/>
          <c:xMode val="edge"/>
          <c:yMode val="edge"/>
          <c:x val="9.2240869603153294E-2"/>
          <c:y val="0.13495147055077236"/>
          <c:w val="0.90775913039684675"/>
          <c:h val="0.63329908391159795"/>
        </c:manualLayout>
      </c:layout>
      <c:bar3DChart>
        <c:barDir val="col"/>
        <c:grouping val="clustered"/>
        <c:varyColors val="0"/>
        <c:ser>
          <c:idx val="0"/>
          <c:order val="0"/>
          <c:tx>
            <c:strRef>
              <c:f>SituationAnalysis!$C$13</c:f>
              <c:strCache>
                <c:ptCount val="1"/>
                <c:pt idx="0">
                  <c:v>% Water coverage</c:v>
                </c:pt>
              </c:strCache>
            </c:strRef>
          </c:tx>
          <c:spPr>
            <a:solidFill>
              <a:schemeClr val="accent1"/>
            </a:solidFill>
            <a:ln>
              <a:noFill/>
            </a:ln>
            <a:effectLst/>
            <a:sp3d/>
          </c:spPr>
          <c:invertIfNegative val="0"/>
          <c:cat>
            <c:strRef>
              <c:f>SituationAnalysis!$B$14:$B$16</c:f>
              <c:strCache>
                <c:ptCount val="2"/>
                <c:pt idx="0">
                  <c:v>GCA</c:v>
                </c:pt>
                <c:pt idx="1">
                  <c:v>NGCA</c:v>
                </c:pt>
              </c:strCache>
            </c:strRef>
          </c:cat>
          <c:val>
            <c:numRef>
              <c:f>SituationAnalysis!$C$14:$C$16</c:f>
              <c:numCache>
                <c:formatCode>0%</c:formatCode>
                <c:ptCount val="2"/>
                <c:pt idx="0">
                  <c:v>0.99394599830487962</c:v>
                </c:pt>
                <c:pt idx="1">
                  <c:v>1</c:v>
                </c:pt>
              </c:numCache>
            </c:numRef>
          </c:val>
        </c:ser>
        <c:ser>
          <c:idx val="1"/>
          <c:order val="1"/>
          <c:tx>
            <c:strRef>
              <c:f>SituationAnalysis!$D$13</c:f>
              <c:strCache>
                <c:ptCount val="1"/>
                <c:pt idx="0">
                  <c:v>% Latrine coverage</c:v>
                </c:pt>
              </c:strCache>
            </c:strRef>
          </c:tx>
          <c:spPr>
            <a:solidFill>
              <a:schemeClr val="accent2"/>
            </a:solidFill>
            <a:ln>
              <a:noFill/>
            </a:ln>
            <a:effectLst/>
            <a:sp3d/>
          </c:spPr>
          <c:invertIfNegative val="0"/>
          <c:cat>
            <c:strRef>
              <c:f>SituationAnalysis!$B$14:$B$16</c:f>
              <c:strCache>
                <c:ptCount val="2"/>
                <c:pt idx="0">
                  <c:v>GCA</c:v>
                </c:pt>
                <c:pt idx="1">
                  <c:v>NGCA</c:v>
                </c:pt>
              </c:strCache>
            </c:strRef>
          </c:cat>
          <c:val>
            <c:numRef>
              <c:f>SituationAnalysis!$D$14:$D$16</c:f>
              <c:numCache>
                <c:formatCode>0%</c:formatCode>
                <c:ptCount val="2"/>
                <c:pt idx="0">
                  <c:v>0.84507809662186706</c:v>
                </c:pt>
                <c:pt idx="1">
                  <c:v>0.97834006104164617</c:v>
                </c:pt>
              </c:numCache>
            </c:numRef>
          </c:val>
        </c:ser>
        <c:ser>
          <c:idx val="2"/>
          <c:order val="2"/>
          <c:tx>
            <c:strRef>
              <c:f>SituationAnalysis!$E$13</c:f>
              <c:strCache>
                <c:ptCount val="1"/>
                <c:pt idx="0">
                  <c:v>% Bathroom coverage</c:v>
                </c:pt>
              </c:strCache>
            </c:strRef>
          </c:tx>
          <c:spPr>
            <a:solidFill>
              <a:schemeClr val="accent3"/>
            </a:solidFill>
            <a:ln>
              <a:noFill/>
            </a:ln>
            <a:effectLst/>
            <a:sp3d/>
          </c:spPr>
          <c:invertIfNegative val="0"/>
          <c:cat>
            <c:strRef>
              <c:f>SituationAnalysis!$B$14:$B$16</c:f>
              <c:strCache>
                <c:ptCount val="2"/>
                <c:pt idx="0">
                  <c:v>GCA</c:v>
                </c:pt>
                <c:pt idx="1">
                  <c:v>NGCA</c:v>
                </c:pt>
              </c:strCache>
            </c:strRef>
          </c:cat>
          <c:val>
            <c:numRef>
              <c:f>SituationAnalysis!$E$14:$E$16</c:f>
              <c:numCache>
                <c:formatCode>0%</c:formatCode>
                <c:ptCount val="2"/>
                <c:pt idx="0">
                  <c:v>0.59693970214311665</c:v>
                </c:pt>
                <c:pt idx="1">
                  <c:v>0.56132059991467298</c:v>
                </c:pt>
              </c:numCache>
            </c:numRef>
          </c:val>
        </c:ser>
        <c:dLbls>
          <c:showLegendKey val="0"/>
          <c:showVal val="0"/>
          <c:showCatName val="0"/>
          <c:showSerName val="0"/>
          <c:showPercent val="0"/>
          <c:showBubbleSize val="0"/>
        </c:dLbls>
        <c:gapWidth val="150"/>
        <c:shape val="box"/>
        <c:axId val="203183616"/>
        <c:axId val="203184008"/>
        <c:axId val="0"/>
      </c:bar3DChart>
      <c:catAx>
        <c:axId val="20318361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203184008"/>
        <c:crosses val="autoZero"/>
        <c:auto val="1"/>
        <c:lblAlgn val="ctr"/>
        <c:lblOffset val="100"/>
        <c:noMultiLvlLbl val="0"/>
      </c:catAx>
      <c:valAx>
        <c:axId val="203184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203183616"/>
        <c:crosses val="autoZero"/>
        <c:crossBetween val="between"/>
        <c:majorUnit val="0.2"/>
      </c:valAx>
      <c:spPr>
        <a:noFill/>
        <a:ln>
          <a:noFill/>
        </a:ln>
        <a:effectLst/>
      </c:spPr>
    </c:plotArea>
    <c:legend>
      <c:legendPos val="b"/>
      <c:layout>
        <c:manualLayout>
          <c:xMode val="edge"/>
          <c:yMode val="edge"/>
          <c:x val="5.8994800668652654E-2"/>
          <c:y val="0.83329923830418273"/>
          <c:w val="0.91804606723201132"/>
          <c:h val="0.15689683255892584"/>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algn="l" rotWithShape="0">
        <a:prstClr val="black">
          <a:alpha val="40000"/>
        </a:prstClr>
      </a:outerShdw>
    </a:effectLst>
    <a:scene3d>
      <a:camera prst="orthographicFront"/>
      <a:lightRig rig="threePt" dir="t"/>
    </a:scene3d>
    <a:sp3d/>
  </c:spPr>
  <c:txPr>
    <a:bodyPr/>
    <a:lstStyle/>
    <a:p>
      <a:pPr>
        <a:defRPr sz="600"/>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6.xml"/><Relationship Id="rId13" Type="http://schemas.openxmlformats.org/officeDocument/2006/relationships/chart" Target="../charts/chart11.xml"/><Relationship Id="rId3" Type="http://schemas.openxmlformats.org/officeDocument/2006/relationships/chart" Target="../charts/chart1.xml"/><Relationship Id="rId7" Type="http://schemas.openxmlformats.org/officeDocument/2006/relationships/chart" Target="../charts/chart5.xml"/><Relationship Id="rId12" Type="http://schemas.openxmlformats.org/officeDocument/2006/relationships/chart" Target="../charts/chart10.xml"/><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chart" Target="../charts/chart4.xml"/><Relationship Id="rId11" Type="http://schemas.openxmlformats.org/officeDocument/2006/relationships/chart" Target="../charts/chart9.xml"/><Relationship Id="rId5" Type="http://schemas.openxmlformats.org/officeDocument/2006/relationships/chart" Target="../charts/chart3.xml"/><Relationship Id="rId15" Type="http://schemas.openxmlformats.org/officeDocument/2006/relationships/image" Target="../media/image3.png"/><Relationship Id="rId10" Type="http://schemas.openxmlformats.org/officeDocument/2006/relationships/chart" Target="../charts/chart8.xml"/><Relationship Id="rId4" Type="http://schemas.openxmlformats.org/officeDocument/2006/relationships/chart" Target="../charts/chart2.xml"/><Relationship Id="rId9" Type="http://schemas.openxmlformats.org/officeDocument/2006/relationships/chart" Target="../charts/chart7.xml"/><Relationship Id="rId14"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9.xml"/><Relationship Id="rId13" Type="http://schemas.openxmlformats.org/officeDocument/2006/relationships/chart" Target="../charts/chart24.xml"/><Relationship Id="rId18" Type="http://schemas.openxmlformats.org/officeDocument/2006/relationships/chart" Target="../charts/chart29.xml"/><Relationship Id="rId26" Type="http://schemas.openxmlformats.org/officeDocument/2006/relationships/chart" Target="../charts/chart37.xml"/><Relationship Id="rId3" Type="http://schemas.openxmlformats.org/officeDocument/2006/relationships/chart" Target="../charts/chart14.xml"/><Relationship Id="rId21" Type="http://schemas.openxmlformats.org/officeDocument/2006/relationships/chart" Target="../charts/chart32.xml"/><Relationship Id="rId7" Type="http://schemas.openxmlformats.org/officeDocument/2006/relationships/chart" Target="../charts/chart18.xml"/><Relationship Id="rId12" Type="http://schemas.openxmlformats.org/officeDocument/2006/relationships/chart" Target="../charts/chart23.xml"/><Relationship Id="rId17" Type="http://schemas.openxmlformats.org/officeDocument/2006/relationships/chart" Target="../charts/chart28.xml"/><Relationship Id="rId25" Type="http://schemas.openxmlformats.org/officeDocument/2006/relationships/chart" Target="../charts/chart36.xml"/><Relationship Id="rId2" Type="http://schemas.openxmlformats.org/officeDocument/2006/relationships/chart" Target="../charts/chart13.xml"/><Relationship Id="rId16" Type="http://schemas.openxmlformats.org/officeDocument/2006/relationships/chart" Target="../charts/chart27.xml"/><Relationship Id="rId20" Type="http://schemas.openxmlformats.org/officeDocument/2006/relationships/chart" Target="../charts/chart31.xml"/><Relationship Id="rId29" Type="http://schemas.openxmlformats.org/officeDocument/2006/relationships/chart" Target="../charts/chart40.xml"/><Relationship Id="rId1" Type="http://schemas.openxmlformats.org/officeDocument/2006/relationships/image" Target="../media/image4.jpeg"/><Relationship Id="rId6" Type="http://schemas.openxmlformats.org/officeDocument/2006/relationships/chart" Target="../charts/chart17.xml"/><Relationship Id="rId11" Type="http://schemas.openxmlformats.org/officeDocument/2006/relationships/chart" Target="../charts/chart22.xml"/><Relationship Id="rId24" Type="http://schemas.openxmlformats.org/officeDocument/2006/relationships/chart" Target="../charts/chart35.xml"/><Relationship Id="rId5" Type="http://schemas.openxmlformats.org/officeDocument/2006/relationships/chart" Target="../charts/chart16.xml"/><Relationship Id="rId15" Type="http://schemas.openxmlformats.org/officeDocument/2006/relationships/chart" Target="../charts/chart26.xml"/><Relationship Id="rId23" Type="http://schemas.openxmlformats.org/officeDocument/2006/relationships/chart" Target="../charts/chart34.xml"/><Relationship Id="rId28" Type="http://schemas.openxmlformats.org/officeDocument/2006/relationships/chart" Target="../charts/chart39.xml"/><Relationship Id="rId10" Type="http://schemas.openxmlformats.org/officeDocument/2006/relationships/chart" Target="../charts/chart21.xml"/><Relationship Id="rId19" Type="http://schemas.openxmlformats.org/officeDocument/2006/relationships/chart" Target="../charts/chart30.xml"/><Relationship Id="rId4" Type="http://schemas.openxmlformats.org/officeDocument/2006/relationships/chart" Target="../charts/chart15.xml"/><Relationship Id="rId9" Type="http://schemas.openxmlformats.org/officeDocument/2006/relationships/chart" Target="../charts/chart20.xml"/><Relationship Id="rId14" Type="http://schemas.openxmlformats.org/officeDocument/2006/relationships/chart" Target="../charts/chart25.xml"/><Relationship Id="rId22" Type="http://schemas.openxmlformats.org/officeDocument/2006/relationships/chart" Target="../charts/chart33.xml"/><Relationship Id="rId27" Type="http://schemas.openxmlformats.org/officeDocument/2006/relationships/chart" Target="../charts/chart38.xml"/><Relationship Id="rId30" Type="http://schemas.openxmlformats.org/officeDocument/2006/relationships/chart" Target="../charts/chart41.xml"/></Relationships>
</file>

<file path=xl/drawings/_rels/drawing4.xml.rels><?xml version="1.0" encoding="UTF-8" standalone="yes"?>
<Relationships xmlns="http://schemas.openxmlformats.org/package/2006/relationships"><Relationship Id="rId8" Type="http://schemas.openxmlformats.org/officeDocument/2006/relationships/chart" Target="../charts/chart49.xml"/><Relationship Id="rId3" Type="http://schemas.openxmlformats.org/officeDocument/2006/relationships/chart" Target="../charts/chart44.xml"/><Relationship Id="rId7" Type="http://schemas.openxmlformats.org/officeDocument/2006/relationships/chart" Target="../charts/chart48.xml"/><Relationship Id="rId2" Type="http://schemas.openxmlformats.org/officeDocument/2006/relationships/chart" Target="../charts/chart43.xml"/><Relationship Id="rId1" Type="http://schemas.openxmlformats.org/officeDocument/2006/relationships/chart" Target="../charts/chart42.xml"/><Relationship Id="rId6" Type="http://schemas.openxmlformats.org/officeDocument/2006/relationships/chart" Target="../charts/chart47.xml"/><Relationship Id="rId5" Type="http://schemas.openxmlformats.org/officeDocument/2006/relationships/chart" Target="../charts/chart46.xml"/><Relationship Id="rId10" Type="http://schemas.openxmlformats.org/officeDocument/2006/relationships/chart" Target="../charts/chart51.xml"/><Relationship Id="rId4" Type="http://schemas.openxmlformats.org/officeDocument/2006/relationships/chart" Target="../charts/chart45.xml"/><Relationship Id="rId9" Type="http://schemas.openxmlformats.org/officeDocument/2006/relationships/chart" Target="../charts/chart50.xml"/></Relationships>
</file>

<file path=xl/drawings/drawing1.xml><?xml version="1.0" encoding="utf-8"?>
<xdr:wsDr xmlns:xdr="http://schemas.openxmlformats.org/drawingml/2006/spreadsheetDrawing" xmlns:a="http://schemas.openxmlformats.org/drawingml/2006/main">
  <xdr:twoCellAnchor editAs="oneCell">
    <xdr:from>
      <xdr:col>4</xdr:col>
      <xdr:colOff>534564</xdr:colOff>
      <xdr:row>2</xdr:row>
      <xdr:rowOff>29158</xdr:rowOff>
    </xdr:from>
    <xdr:to>
      <xdr:col>11</xdr:col>
      <xdr:colOff>356755</xdr:colOff>
      <xdr:row>32</xdr:row>
      <xdr:rowOff>35311</xdr:rowOff>
    </xdr:to>
    <xdr:pic>
      <xdr:nvPicPr>
        <xdr:cNvPr id="12" name="Picture 11"/>
        <xdr:cNvPicPr>
          <a:picLocks noChangeAspect="1"/>
        </xdr:cNvPicPr>
      </xdr:nvPicPr>
      <xdr:blipFill>
        <a:blip xmlns:r="http://schemas.openxmlformats.org/officeDocument/2006/relationships" r:embed="rId1"/>
        <a:stretch>
          <a:fillRect/>
        </a:stretch>
      </xdr:blipFill>
      <xdr:spPr>
        <a:xfrm>
          <a:off x="2983850" y="417934"/>
          <a:ext cx="4108441" cy="5837785"/>
        </a:xfrm>
        <a:prstGeom prst="rect">
          <a:avLst/>
        </a:prstGeom>
      </xdr:spPr>
    </xdr:pic>
    <xdr:clientData/>
  </xdr:twoCellAnchor>
  <xdr:twoCellAnchor editAs="oneCell">
    <xdr:from>
      <xdr:col>0</xdr:col>
      <xdr:colOff>57149</xdr:colOff>
      <xdr:row>0</xdr:row>
      <xdr:rowOff>24530</xdr:rowOff>
    </xdr:from>
    <xdr:to>
      <xdr:col>2</xdr:col>
      <xdr:colOff>89070</xdr:colOff>
      <xdr:row>2</xdr:row>
      <xdr:rowOff>41215</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49" y="24530"/>
          <a:ext cx="1250022" cy="40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571501</xdr:colOff>
      <xdr:row>0</xdr:row>
      <xdr:rowOff>87313</xdr:rowOff>
    </xdr:from>
    <xdr:to>
      <xdr:col>14</xdr:col>
      <xdr:colOff>1066800</xdr:colOff>
      <xdr:row>1</xdr:row>
      <xdr:rowOff>161989</xdr:rowOff>
    </xdr:to>
    <xdr:sp macro="" textlink="">
      <xdr:nvSpPr>
        <xdr:cNvPr id="4" name="TextBox 3"/>
        <xdr:cNvSpPr txBox="1"/>
      </xdr:nvSpPr>
      <xdr:spPr>
        <a:xfrm>
          <a:off x="1181101" y="87313"/>
          <a:ext cx="8420099" cy="265176"/>
        </a:xfrm>
        <a:prstGeom prst="rect">
          <a:avLst/>
        </a:prstGeom>
        <a:solidFill>
          <a:srgbClr val="098A9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a:solidFill>
                <a:schemeClr val="bg1"/>
              </a:solidFill>
            </a:rPr>
            <a:t>		MYANMAR</a:t>
          </a:r>
          <a:r>
            <a:rPr lang="en-US" sz="1100" b="1" baseline="0">
              <a:solidFill>
                <a:schemeClr val="bg1"/>
              </a:solidFill>
            </a:rPr>
            <a:t> MONTHLY SNAPSHOT</a:t>
          </a:r>
          <a:r>
            <a:rPr lang="en-US" sz="1100" b="1" i="1" baseline="0">
              <a:solidFill>
                <a:schemeClr val="bg1"/>
              </a:solidFill>
            </a:rPr>
            <a:t>: </a:t>
          </a:r>
          <a:r>
            <a:rPr lang="en-US" sz="1100" b="1" i="1" baseline="0">
              <a:solidFill>
                <a:sysClr val="windowText" lastClr="000000"/>
              </a:solidFill>
            </a:rPr>
            <a:t>KACHIN</a:t>
          </a:r>
          <a:r>
            <a:rPr lang="en-US" sz="1100" b="1" i="1" baseline="0">
              <a:solidFill>
                <a:schemeClr val="bg1"/>
              </a:solidFill>
            </a:rPr>
            <a:t>	</a:t>
          </a:r>
          <a:r>
            <a:rPr lang="en-US" sz="1100" b="1" baseline="0">
              <a:solidFill>
                <a:schemeClr val="bg1"/>
              </a:solidFill>
            </a:rPr>
            <a:t>		October 2015</a:t>
          </a:r>
          <a:endParaRPr lang="en-US" sz="1100" b="1">
            <a:solidFill>
              <a:schemeClr val="bg1"/>
            </a:solidFill>
          </a:endParaRPr>
        </a:p>
      </xdr:txBody>
    </xdr:sp>
    <xdr:clientData/>
  </xdr:twoCellAnchor>
  <xdr:twoCellAnchor>
    <xdr:from>
      <xdr:col>0</xdr:col>
      <xdr:colOff>96838</xdr:colOff>
      <xdr:row>2</xdr:row>
      <xdr:rowOff>60326</xdr:rowOff>
    </xdr:from>
    <xdr:to>
      <xdr:col>4</xdr:col>
      <xdr:colOff>71437</xdr:colOff>
      <xdr:row>3</xdr:row>
      <xdr:rowOff>117476</xdr:rowOff>
    </xdr:to>
    <xdr:sp macro="" textlink="">
      <xdr:nvSpPr>
        <xdr:cNvPr id="5" name="TextBox 4"/>
        <xdr:cNvSpPr txBox="1"/>
      </xdr:nvSpPr>
      <xdr:spPr>
        <a:xfrm>
          <a:off x="96838" y="441326"/>
          <a:ext cx="2412999" cy="247650"/>
        </a:xfrm>
        <a:prstGeom prst="rect">
          <a:avLst/>
        </a:prstGeom>
        <a:solidFill>
          <a:srgbClr val="098A9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HIGHLIGHT OF THE MONTH</a:t>
          </a:r>
          <a:endParaRPr lang="en-US">
            <a:effectLst/>
          </a:endParaRPr>
        </a:p>
        <a:p>
          <a:pPr algn="ctr"/>
          <a:endParaRPr lang="en-US" sz="1100"/>
        </a:p>
      </xdr:txBody>
    </xdr:sp>
    <xdr:clientData/>
  </xdr:twoCellAnchor>
  <xdr:twoCellAnchor>
    <xdr:from>
      <xdr:col>7</xdr:col>
      <xdr:colOff>569913</xdr:colOff>
      <xdr:row>33</xdr:row>
      <xdr:rowOff>166688</xdr:rowOff>
    </xdr:from>
    <xdr:to>
      <xdr:col>10</xdr:col>
      <xdr:colOff>403226</xdr:colOff>
      <xdr:row>38</xdr:row>
      <xdr:rowOff>203201</xdr:rowOff>
    </xdr:to>
    <xdr:sp macro="" textlink="">
      <xdr:nvSpPr>
        <xdr:cNvPr id="6" name="TextBox 5"/>
        <xdr:cNvSpPr txBox="1"/>
      </xdr:nvSpPr>
      <xdr:spPr>
        <a:xfrm>
          <a:off x="4837113" y="6453188"/>
          <a:ext cx="1662113" cy="989013"/>
        </a:xfrm>
        <a:prstGeom prst="rect">
          <a:avLst/>
        </a:prstGeom>
        <a:solidFill>
          <a:schemeClr val="lt1"/>
        </a:solidFill>
        <a:ln w="3175" cmpd="sng">
          <a:solidFill>
            <a:schemeClr val="bg1">
              <a:lumMod val="65000"/>
            </a:schemeClr>
          </a:solidFill>
        </a:ln>
        <a:effectLst>
          <a:outerShdw blurRad="50800" dist="38100" dir="2700000" algn="tl" rotWithShape="0">
            <a:prstClr val="black">
              <a:alpha val="54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600" b="1" i="1">
              <a:solidFill>
                <a:schemeClr val="bg1">
                  <a:lumMod val="50000"/>
                </a:schemeClr>
              </a:solidFill>
            </a:rPr>
            <a:t>Limitation of analysis:</a:t>
          </a:r>
        </a:p>
        <a:p>
          <a:pPr marL="171450" lvl="0" indent="-171450">
            <a:buFont typeface="Wingdings" panose="05000000000000000000" pitchFamily="2" charset="2"/>
            <a:buChar char="ü"/>
          </a:pPr>
          <a:r>
            <a:rPr lang="en-US" sz="600" i="1">
              <a:solidFill>
                <a:schemeClr val="bg1">
                  <a:lumMod val="50000"/>
                </a:schemeClr>
              </a:solidFill>
            </a:rPr>
            <a:t>Some location remain undocumented due to access</a:t>
          </a:r>
          <a:endParaRPr lang="en-US" sz="600" i="1" baseline="0">
            <a:solidFill>
              <a:schemeClr val="bg1">
                <a:lumMod val="50000"/>
              </a:schemeClr>
            </a:solidFill>
          </a:endParaRPr>
        </a:p>
        <a:p>
          <a:pPr marL="171450" lvl="0" indent="-171450">
            <a:buFont typeface="Wingdings" panose="05000000000000000000" pitchFamily="2" charset="2"/>
            <a:buChar char="ü"/>
          </a:pPr>
          <a:r>
            <a:rPr lang="en-US" sz="600" i="1" baseline="0">
              <a:solidFill>
                <a:schemeClr val="bg1">
                  <a:lumMod val="50000"/>
                </a:schemeClr>
              </a:solidFill>
            </a:rPr>
            <a:t>Wash in school for surrounding camp location under evaluation</a:t>
          </a:r>
        </a:p>
        <a:p>
          <a:pPr marL="171450" lvl="0" indent="-171450">
            <a:buFont typeface="Wingdings" panose="05000000000000000000" pitchFamily="2" charset="2"/>
            <a:buChar char="ü"/>
          </a:pPr>
          <a:r>
            <a:rPr lang="en-US" sz="600" i="1" baseline="0">
              <a:solidFill>
                <a:schemeClr val="bg1">
                  <a:lumMod val="50000"/>
                </a:schemeClr>
              </a:solidFill>
            </a:rPr>
            <a:t>Good Water access reported do not report enough closely about safe drinking water remaing low</a:t>
          </a:r>
        </a:p>
        <a:p>
          <a:pPr marL="171450" lvl="0" indent="-171450">
            <a:buFont typeface="Wingdings" panose="05000000000000000000" pitchFamily="2" charset="2"/>
            <a:buChar char="ü"/>
          </a:pPr>
          <a:r>
            <a:rPr lang="en-US" sz="600" i="1" baseline="0">
              <a:solidFill>
                <a:schemeClr val="bg1">
                  <a:lumMod val="50000"/>
                </a:schemeClr>
              </a:solidFill>
            </a:rPr>
            <a:t>Target 20,000 small scale emergency monitored aside </a:t>
          </a:r>
          <a:endParaRPr lang="en-US" sz="600" i="1">
            <a:solidFill>
              <a:schemeClr val="bg1">
                <a:lumMod val="50000"/>
              </a:schemeClr>
            </a:solidFill>
          </a:endParaRPr>
        </a:p>
      </xdr:txBody>
    </xdr:sp>
    <xdr:clientData/>
  </xdr:twoCellAnchor>
  <xdr:twoCellAnchor editAs="oneCell">
    <xdr:from>
      <xdr:col>11</xdr:col>
      <xdr:colOff>38100</xdr:colOff>
      <xdr:row>24</xdr:row>
      <xdr:rowOff>114300</xdr:rowOff>
    </xdr:from>
    <xdr:to>
      <xdr:col>14</xdr:col>
      <xdr:colOff>981075</xdr:colOff>
      <xdr:row>31</xdr:row>
      <xdr:rowOff>85725</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104775</xdr:colOff>
      <xdr:row>19</xdr:row>
      <xdr:rowOff>123824</xdr:rowOff>
    </xdr:from>
    <xdr:to>
      <xdr:col>4</xdr:col>
      <xdr:colOff>352424</xdr:colOff>
      <xdr:row>26</xdr:row>
      <xdr:rowOff>61913</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109536</xdr:colOff>
      <xdr:row>26</xdr:row>
      <xdr:rowOff>109538</xdr:rowOff>
    </xdr:from>
    <xdr:to>
      <xdr:col>5</xdr:col>
      <xdr:colOff>304800</xdr:colOff>
      <xdr:row>33</xdr:row>
      <xdr:rowOff>28576</xdr:rowOff>
    </xdr:to>
    <xdr:graphicFrame macro="">
      <xdr:nvGraphicFramePr>
        <xdr:cNvPr id="18"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114300</xdr:colOff>
      <xdr:row>33</xdr:row>
      <xdr:rowOff>171450</xdr:rowOff>
    </xdr:from>
    <xdr:to>
      <xdr:col>1</xdr:col>
      <xdr:colOff>604837</xdr:colOff>
      <xdr:row>38</xdr:row>
      <xdr:rowOff>176214</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452438</xdr:colOff>
      <xdr:row>38</xdr:row>
      <xdr:rowOff>9524</xdr:rowOff>
    </xdr:from>
    <xdr:to>
      <xdr:col>1</xdr:col>
      <xdr:colOff>266700</xdr:colOff>
      <xdr:row>38</xdr:row>
      <xdr:rowOff>128587</xdr:rowOff>
    </xdr:to>
    <xdr:sp macro="" textlink="'Cluster indicator'!E12">
      <xdr:nvSpPr>
        <xdr:cNvPr id="8" name="TextBox 7"/>
        <xdr:cNvSpPr txBox="1"/>
      </xdr:nvSpPr>
      <xdr:spPr>
        <a:xfrm>
          <a:off x="452438" y="7248524"/>
          <a:ext cx="423862" cy="1190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C630FB4C-A9CF-4FA4-933F-9885606CD943}" type="TxLink">
            <a:rPr lang="en-US" sz="600" b="1" i="0" u="none" strike="noStrike">
              <a:solidFill>
                <a:srgbClr val="000000"/>
              </a:solidFill>
              <a:latin typeface="Calibri"/>
            </a:rPr>
            <a:pPr/>
            <a:t>43,769</a:t>
          </a:fld>
          <a:endParaRPr lang="en-US" sz="600" b="1"/>
        </a:p>
      </xdr:txBody>
    </xdr:sp>
    <xdr:clientData/>
  </xdr:twoCellAnchor>
  <xdr:twoCellAnchor>
    <xdr:from>
      <xdr:col>2</xdr:col>
      <xdr:colOff>76200</xdr:colOff>
      <xdr:row>33</xdr:row>
      <xdr:rowOff>176212</xdr:rowOff>
    </xdr:from>
    <xdr:to>
      <xdr:col>3</xdr:col>
      <xdr:colOff>566737</xdr:colOff>
      <xdr:row>38</xdr:row>
      <xdr:rowOff>180976</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33337</xdr:colOff>
      <xdr:row>33</xdr:row>
      <xdr:rowOff>185737</xdr:rowOff>
    </xdr:from>
    <xdr:to>
      <xdr:col>5</xdr:col>
      <xdr:colOff>523874</xdr:colOff>
      <xdr:row>38</xdr:row>
      <xdr:rowOff>190501</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595313</xdr:colOff>
      <xdr:row>34</xdr:row>
      <xdr:rowOff>0</xdr:rowOff>
    </xdr:from>
    <xdr:to>
      <xdr:col>7</xdr:col>
      <xdr:colOff>476250</xdr:colOff>
      <xdr:row>38</xdr:row>
      <xdr:rowOff>195264</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409575</xdr:colOff>
      <xdr:row>38</xdr:row>
      <xdr:rowOff>23812</xdr:rowOff>
    </xdr:from>
    <xdr:to>
      <xdr:col>3</xdr:col>
      <xdr:colOff>223837</xdr:colOff>
      <xdr:row>38</xdr:row>
      <xdr:rowOff>142875</xdr:rowOff>
    </xdr:to>
    <xdr:sp macro="" textlink="'Cluster indicator'!D54">
      <xdr:nvSpPr>
        <xdr:cNvPr id="22" name="TextBox 21"/>
        <xdr:cNvSpPr txBox="1"/>
      </xdr:nvSpPr>
      <xdr:spPr>
        <a:xfrm>
          <a:off x="1628775" y="7262812"/>
          <a:ext cx="423862" cy="1190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fld id="{2AB9415C-020F-42BB-A239-EF1F33996FC5}" type="TxLink">
            <a:rPr lang="en-US" sz="600" b="1" i="0" u="none" strike="noStrike">
              <a:solidFill>
                <a:srgbClr val="000000"/>
              </a:solidFill>
              <a:latin typeface="Calibri"/>
            </a:rPr>
            <a:pPr/>
            <a:t>85,624</a:t>
          </a:fld>
          <a:endParaRPr lang="en-US" sz="600" b="1"/>
        </a:p>
      </xdr:txBody>
    </xdr:sp>
    <xdr:clientData/>
  </xdr:twoCellAnchor>
  <xdr:twoCellAnchor>
    <xdr:from>
      <xdr:col>6</xdr:col>
      <xdr:colOff>338138</xdr:colOff>
      <xdr:row>38</xdr:row>
      <xdr:rowOff>28575</xdr:rowOff>
    </xdr:from>
    <xdr:to>
      <xdr:col>7</xdr:col>
      <xdr:colOff>152400</xdr:colOff>
      <xdr:row>38</xdr:row>
      <xdr:rowOff>147638</xdr:rowOff>
    </xdr:to>
    <xdr:sp macro="" textlink="'Cluster indicator'!D68">
      <xdr:nvSpPr>
        <xdr:cNvPr id="23" name="TextBox 21"/>
        <xdr:cNvSpPr txBox="1"/>
      </xdr:nvSpPr>
      <xdr:spPr>
        <a:xfrm>
          <a:off x="3995738" y="7267575"/>
          <a:ext cx="423862" cy="1190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fld id="{905C41DC-F653-4825-9021-EDD28F93D8F3}" type="TxLink">
            <a:rPr lang="en-US" sz="600" b="1" i="0" u="none" strike="noStrike">
              <a:solidFill>
                <a:srgbClr val="000000"/>
              </a:solidFill>
              <a:latin typeface="Calibri"/>
            </a:rPr>
            <a:pPr/>
            <a:t>49,868</a:t>
          </a:fld>
          <a:endParaRPr lang="en-US" sz="600" b="1"/>
        </a:p>
      </xdr:txBody>
    </xdr:sp>
    <xdr:clientData/>
  </xdr:twoCellAnchor>
  <xdr:twoCellAnchor editAs="oneCell">
    <xdr:from>
      <xdr:col>0</xdr:col>
      <xdr:colOff>104775</xdr:colOff>
      <xdr:row>13</xdr:row>
      <xdr:rowOff>9525</xdr:rowOff>
    </xdr:from>
    <xdr:to>
      <xdr:col>4</xdr:col>
      <xdr:colOff>85725</xdr:colOff>
      <xdr:row>19</xdr:row>
      <xdr:rowOff>38100</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107156</xdr:colOff>
      <xdr:row>3</xdr:row>
      <xdr:rowOff>130967</xdr:rowOff>
    </xdr:from>
    <xdr:to>
      <xdr:col>4</xdr:col>
      <xdr:colOff>61913</xdr:colOff>
      <xdr:row>12</xdr:row>
      <xdr:rowOff>142874</xdr:rowOff>
    </xdr:to>
    <xdr:sp macro="" textlink="">
      <xdr:nvSpPr>
        <xdr:cNvPr id="25" name="TextBox 24"/>
        <xdr:cNvSpPr txBox="1"/>
      </xdr:nvSpPr>
      <xdr:spPr>
        <a:xfrm>
          <a:off x="107156" y="702467"/>
          <a:ext cx="2393157" cy="1726407"/>
        </a:xfrm>
        <a:prstGeom prst="rect">
          <a:avLst/>
        </a:prstGeom>
        <a:solidFill>
          <a:schemeClr val="accent5">
            <a:lumMod val="20000"/>
            <a:lumOff val="80000"/>
          </a:schemeClr>
        </a:solidFill>
        <a:ln w="9525" cmpd="sng">
          <a:solidFill>
            <a:srgbClr val="098A9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Wingdings" panose="05000000000000000000" pitchFamily="2" charset="2"/>
            <a:buChar char="Ø"/>
          </a:pPr>
          <a:r>
            <a:rPr lang="en-US" sz="700">
              <a:solidFill>
                <a:schemeClr val="dk1"/>
              </a:solidFill>
              <a:effectLst/>
              <a:latin typeface="+mn-lt"/>
              <a:ea typeface="+mn-ea"/>
              <a:cs typeface="+mn-cs"/>
            </a:rPr>
            <a:t>Release of a WASH situation monitoring report in 105 camps out a total of 152</a:t>
          </a:r>
        </a:p>
        <a:p>
          <a:pPr marL="171450" indent="-171450">
            <a:buFont typeface="Wingdings" panose="05000000000000000000" pitchFamily="2" charset="2"/>
            <a:buChar char="Ø"/>
          </a:pPr>
          <a:endParaRPr lang="en-US" sz="700">
            <a:effectLst/>
          </a:endParaRPr>
        </a:p>
        <a:p>
          <a:pPr marL="171450" indent="-171450">
            <a:buFont typeface="Wingdings" panose="05000000000000000000" pitchFamily="2" charset="2"/>
            <a:buChar char="Ø"/>
          </a:pPr>
          <a:r>
            <a:rPr lang="en-US" sz="700">
              <a:solidFill>
                <a:schemeClr val="dk1"/>
              </a:solidFill>
              <a:effectLst/>
              <a:latin typeface="+mn-lt"/>
              <a:ea typeface="+mn-ea"/>
              <a:cs typeface="+mn-cs"/>
            </a:rPr>
            <a:t>Release of a first water quality data report undertook by WASH cluster members and including water quality test of 346 water points</a:t>
          </a:r>
        </a:p>
        <a:p>
          <a:pPr marL="171450" indent="-171450">
            <a:buFont typeface="Wingdings" panose="05000000000000000000" pitchFamily="2" charset="2"/>
            <a:buChar char="Ø"/>
          </a:pPr>
          <a:endParaRPr lang="en-US" sz="700">
            <a:effectLst/>
          </a:endParaRPr>
        </a:p>
        <a:p>
          <a:pPr marL="171450" indent="-171450">
            <a:buFont typeface="Wingdings" panose="05000000000000000000" pitchFamily="2" charset="2"/>
            <a:buChar char="Ø"/>
          </a:pPr>
          <a:r>
            <a:rPr lang="en-US" sz="700">
              <a:solidFill>
                <a:schemeClr val="dk1"/>
              </a:solidFill>
              <a:effectLst/>
              <a:latin typeface="+mn-lt"/>
              <a:ea typeface="+mn-ea"/>
              <a:cs typeface="+mn-cs"/>
            </a:rPr>
            <a:t>Follow up the impact on wash situation of clashes in Mansi township that led to the displacement of 208 HHs in three  IDPs camps,</a:t>
          </a:r>
        </a:p>
        <a:p>
          <a:pPr marL="171450" indent="-171450">
            <a:buFont typeface="Wingdings" panose="05000000000000000000" pitchFamily="2" charset="2"/>
            <a:buChar char="Ø"/>
          </a:pPr>
          <a:endParaRPr lang="en-US" sz="700">
            <a:effectLst/>
          </a:endParaRPr>
        </a:p>
        <a:p>
          <a:pPr marL="171450" indent="-171450">
            <a:buFont typeface="Wingdings" panose="05000000000000000000" pitchFamily="2" charset="2"/>
            <a:buChar char="Ø"/>
          </a:pPr>
          <a:r>
            <a:rPr lang="en-US" sz="700">
              <a:solidFill>
                <a:schemeClr val="dk1"/>
              </a:solidFill>
              <a:effectLst/>
              <a:latin typeface="+mn-lt"/>
              <a:ea typeface="+mn-ea"/>
              <a:cs typeface="+mn-cs"/>
            </a:rPr>
            <a:t>KAP survey carried out by Shalom in Hpakant area with the support of WASH cluster team  and including  407 interviewees</a:t>
          </a:r>
          <a:endParaRPr lang="en-US" sz="700">
            <a:effectLst/>
          </a:endParaRPr>
        </a:p>
        <a:p>
          <a:pPr marL="171450" lvl="0" indent="-171450">
            <a:buFont typeface="Wingdings" panose="05000000000000000000" pitchFamily="2" charset="2"/>
            <a:buChar char="Ø"/>
          </a:pPr>
          <a:endParaRPr lang="en-US" sz="600" baseline="0">
            <a:solidFill>
              <a:schemeClr val="dk1"/>
            </a:solidFill>
            <a:effectLst/>
            <a:latin typeface="+mn-lt"/>
            <a:ea typeface="+mn-ea"/>
            <a:cs typeface="+mn-cs"/>
          </a:endParaRPr>
        </a:p>
        <a:p>
          <a:pPr marL="171450" lvl="0" indent="-171450">
            <a:buFont typeface="Wingdings" panose="05000000000000000000" pitchFamily="2" charset="2"/>
            <a:buChar char="Ø"/>
          </a:pPr>
          <a:endParaRPr lang="en-US" sz="600" baseline="0">
            <a:solidFill>
              <a:schemeClr val="dk1"/>
            </a:solidFill>
            <a:effectLst/>
            <a:latin typeface="+mn-lt"/>
            <a:ea typeface="+mn-ea"/>
            <a:cs typeface="+mn-cs"/>
          </a:endParaRPr>
        </a:p>
      </xdr:txBody>
    </xdr:sp>
    <xdr:clientData/>
  </xdr:twoCellAnchor>
  <xdr:twoCellAnchor editAs="oneCell">
    <xdr:from>
      <xdr:col>11</xdr:col>
      <xdr:colOff>0</xdr:colOff>
      <xdr:row>2</xdr:row>
      <xdr:rowOff>85726</xdr:rowOff>
    </xdr:from>
    <xdr:to>
      <xdr:col>14</xdr:col>
      <xdr:colOff>990601</xdr:colOff>
      <xdr:row>9</xdr:row>
      <xdr:rowOff>47625</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11</xdr:col>
      <xdr:colOff>19050</xdr:colOff>
      <xdr:row>9</xdr:row>
      <xdr:rowOff>161925</xdr:rowOff>
    </xdr:from>
    <xdr:to>
      <xdr:col>14</xdr:col>
      <xdr:colOff>990600</xdr:colOff>
      <xdr:row>16</xdr:row>
      <xdr:rowOff>152400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11</xdr:col>
      <xdr:colOff>19050</xdr:colOff>
      <xdr:row>17</xdr:row>
      <xdr:rowOff>28576</xdr:rowOff>
    </xdr:from>
    <xdr:to>
      <xdr:col>14</xdr:col>
      <xdr:colOff>990600</xdr:colOff>
      <xdr:row>24</xdr:row>
      <xdr:rowOff>0</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28575</xdr:colOff>
      <xdr:row>31</xdr:row>
      <xdr:rowOff>161925</xdr:rowOff>
    </xdr:from>
    <xdr:to>
      <xdr:col>14</xdr:col>
      <xdr:colOff>981075</xdr:colOff>
      <xdr:row>38</xdr:row>
      <xdr:rowOff>142875</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oneCell">
    <xdr:from>
      <xdr:col>4</xdr:col>
      <xdr:colOff>133239</xdr:colOff>
      <xdr:row>2</xdr:row>
      <xdr:rowOff>166688</xdr:rowOff>
    </xdr:from>
    <xdr:to>
      <xdr:col>5</xdr:col>
      <xdr:colOff>543858</xdr:colOff>
      <xdr:row>16</xdr:row>
      <xdr:rowOff>89298</xdr:rowOff>
    </xdr:to>
    <xdr:pic>
      <xdr:nvPicPr>
        <xdr:cNvPr id="27" name="Picture 26"/>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562114" y="547688"/>
          <a:ext cx="1017838" cy="2589610"/>
        </a:xfrm>
        <a:prstGeom prst="rect">
          <a:avLst/>
        </a:prstGeom>
        <a:noFill/>
        <a:ln>
          <a:solidFill>
            <a:schemeClr val="lt1">
              <a:shade val="50000"/>
            </a:schemeClr>
          </a:solidFill>
        </a:ln>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0.34488</cdr:x>
      <cdr:y>0.82919</cdr:y>
    </cdr:from>
    <cdr:to>
      <cdr:x>0.73016</cdr:x>
      <cdr:y>0.95356</cdr:y>
    </cdr:to>
    <cdr:sp macro="" textlink="'Cluster indicator'!$D$61">
      <cdr:nvSpPr>
        <cdr:cNvPr id="2" name="TextBox 21"/>
        <cdr:cNvSpPr txBox="1"/>
      </cdr:nvSpPr>
      <cdr:spPr>
        <a:xfrm xmlns:a="http://schemas.openxmlformats.org/drawingml/2006/main">
          <a:off x="379413" y="793750"/>
          <a:ext cx="423862" cy="11906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73BCBE89-6460-4F7E-813B-9F37582DAAB4}" type="TxLink">
            <a:rPr lang="en-US" sz="600" b="1" i="0" u="none" strike="noStrike">
              <a:solidFill>
                <a:srgbClr val="000000"/>
              </a:solidFill>
              <a:latin typeface="Calibri"/>
            </a:rPr>
            <a:pPr/>
            <a:t>78,162</a:t>
          </a:fld>
          <a:endParaRPr lang="en-US" sz="600" b="1"/>
        </a:p>
      </cdr:txBody>
    </cdr:sp>
  </cdr:relSizeAnchor>
</c:userShapes>
</file>

<file path=xl/drawings/drawing3.xml><?xml version="1.0" encoding="utf-8"?>
<xdr:wsDr xmlns:xdr="http://schemas.openxmlformats.org/drawingml/2006/spreadsheetDrawing" xmlns:a="http://schemas.openxmlformats.org/drawingml/2006/main">
  <xdr:twoCellAnchor>
    <xdr:from>
      <xdr:col>14</xdr:col>
      <xdr:colOff>452437</xdr:colOff>
      <xdr:row>0</xdr:row>
      <xdr:rowOff>357187</xdr:rowOff>
    </xdr:from>
    <xdr:to>
      <xdr:col>20</xdr:col>
      <xdr:colOff>581025</xdr:colOff>
      <xdr:row>31</xdr:row>
      <xdr:rowOff>51448</xdr:rowOff>
    </xdr:to>
    <xdr:grpSp>
      <xdr:nvGrpSpPr>
        <xdr:cNvPr id="34" name="Group 33"/>
        <xdr:cNvGrpSpPr/>
      </xdr:nvGrpSpPr>
      <xdr:grpSpPr>
        <a:xfrm>
          <a:off x="13227843" y="357187"/>
          <a:ext cx="10058401" cy="7111855"/>
          <a:chOff x="21336000" y="0"/>
          <a:chExt cx="10058400" cy="7111855"/>
        </a:xfrm>
      </xdr:grpSpPr>
      <xdr:pic>
        <xdr:nvPicPr>
          <xdr:cNvPr id="19" name="Picture 1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00" y="0"/>
            <a:ext cx="10058400" cy="7111855"/>
          </a:xfrm>
          <a:prstGeom prst="rect">
            <a:avLst/>
          </a:prstGeom>
        </xdr:spPr>
      </xdr:pic>
      <xdr:sp macro="" textlink="">
        <xdr:nvSpPr>
          <xdr:cNvPr id="32" name="Oval 31"/>
          <xdr:cNvSpPr/>
        </xdr:nvSpPr>
        <xdr:spPr>
          <a:xfrm>
            <a:off x="23645813" y="2786063"/>
            <a:ext cx="1012031" cy="702469"/>
          </a:xfrm>
          <a:prstGeom prst="ellipse">
            <a:avLst/>
          </a:prstGeom>
          <a:solidFill>
            <a:schemeClr val="bg1">
              <a:lumMod val="85000"/>
              <a:alpha val="2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0" name="Oval 39"/>
          <xdr:cNvSpPr/>
        </xdr:nvSpPr>
        <xdr:spPr>
          <a:xfrm>
            <a:off x="25084088" y="3071812"/>
            <a:ext cx="800099" cy="616745"/>
          </a:xfrm>
          <a:prstGeom prst="ellipse">
            <a:avLst/>
          </a:prstGeom>
          <a:solidFill>
            <a:schemeClr val="bg1">
              <a:lumMod val="85000"/>
              <a:alpha val="2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3" name="Oval 32"/>
          <xdr:cNvSpPr/>
        </xdr:nvSpPr>
        <xdr:spPr>
          <a:xfrm rot="18880238">
            <a:off x="23568651" y="3616440"/>
            <a:ext cx="1617885" cy="806498"/>
          </a:xfrm>
          <a:prstGeom prst="ellipse">
            <a:avLst/>
          </a:prstGeom>
          <a:solidFill>
            <a:schemeClr val="accent1">
              <a:alpha val="20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2" name="Oval 41"/>
          <xdr:cNvSpPr/>
        </xdr:nvSpPr>
        <xdr:spPr>
          <a:xfrm rot="18880238">
            <a:off x="24430281" y="4571453"/>
            <a:ext cx="1330295" cy="806498"/>
          </a:xfrm>
          <a:prstGeom prst="ellipse">
            <a:avLst/>
          </a:prstGeom>
          <a:solidFill>
            <a:schemeClr val="accent1">
              <a:alpha val="20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3</xdr:col>
      <xdr:colOff>228600</xdr:colOff>
      <xdr:row>497</xdr:row>
      <xdr:rowOff>152400</xdr:rowOff>
    </xdr:from>
    <xdr:to>
      <xdr:col>12</xdr:col>
      <xdr:colOff>455226</xdr:colOff>
      <xdr:row>580</xdr:row>
      <xdr:rowOff>63500</xdr:rowOff>
    </xdr:to>
    <xdr:graphicFrame macro="">
      <xdr:nvGraphicFramePr>
        <xdr:cNvPr id="46" name="Chart 29"/>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114299</xdr:colOff>
      <xdr:row>6</xdr:row>
      <xdr:rowOff>177799</xdr:rowOff>
    </xdr:from>
    <xdr:to>
      <xdr:col>13</xdr:col>
      <xdr:colOff>1997868</xdr:colOff>
      <xdr:row>22</xdr:row>
      <xdr:rowOff>47625</xdr:rowOff>
    </xdr:to>
    <xdr:graphicFrame macro="">
      <xdr:nvGraphicFramePr>
        <xdr:cNvPr id="3" name="Chart 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333375</xdr:colOff>
      <xdr:row>29</xdr:row>
      <xdr:rowOff>12699</xdr:rowOff>
    </xdr:from>
    <xdr:to>
      <xdr:col>14</xdr:col>
      <xdr:colOff>440532</xdr:colOff>
      <xdr:row>46</xdr:row>
      <xdr:rowOff>0</xdr:rowOff>
    </xdr:to>
    <xdr:graphicFrame macro="">
      <xdr:nvGraphicFramePr>
        <xdr:cNvPr id="6" name="Chart 5"/>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5</xdr:col>
      <xdr:colOff>357187</xdr:colOff>
      <xdr:row>56</xdr:row>
      <xdr:rowOff>139699</xdr:rowOff>
    </xdr:from>
    <xdr:to>
      <xdr:col>13</xdr:col>
      <xdr:colOff>2524126</xdr:colOff>
      <xdr:row>74</xdr:row>
      <xdr:rowOff>166686</xdr:rowOff>
    </xdr:to>
    <xdr:graphicFrame macro="">
      <xdr:nvGraphicFramePr>
        <xdr:cNvPr id="7"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6</xdr:col>
      <xdr:colOff>76198</xdr:colOff>
      <xdr:row>111</xdr:row>
      <xdr:rowOff>155574</xdr:rowOff>
    </xdr:from>
    <xdr:to>
      <xdr:col>13</xdr:col>
      <xdr:colOff>2166937</xdr:colOff>
      <xdr:row>125</xdr:row>
      <xdr:rowOff>154781</xdr:rowOff>
    </xdr:to>
    <xdr:graphicFrame macro="">
      <xdr:nvGraphicFramePr>
        <xdr:cNvPr id="12" name="Chart 1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57149</xdr:colOff>
      <xdr:row>130</xdr:row>
      <xdr:rowOff>114298</xdr:rowOff>
    </xdr:from>
    <xdr:to>
      <xdr:col>13</xdr:col>
      <xdr:colOff>2416968</xdr:colOff>
      <xdr:row>143</xdr:row>
      <xdr:rowOff>130967</xdr:rowOff>
    </xdr:to>
    <xdr:graphicFrame macro="">
      <xdr:nvGraphicFramePr>
        <xdr:cNvPr id="13" name="Chart 1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6</xdr:col>
      <xdr:colOff>295275</xdr:colOff>
      <xdr:row>249</xdr:row>
      <xdr:rowOff>136525</xdr:rowOff>
    </xdr:from>
    <xdr:to>
      <xdr:col>13</xdr:col>
      <xdr:colOff>2345531</xdr:colOff>
      <xdr:row>267</xdr:row>
      <xdr:rowOff>11906</xdr:rowOff>
    </xdr:to>
    <xdr:graphicFrame macro="">
      <xdr:nvGraphicFramePr>
        <xdr:cNvPr id="17" name="Chart 1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6</xdr:col>
      <xdr:colOff>295274</xdr:colOff>
      <xdr:row>297</xdr:row>
      <xdr:rowOff>101600</xdr:rowOff>
    </xdr:from>
    <xdr:to>
      <xdr:col>13</xdr:col>
      <xdr:colOff>2333625</xdr:colOff>
      <xdr:row>311</xdr:row>
      <xdr:rowOff>47625</xdr:rowOff>
    </xdr:to>
    <xdr:graphicFrame macro="">
      <xdr:nvGraphicFramePr>
        <xdr:cNvPr id="20" name="Chart 19"/>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6</xdr:col>
      <xdr:colOff>276225</xdr:colOff>
      <xdr:row>346</xdr:row>
      <xdr:rowOff>9525</xdr:rowOff>
    </xdr:from>
    <xdr:to>
      <xdr:col>13</xdr:col>
      <xdr:colOff>2007394</xdr:colOff>
      <xdr:row>365</xdr:row>
      <xdr:rowOff>47625</xdr:rowOff>
    </xdr:to>
    <xdr:graphicFrame macro="">
      <xdr:nvGraphicFramePr>
        <xdr:cNvPr id="21" name="Chart 20"/>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6</xdr:col>
      <xdr:colOff>200025</xdr:colOff>
      <xdr:row>374</xdr:row>
      <xdr:rowOff>146050</xdr:rowOff>
    </xdr:from>
    <xdr:to>
      <xdr:col>13</xdr:col>
      <xdr:colOff>2016919</xdr:colOff>
      <xdr:row>392</xdr:row>
      <xdr:rowOff>107156</xdr:rowOff>
    </xdr:to>
    <xdr:graphicFrame macro="">
      <xdr:nvGraphicFramePr>
        <xdr:cNvPr id="22" name="Chart 2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6</xdr:col>
      <xdr:colOff>266700</xdr:colOff>
      <xdr:row>397</xdr:row>
      <xdr:rowOff>95250</xdr:rowOff>
    </xdr:from>
    <xdr:to>
      <xdr:col>13</xdr:col>
      <xdr:colOff>1978819</xdr:colOff>
      <xdr:row>413</xdr:row>
      <xdr:rowOff>57150</xdr:rowOff>
    </xdr:to>
    <xdr:graphicFrame macro="">
      <xdr:nvGraphicFramePr>
        <xdr:cNvPr id="23" name="Chart 2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6</xdr:col>
      <xdr:colOff>247650</xdr:colOff>
      <xdr:row>418</xdr:row>
      <xdr:rowOff>25400</xdr:rowOff>
    </xdr:from>
    <xdr:to>
      <xdr:col>13</xdr:col>
      <xdr:colOff>1838325</xdr:colOff>
      <xdr:row>434</xdr:row>
      <xdr:rowOff>114300</xdr:rowOff>
    </xdr:to>
    <xdr:graphicFrame macro="">
      <xdr:nvGraphicFramePr>
        <xdr:cNvPr id="24" name="Chart 2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6</xdr:col>
      <xdr:colOff>219075</xdr:colOff>
      <xdr:row>436</xdr:row>
      <xdr:rowOff>163513</xdr:rowOff>
    </xdr:from>
    <xdr:to>
      <xdr:col>13</xdr:col>
      <xdr:colOff>1833563</xdr:colOff>
      <xdr:row>450</xdr:row>
      <xdr:rowOff>130968</xdr:rowOff>
    </xdr:to>
    <xdr:graphicFrame macro="">
      <xdr:nvGraphicFramePr>
        <xdr:cNvPr id="25" name="Chart 2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oneCell">
    <xdr:from>
      <xdr:col>6</xdr:col>
      <xdr:colOff>474239</xdr:colOff>
      <xdr:row>456</xdr:row>
      <xdr:rowOff>133350</xdr:rowOff>
    </xdr:from>
    <xdr:to>
      <xdr:col>13</xdr:col>
      <xdr:colOff>1964532</xdr:colOff>
      <xdr:row>473</xdr:row>
      <xdr:rowOff>59532</xdr:rowOff>
    </xdr:to>
    <xdr:graphicFrame macro="">
      <xdr:nvGraphicFramePr>
        <xdr:cNvPr id="27" name="Chart 2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oneCell">
    <xdr:from>
      <xdr:col>5</xdr:col>
      <xdr:colOff>521494</xdr:colOff>
      <xdr:row>173</xdr:row>
      <xdr:rowOff>113508</xdr:rowOff>
    </xdr:from>
    <xdr:to>
      <xdr:col>13</xdr:col>
      <xdr:colOff>3132180</xdr:colOff>
      <xdr:row>181</xdr:row>
      <xdr:rowOff>166688</xdr:rowOff>
    </xdr:to>
    <xdr:graphicFrame macro="">
      <xdr:nvGraphicFramePr>
        <xdr:cNvPr id="4" name="Chart 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oneCell">
    <xdr:from>
      <xdr:col>6</xdr:col>
      <xdr:colOff>141287</xdr:colOff>
      <xdr:row>313</xdr:row>
      <xdr:rowOff>71437</xdr:rowOff>
    </xdr:from>
    <xdr:to>
      <xdr:col>14</xdr:col>
      <xdr:colOff>951927</xdr:colOff>
      <xdr:row>322</xdr:row>
      <xdr:rowOff>59531</xdr:rowOff>
    </xdr:to>
    <xdr:graphicFrame macro="">
      <xdr:nvGraphicFramePr>
        <xdr:cNvPr id="8" name="Chart 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oneCell">
    <xdr:from>
      <xdr:col>6</xdr:col>
      <xdr:colOff>155573</xdr:colOff>
      <xdr:row>585</xdr:row>
      <xdr:rowOff>3175</xdr:rowOff>
    </xdr:from>
    <xdr:to>
      <xdr:col>13</xdr:col>
      <xdr:colOff>2074069</xdr:colOff>
      <xdr:row>600</xdr:row>
      <xdr:rowOff>180975</xdr:rowOff>
    </xdr:to>
    <xdr:graphicFrame macro="">
      <xdr:nvGraphicFramePr>
        <xdr:cNvPr id="10" name="Chart 9"/>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oneCell">
    <xdr:from>
      <xdr:col>6</xdr:col>
      <xdr:colOff>133349</xdr:colOff>
      <xdr:row>607</xdr:row>
      <xdr:rowOff>31750</xdr:rowOff>
    </xdr:from>
    <xdr:to>
      <xdr:col>13</xdr:col>
      <xdr:colOff>2083595</xdr:colOff>
      <xdr:row>621</xdr:row>
      <xdr:rowOff>107950</xdr:rowOff>
    </xdr:to>
    <xdr:graphicFrame macro="">
      <xdr:nvGraphicFramePr>
        <xdr:cNvPr id="11" name="Chart 10"/>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oneCell">
    <xdr:from>
      <xdr:col>6</xdr:col>
      <xdr:colOff>184148</xdr:colOff>
      <xdr:row>624</xdr:row>
      <xdr:rowOff>0</xdr:rowOff>
    </xdr:from>
    <xdr:to>
      <xdr:col>13</xdr:col>
      <xdr:colOff>2045493</xdr:colOff>
      <xdr:row>638</xdr:row>
      <xdr:rowOff>76200</xdr:rowOff>
    </xdr:to>
    <xdr:graphicFrame macro="">
      <xdr:nvGraphicFramePr>
        <xdr:cNvPr id="18" name="Chart 1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oneCell">
    <xdr:from>
      <xdr:col>6</xdr:col>
      <xdr:colOff>209548</xdr:colOff>
      <xdr:row>646</xdr:row>
      <xdr:rowOff>104774</xdr:rowOff>
    </xdr:from>
    <xdr:to>
      <xdr:col>13</xdr:col>
      <xdr:colOff>2166937</xdr:colOff>
      <xdr:row>667</xdr:row>
      <xdr:rowOff>47625</xdr:rowOff>
    </xdr:to>
    <xdr:graphicFrame macro="">
      <xdr:nvGraphicFramePr>
        <xdr:cNvPr id="26" name="Chart 25"/>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editAs="oneCell">
    <xdr:from>
      <xdr:col>6</xdr:col>
      <xdr:colOff>260348</xdr:colOff>
      <xdr:row>674</xdr:row>
      <xdr:rowOff>101600</xdr:rowOff>
    </xdr:from>
    <xdr:to>
      <xdr:col>13</xdr:col>
      <xdr:colOff>2007393</xdr:colOff>
      <xdr:row>688</xdr:row>
      <xdr:rowOff>177800</xdr:rowOff>
    </xdr:to>
    <xdr:graphicFrame macro="">
      <xdr:nvGraphicFramePr>
        <xdr:cNvPr id="29" name="Chart 28"/>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oneCell">
    <xdr:from>
      <xdr:col>6</xdr:col>
      <xdr:colOff>257175</xdr:colOff>
      <xdr:row>694</xdr:row>
      <xdr:rowOff>165100</xdr:rowOff>
    </xdr:from>
    <xdr:to>
      <xdr:col>13</xdr:col>
      <xdr:colOff>2055019</xdr:colOff>
      <xdr:row>709</xdr:row>
      <xdr:rowOff>171450</xdr:rowOff>
    </xdr:to>
    <xdr:graphicFrame macro="">
      <xdr:nvGraphicFramePr>
        <xdr:cNvPr id="30" name="Chart 29"/>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5</xdr:col>
      <xdr:colOff>609599</xdr:colOff>
      <xdr:row>154</xdr:row>
      <xdr:rowOff>133350</xdr:rowOff>
    </xdr:from>
    <xdr:to>
      <xdr:col>13</xdr:col>
      <xdr:colOff>1750219</xdr:colOff>
      <xdr:row>169</xdr:row>
      <xdr:rowOff>19050</xdr:rowOff>
    </xdr:to>
    <xdr:graphicFrame macro="">
      <xdr:nvGraphicFramePr>
        <xdr:cNvPr id="31" name="Chart 30"/>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1</xdr:col>
      <xdr:colOff>1000126</xdr:colOff>
      <xdr:row>226</xdr:row>
      <xdr:rowOff>130969</xdr:rowOff>
    </xdr:from>
    <xdr:to>
      <xdr:col>12</xdr:col>
      <xdr:colOff>207169</xdr:colOff>
      <xdr:row>245</xdr:row>
      <xdr:rowOff>26194</xdr:rowOff>
    </xdr:to>
    <xdr:graphicFrame macro="">
      <xdr:nvGraphicFramePr>
        <xdr:cNvPr id="14" name="Chart 1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editAs="oneCell">
    <xdr:from>
      <xdr:col>6</xdr:col>
      <xdr:colOff>107156</xdr:colOff>
      <xdr:row>325</xdr:row>
      <xdr:rowOff>35718</xdr:rowOff>
    </xdr:from>
    <xdr:to>
      <xdr:col>14</xdr:col>
      <xdr:colOff>1379635</xdr:colOff>
      <xdr:row>340</xdr:row>
      <xdr:rowOff>35718</xdr:rowOff>
    </xdr:to>
    <xdr:graphicFrame macro="">
      <xdr:nvGraphicFramePr>
        <xdr:cNvPr id="16" name="Chart 15"/>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editAs="oneCell">
    <xdr:from>
      <xdr:col>0</xdr:col>
      <xdr:colOff>552449</xdr:colOff>
      <xdr:row>79</xdr:row>
      <xdr:rowOff>152400</xdr:rowOff>
    </xdr:from>
    <xdr:to>
      <xdr:col>23</xdr:col>
      <xdr:colOff>352425</xdr:colOff>
      <xdr:row>103</xdr:row>
      <xdr:rowOff>47626</xdr:rowOff>
    </xdr:to>
    <xdr:graphicFrame macro="">
      <xdr:nvGraphicFramePr>
        <xdr:cNvPr id="35" name="Chart 3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editAs="oneCell">
    <xdr:from>
      <xdr:col>6</xdr:col>
      <xdr:colOff>304799</xdr:colOff>
      <xdr:row>278</xdr:row>
      <xdr:rowOff>76200</xdr:rowOff>
    </xdr:from>
    <xdr:to>
      <xdr:col>13</xdr:col>
      <xdr:colOff>2264568</xdr:colOff>
      <xdr:row>288</xdr:row>
      <xdr:rowOff>38100</xdr:rowOff>
    </xdr:to>
    <xdr:graphicFrame macro="">
      <xdr:nvGraphicFramePr>
        <xdr:cNvPr id="5" name="Chart 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editAs="oneCell">
    <xdr:from>
      <xdr:col>6</xdr:col>
      <xdr:colOff>371475</xdr:colOff>
      <xdr:row>191</xdr:row>
      <xdr:rowOff>19049</xdr:rowOff>
    </xdr:from>
    <xdr:to>
      <xdr:col>13</xdr:col>
      <xdr:colOff>2216944</xdr:colOff>
      <xdr:row>212</xdr:row>
      <xdr:rowOff>180974</xdr:rowOff>
    </xdr:to>
    <xdr:graphicFrame macro="">
      <xdr:nvGraphicFramePr>
        <xdr:cNvPr id="9" name="Chart 8"/>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editAs="oneCell">
    <xdr:from>
      <xdr:col>6</xdr:col>
      <xdr:colOff>300908</xdr:colOff>
      <xdr:row>711</xdr:row>
      <xdr:rowOff>130969</xdr:rowOff>
    </xdr:from>
    <xdr:to>
      <xdr:col>13</xdr:col>
      <xdr:colOff>2410994</xdr:colOff>
      <xdr:row>733</xdr:row>
      <xdr:rowOff>95250</xdr:rowOff>
    </xdr:to>
    <xdr:graphicFrame macro="">
      <xdr:nvGraphicFramePr>
        <xdr:cNvPr id="28" name="Chart 2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15</xdr:col>
      <xdr:colOff>1023937</xdr:colOff>
      <xdr:row>8</xdr:row>
      <xdr:rowOff>23811</xdr:rowOff>
    </xdr:from>
    <xdr:to>
      <xdr:col>16</xdr:col>
      <xdr:colOff>423862</xdr:colOff>
      <xdr:row>9</xdr:row>
      <xdr:rowOff>157161</xdr:rowOff>
    </xdr:to>
    <xdr:sp macro="" textlink="">
      <xdr:nvSpPr>
        <xdr:cNvPr id="37" name="Text Box 2"/>
        <xdr:cNvSpPr txBox="1">
          <a:spLocks noChangeArrowheads="1"/>
        </xdr:cNvSpPr>
      </xdr:nvSpPr>
      <xdr:spPr bwMode="auto">
        <a:xfrm>
          <a:off x="16764000" y="2869405"/>
          <a:ext cx="781050" cy="323850"/>
        </a:xfrm>
        <a:prstGeom prst="rect">
          <a:avLst/>
        </a:prstGeom>
        <a:noFill/>
        <a:ln w="9525">
          <a:noFill/>
          <a:miter lim="800000"/>
          <a:headEnd/>
          <a:tailEnd/>
        </a:ln>
        <a:effectLst/>
      </xdr:spPr>
      <xdr:txBody>
        <a:bodyPr rot="0" vert="horz" wrap="square" lIns="91440" tIns="45720" rIns="91440" bIns="45720" anchor="t" anchorCtr="0">
          <a:noAutofit/>
        </a:bodyPr>
        <a:lstStyle/>
        <a:p>
          <a:pPr marL="0" marR="0">
            <a:lnSpc>
              <a:spcPct val="115000"/>
            </a:lnSpc>
            <a:spcBef>
              <a:spcPts val="0"/>
            </a:spcBef>
            <a:spcAft>
              <a:spcPts val="1000"/>
            </a:spcAft>
          </a:pPr>
          <a:r>
            <a:rPr lang="en-GB" sz="1100" b="1">
              <a:effectLst>
                <a:glow rad="101600">
                  <a:schemeClr val="accent5">
                    <a:satMod val="175000"/>
                    <a:alpha val="40000"/>
                  </a:schemeClr>
                </a:glow>
              </a:effectLst>
              <a:latin typeface="Calibri" panose="020F0502020204030204" pitchFamily="34" charset="0"/>
              <a:ea typeface="Calibri" panose="020F0502020204030204" pitchFamily="34" charset="0"/>
              <a:cs typeface="Times New Roman" panose="02020603050405020304" pitchFamily="18" charset="0"/>
            </a:rPr>
            <a:t>Cluster 1</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16</xdr:col>
      <xdr:colOff>1023937</xdr:colOff>
      <xdr:row>9</xdr:row>
      <xdr:rowOff>154779</xdr:rowOff>
    </xdr:from>
    <xdr:to>
      <xdr:col>16</xdr:col>
      <xdr:colOff>1804987</xdr:colOff>
      <xdr:row>11</xdr:row>
      <xdr:rowOff>97629</xdr:rowOff>
    </xdr:to>
    <xdr:sp macro="" textlink="">
      <xdr:nvSpPr>
        <xdr:cNvPr id="38" name="Text Box 2"/>
        <xdr:cNvSpPr txBox="1">
          <a:spLocks noChangeArrowheads="1"/>
        </xdr:cNvSpPr>
      </xdr:nvSpPr>
      <xdr:spPr bwMode="auto">
        <a:xfrm>
          <a:off x="18145125" y="3190873"/>
          <a:ext cx="781050" cy="323850"/>
        </a:xfrm>
        <a:prstGeom prst="rect">
          <a:avLst/>
        </a:prstGeom>
        <a:noFill/>
        <a:ln w="9525">
          <a:noFill/>
          <a:miter lim="800000"/>
          <a:headEnd/>
          <a:tailEnd/>
        </a:ln>
        <a:effectLst/>
      </xdr:spPr>
      <xdr:txBody>
        <a:bodyPr rot="0" vert="horz" wrap="square" lIns="91440" tIns="45720" rIns="91440" bIns="45720" anchor="t" anchorCtr="0">
          <a:noAutofit/>
        </a:bodyPr>
        <a:lstStyle/>
        <a:p>
          <a:pPr marL="0" marR="0">
            <a:lnSpc>
              <a:spcPct val="115000"/>
            </a:lnSpc>
            <a:spcBef>
              <a:spcPts val="0"/>
            </a:spcBef>
            <a:spcAft>
              <a:spcPts val="1000"/>
            </a:spcAft>
          </a:pPr>
          <a:r>
            <a:rPr lang="en-GB" sz="1100" b="1">
              <a:effectLst>
                <a:glow rad="101600">
                  <a:schemeClr val="accent5">
                    <a:satMod val="175000"/>
                    <a:alpha val="40000"/>
                  </a:schemeClr>
                </a:glow>
              </a:effectLst>
              <a:latin typeface="Calibri" panose="020F0502020204030204" pitchFamily="34" charset="0"/>
              <a:ea typeface="Calibri" panose="020F0502020204030204" pitchFamily="34" charset="0"/>
              <a:cs typeface="Times New Roman" panose="02020603050405020304" pitchFamily="18" charset="0"/>
            </a:rPr>
            <a:t>Cluster 2</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15</xdr:col>
      <xdr:colOff>1176338</xdr:colOff>
      <xdr:row>13</xdr:row>
      <xdr:rowOff>176211</xdr:rowOff>
    </xdr:from>
    <xdr:to>
      <xdr:col>16</xdr:col>
      <xdr:colOff>576263</xdr:colOff>
      <xdr:row>15</xdr:row>
      <xdr:rowOff>119061</xdr:rowOff>
    </xdr:to>
    <xdr:sp macro="" textlink="">
      <xdr:nvSpPr>
        <xdr:cNvPr id="39" name="Text Box 2"/>
        <xdr:cNvSpPr txBox="1">
          <a:spLocks noChangeArrowheads="1"/>
        </xdr:cNvSpPr>
      </xdr:nvSpPr>
      <xdr:spPr bwMode="auto">
        <a:xfrm>
          <a:off x="16916401" y="4164805"/>
          <a:ext cx="781050" cy="323850"/>
        </a:xfrm>
        <a:prstGeom prst="rect">
          <a:avLst/>
        </a:prstGeom>
        <a:noFill/>
        <a:ln w="9525">
          <a:noFill/>
          <a:miter lim="800000"/>
          <a:headEnd/>
          <a:tailEnd/>
        </a:ln>
        <a:effectLst/>
      </xdr:spPr>
      <xdr:txBody>
        <a:bodyPr rot="0" vert="horz" wrap="square" lIns="91440" tIns="45720" rIns="91440" bIns="45720" anchor="t" anchorCtr="0">
          <a:noAutofit/>
        </a:bodyPr>
        <a:lstStyle/>
        <a:p>
          <a:pPr marL="0" marR="0">
            <a:lnSpc>
              <a:spcPct val="115000"/>
            </a:lnSpc>
            <a:spcBef>
              <a:spcPts val="0"/>
            </a:spcBef>
            <a:spcAft>
              <a:spcPts val="1000"/>
            </a:spcAft>
          </a:pPr>
          <a:r>
            <a:rPr lang="en-GB" sz="1100" b="1">
              <a:effectLst>
                <a:glow rad="101600">
                  <a:schemeClr val="accent5">
                    <a:satMod val="175000"/>
                    <a:alpha val="40000"/>
                  </a:schemeClr>
                </a:glow>
              </a:effectLst>
              <a:latin typeface="Calibri" panose="020F0502020204030204" pitchFamily="34" charset="0"/>
              <a:ea typeface="Calibri" panose="020F0502020204030204" pitchFamily="34" charset="0"/>
              <a:cs typeface="Times New Roman" panose="02020603050405020304" pitchFamily="18" charset="0"/>
            </a:rPr>
            <a:t>Cluster 3</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15000"/>
            </a:lnSpc>
            <a:spcBef>
              <a:spcPts val="0"/>
            </a:spcBef>
            <a:spcAft>
              <a:spcPts val="1000"/>
            </a:spcAft>
          </a:pPr>
          <a:r>
            <a:rPr lang="en-GB" sz="1100" b="1">
              <a:effectLst>
                <a:glow rad="101600">
                  <a:schemeClr val="accent5">
                    <a:satMod val="175000"/>
                    <a:alpha val="40000"/>
                  </a:schemeClr>
                </a:glow>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16</xdr:col>
      <xdr:colOff>571499</xdr:colOff>
      <xdr:row>17</xdr:row>
      <xdr:rowOff>166686</xdr:rowOff>
    </xdr:from>
    <xdr:to>
      <xdr:col>16</xdr:col>
      <xdr:colOff>1352549</xdr:colOff>
      <xdr:row>19</xdr:row>
      <xdr:rowOff>109536</xdr:rowOff>
    </xdr:to>
    <xdr:sp macro="" textlink="">
      <xdr:nvSpPr>
        <xdr:cNvPr id="41" name="Text Box 2"/>
        <xdr:cNvSpPr txBox="1">
          <a:spLocks noChangeArrowheads="1"/>
        </xdr:cNvSpPr>
      </xdr:nvSpPr>
      <xdr:spPr bwMode="auto">
        <a:xfrm>
          <a:off x="17692687" y="4917280"/>
          <a:ext cx="781050" cy="323850"/>
        </a:xfrm>
        <a:prstGeom prst="rect">
          <a:avLst/>
        </a:prstGeom>
        <a:noFill/>
        <a:ln w="9525">
          <a:noFill/>
          <a:miter lim="800000"/>
          <a:headEnd/>
          <a:tailEnd/>
        </a:ln>
        <a:effectLst/>
      </xdr:spPr>
      <xdr:txBody>
        <a:bodyPr rot="0" vert="horz" wrap="square" lIns="91440" tIns="45720" rIns="91440" bIns="45720" anchor="t" anchorCtr="0">
          <a:noAutofit/>
        </a:bodyPr>
        <a:lstStyle/>
        <a:p>
          <a:pPr marL="0" marR="0">
            <a:lnSpc>
              <a:spcPct val="115000"/>
            </a:lnSpc>
            <a:spcBef>
              <a:spcPts val="0"/>
            </a:spcBef>
            <a:spcAft>
              <a:spcPts val="1000"/>
            </a:spcAft>
          </a:pPr>
          <a:r>
            <a:rPr lang="en-GB" sz="1100" b="1">
              <a:effectLst>
                <a:glow rad="101600">
                  <a:schemeClr val="accent5">
                    <a:satMod val="175000"/>
                    <a:alpha val="40000"/>
                  </a:schemeClr>
                </a:glow>
              </a:effectLst>
              <a:latin typeface="Calibri" panose="020F0502020204030204" pitchFamily="34" charset="0"/>
              <a:ea typeface="Calibri" panose="020F0502020204030204" pitchFamily="34" charset="0"/>
              <a:cs typeface="Times New Roman" panose="02020603050405020304" pitchFamily="18" charset="0"/>
            </a:rPr>
            <a:t>Cluster 4</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15000"/>
            </a:lnSpc>
            <a:spcBef>
              <a:spcPts val="0"/>
            </a:spcBef>
            <a:spcAft>
              <a:spcPts val="1000"/>
            </a:spcAft>
          </a:pPr>
          <a:r>
            <a:rPr lang="en-GB" sz="1100" b="1">
              <a:effectLst>
                <a:glow rad="101600">
                  <a:schemeClr val="accent5">
                    <a:satMod val="175000"/>
                    <a:alpha val="40000"/>
                  </a:schemeClr>
                </a:glow>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741680</xdr:colOff>
      <xdr:row>4</xdr:row>
      <xdr:rowOff>10160</xdr:rowOff>
    </xdr:from>
    <xdr:to>
      <xdr:col>13</xdr:col>
      <xdr:colOff>373380</xdr:colOff>
      <xdr:row>21</xdr:row>
      <xdr:rowOff>147320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767080</xdr:colOff>
      <xdr:row>134</xdr:row>
      <xdr:rowOff>147320</xdr:rowOff>
    </xdr:from>
    <xdr:to>
      <xdr:col>12</xdr:col>
      <xdr:colOff>444500</xdr:colOff>
      <xdr:row>145</xdr:row>
      <xdr:rowOff>172720</xdr:rowOff>
    </xdr:to>
    <xdr:graphicFrame macro="">
      <xdr:nvGraphicFramePr>
        <xdr:cNvPr id="3" name="Chart 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139700</xdr:colOff>
      <xdr:row>148</xdr:row>
      <xdr:rowOff>199390</xdr:rowOff>
    </xdr:from>
    <xdr:to>
      <xdr:col>15</xdr:col>
      <xdr:colOff>627380</xdr:colOff>
      <xdr:row>160</xdr:row>
      <xdr:rowOff>149860</xdr:rowOff>
    </xdr:to>
    <xdr:graphicFrame macro="">
      <xdr:nvGraphicFramePr>
        <xdr:cNvPr id="4" name="Chart 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91440</xdr:colOff>
      <xdr:row>165</xdr:row>
      <xdr:rowOff>125730</xdr:rowOff>
    </xdr:from>
    <xdr:to>
      <xdr:col>16</xdr:col>
      <xdr:colOff>63500</xdr:colOff>
      <xdr:row>178</xdr:row>
      <xdr:rowOff>63500</xdr:rowOff>
    </xdr:to>
    <xdr:graphicFrame macro="">
      <xdr:nvGraphicFramePr>
        <xdr:cNvPr id="5" name="Chart 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782955</xdr:colOff>
      <xdr:row>104</xdr:row>
      <xdr:rowOff>12700</xdr:rowOff>
    </xdr:from>
    <xdr:to>
      <xdr:col>12</xdr:col>
      <xdr:colOff>482600</xdr:colOff>
      <xdr:row>117</xdr:row>
      <xdr:rowOff>101600</xdr:rowOff>
    </xdr:to>
    <xdr:graphicFrame macro="">
      <xdr:nvGraphicFramePr>
        <xdr:cNvPr id="6" name="Chart 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635000</xdr:colOff>
      <xdr:row>52</xdr:row>
      <xdr:rowOff>111760</xdr:rowOff>
    </xdr:from>
    <xdr:to>
      <xdr:col>13</xdr:col>
      <xdr:colOff>38100</xdr:colOff>
      <xdr:row>62</xdr:row>
      <xdr:rowOff>76200</xdr:rowOff>
    </xdr:to>
    <xdr:graphicFrame macro="">
      <xdr:nvGraphicFramePr>
        <xdr:cNvPr id="7"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2717800</xdr:colOff>
      <xdr:row>73</xdr:row>
      <xdr:rowOff>114934</xdr:rowOff>
    </xdr:from>
    <xdr:to>
      <xdr:col>12</xdr:col>
      <xdr:colOff>330200</xdr:colOff>
      <xdr:row>86</xdr:row>
      <xdr:rowOff>152399</xdr:rowOff>
    </xdr:to>
    <xdr:graphicFrame macro="">
      <xdr:nvGraphicFramePr>
        <xdr:cNvPr id="8" name="Chart 15"/>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533400</xdr:colOff>
      <xdr:row>89</xdr:row>
      <xdr:rowOff>101600</xdr:rowOff>
    </xdr:from>
    <xdr:to>
      <xdr:col>12</xdr:col>
      <xdr:colOff>370840</xdr:colOff>
      <xdr:row>101</xdr:row>
      <xdr:rowOff>30480</xdr:rowOff>
    </xdr:to>
    <xdr:graphicFrame macro="">
      <xdr:nvGraphicFramePr>
        <xdr:cNvPr id="9" name="Chart 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3</xdr:col>
      <xdr:colOff>779780</xdr:colOff>
      <xdr:row>120</xdr:row>
      <xdr:rowOff>10160</xdr:rowOff>
    </xdr:from>
    <xdr:to>
      <xdr:col>12</xdr:col>
      <xdr:colOff>421640</xdr:colOff>
      <xdr:row>134</xdr:row>
      <xdr:rowOff>55880</xdr:rowOff>
    </xdr:to>
    <xdr:graphicFrame macro="">
      <xdr:nvGraphicFramePr>
        <xdr:cNvPr id="10" name="Chart 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3</xdr:col>
      <xdr:colOff>751840</xdr:colOff>
      <xdr:row>27</xdr:row>
      <xdr:rowOff>497840</xdr:rowOff>
    </xdr:from>
    <xdr:to>
      <xdr:col>13</xdr:col>
      <xdr:colOff>81280</xdr:colOff>
      <xdr:row>49</xdr:row>
      <xdr:rowOff>128905</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OD%20270/AppData/Roaming/Microsoft/Excel/AppData/Local/Temp/notesC2BC19/15-10-2013_4W_Wash_Matrix_Summary_Rakhin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Database"/>
      <sheetName val="Analysis"/>
      <sheetName val="List"/>
      <sheetName val="CalculateSheet"/>
      <sheetName val="temp Database"/>
    </sheetNames>
    <sheetDataSet>
      <sheetData sheetId="0"/>
      <sheetData sheetId="1"/>
      <sheetData sheetId="2"/>
      <sheetData sheetId="3">
        <row r="3">
          <cell r="B3" t="str">
            <v>Yes</v>
          </cell>
        </row>
        <row r="4">
          <cell r="B4" t="str">
            <v>No</v>
          </cell>
        </row>
        <row r="5">
          <cell r="B5" t="str">
            <v>Never deployed</v>
          </cell>
        </row>
        <row r="6">
          <cell r="B6" t="str">
            <v>Done</v>
          </cell>
        </row>
      </sheetData>
      <sheetData sheetId="4"/>
      <sheetData sheetId="5"/>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Thein Tun Hlaing" refreshedDate="42291.537606597223" createdVersion="5" refreshedVersion="5" minRefreshableVersion="3" recordCount="175">
  <cacheSource type="worksheet">
    <worksheetSource ref="B4:CP179" sheet="Database"/>
  </cacheSource>
  <cacheFields count="94">
    <cacheField name="Township" numFmtId="0">
      <sharedItems count="20">
        <s v="Bhamo"/>
        <s v="Chipwi"/>
        <s v="Hpakan"/>
        <s v="Hseni"/>
        <s v="Khaunglanhpu"/>
        <s v="Kutkai"/>
        <s v="Mansi"/>
        <s v="Manton"/>
        <s v="Mogaung"/>
        <s v="Mohnyin"/>
        <s v="Momauk"/>
        <s v="Muse"/>
        <s v="Myitkyina"/>
        <s v="Namkham"/>
        <s v="Namtu"/>
        <s v="Puta-O"/>
        <s v="Shwegu"/>
        <s v="Waingmaw"/>
        <s v="Machanbaw" u="1"/>
        <s v="Sumprabum" u="1"/>
      </sharedItems>
    </cacheField>
    <cacheField name="Camp_P_Code" numFmtId="0">
      <sharedItems containsBlank="1"/>
    </cacheField>
    <cacheField name="Zoning cluster location" numFmtId="0">
      <sharedItems count="10">
        <s v="Cluster 4"/>
        <s v="Cluster 10"/>
        <s v="Cluster 1"/>
        <s v="Cluster 8"/>
        <s v="Cluster 6"/>
        <s v="Cluster 7"/>
        <s v="Cluster 9"/>
        <s v="Cluster 3"/>
        <s v="Cluster 5"/>
        <s v="Cluster 2"/>
      </sharedItems>
    </cacheField>
    <cacheField name="Site" numFmtId="0">
      <sharedItems count="195">
        <s v="AD-2000 Extension camp"/>
        <s v="AD-2000 Tharthana Compound*"/>
        <s v="Aung Thar Church"/>
        <s v="Bhamo Host Families"/>
        <s v="Htoi San Church*"/>
        <s v="Lisu Boarding-House"/>
        <s v="Mu-yin Baptist Church"/>
        <s v="Nant Hlaing Church"/>
        <s v="Phan Khar Kone*"/>
        <s v="Robert Church*"/>
        <s v="Ta Gun Taing Monastery (Shwe Kyi Na)"/>
        <s v="Yoe Kyi Monastery"/>
        <s v="Chipwi (School coumpound)"/>
        <s v="Chipwi KBC camp"/>
        <s v="Hpare Hkyer - BP6"/>
        <s v="Lhaovao Baptist Church (LBC)"/>
        <s v="Pan Wa"/>
        <s v="Pan Wa (Saw Zam) camp "/>
        <s v="5 Ward Baptist Church(lon Khin)"/>
        <s v="5 Ward RC Church(lon Khin)"/>
        <s v="AG Church, Hmaw Si Sa"/>
        <s v="AG Church, Maw Wan"/>
        <s v="Baptist Church, Hmaw Si Sar(Lon Khin)"/>
        <s v="Baptist Church, Sai Ra village"/>
        <s v="Chin Church, Seik Mu"/>
        <s v="Dhama Rakhita, Nyein Chan Tar Yar Ward(Lon Khin)"/>
        <s v="Hlaing Naung Baptist"/>
        <s v="Hmaw Wan, Anglican"/>
        <s v="Hpakant Baptist Church, Nam Ma Hpit"/>
        <s v="Ku Day Maw KBC"/>
        <s v="Lisu Baptist Church, Maw Shan Vil,. Seik Mu"/>
        <s v="Lisu Baptist Church, Maw Wan Ward"/>
        <s v="Maw Wan, Mu-yin Baptist Church"/>
        <s v="Nam Ma Phyit, COC"/>
        <s v="Nant Ma Hpit Catholic Church"/>
        <s v="Rawan Baptist Church, Maw Shan Vil., Seik Mu"/>
        <s v="Sai Nai Baptish Church, Maw Shan Vil., Seki Mu"/>
        <s v="Ward 2 Sai Taung Baptist Church, Seik Mu "/>
        <s v="Yumar Baptist Church"/>
        <s v="Nam Sa Larp"/>
        <s v="Narte"/>
        <s v="La Ja"/>
        <s v="Kone Khem Camp"/>
        <s v="Kutkai downtown (KBC Church)"/>
        <s v="Kutkai downtown (RC Church)"/>
        <s v="Mine Yu Lay village"/>
        <s v="Mungji Pa Dabang (Baptist Church)         "/>
        <s v="Mungji Pa Dabang (RC Church)         "/>
        <s v="Nam Hpak Ka Mare "/>
        <s v="Pan Ku"/>
        <s v="Zup Aung Camp"/>
        <s v="Bum Tsit Pa * (1)"/>
        <s v="Bum Tsit Pa * (2)"/>
        <s v="Bum Tsit Pa * (3)"/>
        <s v="Clutural Compound"/>
        <s v="Lana Zup Ja *"/>
        <s v="Maing Khaung Baptist Church"/>
        <s v="Maing Khaung Catholic Church"/>
        <s v="Man Wing Baptist Church*"/>
        <s v="Man Wing Catholic Church*"/>
        <s v="Mansi Baptist Church*"/>
        <s v="Mansi Host Families"/>
        <s v="MWG -RC2"/>
        <s v="(Nam Hoi) Host families"/>
        <s v="Mandung - Jinghpaw"/>
        <s v="Mandung - RC"/>
        <s v="Kyun Taw Baptist Church "/>
        <s v="Ma Hawng RC "/>
        <s v="Mang Hawng Baptist Church"/>
        <s v="Nat Gyi Kone Baptist Church "/>
        <s v="Sar Hmaw - KBC"/>
        <s v="Sar Maw-ICM"/>
        <s v="Nawng Ing (Indawgyi) Baptist Church  "/>
        <s v="St. Patrick Catholic Church "/>
        <s v="Agritural Compound (KBC)"/>
        <s v="Dum Bung "/>
        <s v="Hpun Lum Yang "/>
        <s v="Je Yang Hka "/>
        <s v="Kachin Su Baptist Church (ECCD)"/>
        <s v="Khar Nan (1) Baptist Church"/>
        <s v="Khun Sint Village"/>
        <s v="Loi Je Baptist Church"/>
        <s v="Loi Je Catholic Church"/>
        <s v="Loi Je Lisu  (1) Camp"/>
        <s v="Loi Je Lisu  (2) Camp"/>
        <s v="Loi Je Lisu  (3) Camp"/>
        <s v="Loi Je Lisu  (4) Camp"/>
        <s v="Loi Je Nyaung Na Pin "/>
        <s v="Loi Je RC Boarding School"/>
        <s v="Loi Je Seng Ja "/>
        <s v="Mai Khat "/>
        <s v="Man Bung Catholic compound"/>
        <s v="Man Bung Edin Baptist Church"/>
        <s v="Man Nawng "/>
        <s v="Mandalay Monestry"/>
        <s v="Momauk Baptist Church"/>
        <s v="Momauk Host Families"/>
        <s v="Myo Thit "/>
        <s v="Nhkawng Pa "/>
        <s v="Ni Thaw Ka Monestry"/>
        <s v="Pa Kahtawng 1 A"/>
        <s v="Pa Kahtawng 1B"/>
        <s v="Pa Kahtawng 2"/>
        <s v="Pa Kahtawng Boarding High School "/>
        <s v="Pa Kahtawng Boarding Middle School "/>
        <s v="Pa Kahtawng Host Families"/>
        <s v="Pa Kahtawng Primary House"/>
        <s v="Tarli "/>
        <s v="Muse KBC Church"/>
        <s v="Muse RC Church"/>
        <s v="Nam Hkawng/Manaung kaung"/>
        <s v="Du Kahtawng Qtr. 14"/>
        <s v="Du Kahtawng Qtr. 4"/>
        <s v="Du Kahtawng Qtr. 5"/>
        <s v="Jan Mai Kawng Baptist Church"/>
        <s v="Jan Mai Kawng Catholic Church"/>
        <s v="Kyun Pin Thar Baptist Church"/>
        <s v="Lawk Awng Mare D. (Sinbo Area)"/>
        <s v="Le Kone Bethlehem Church"/>
        <s v="Le Kone Ziun Baptist Church "/>
        <s v="Maliyang Baptist Church"/>
        <s v="Man Hkring Baptist Church"/>
        <s v="Maw Hpawng Hka Nan Baptist Church"/>
        <s v="Maw Hpawng Lhaovo Baptist Church"/>
        <s v="Nan Kway St. John Catholic Church"/>
        <s v="Njang Dung Baptist Church "/>
        <s v="Pa Dauk Myaing(Pa La Na)"/>
        <s v="Shatapru Sut Ngai Tawng"/>
        <s v="Shatapru Thida Aye Baptist Church"/>
        <s v="Shwe Zet Baptist Church"/>
        <s v="Tat Kone (Ra Da Kawng)"/>
        <s v="Tat Kone Baptist Church"/>
        <s v="Tat Kone COC Baptist / Tat Kone Htoi San"/>
        <s v="Tat Kone Emanuel Church"/>
        <s v="Tat Kone Galile Baptist Church"/>
        <s v="Tat Kone San Pya Baptist Church"/>
        <s v="Wun Tho Buddhist Monastery"/>
        <s v="Bang Lung"/>
        <s v="Jaw 2"/>
        <s v="Nam Hkam - Nay Win Ni (Palawng)"/>
        <s v="Nam Hkam (KBC Jaw Wang)"/>
        <s v="Nam Hkam Catholic Church ( St. Thomas I)"/>
        <s v="Namtu Baptist"/>
        <s v="Doke Htan Ward"/>
        <s v="Lung Sut"/>
        <s v="N-Lwe Yan"/>
        <s v="Shwe Gu Baptist Church"/>
        <s v="Shwe Gu Catholic Church"/>
        <s v="Shwegu Host Families"/>
        <s v="Border Post 8"/>
        <s v="Boys Boarding house, A Len Bum"/>
        <s v="Girl Boarding house, A Len Bum"/>
        <s v="Hkat Cho "/>
        <s v="Hkau Shau (BP 12)"/>
        <s v="Mading Baptist Church"/>
        <s v="Maga Yang "/>
        <s v="Maina AG Church"/>
        <s v="Maina Catholic Church (St. Joseph)"/>
        <s v="Maina KBC (Bawng Ring)"/>
        <s v="Maina Lawang Baptist Church"/>
        <s v="Nawng Hee Village"/>
        <s v="Pajau / Jan Mai"/>
        <s v="Post 6 Camp"/>
        <s v="Qtr. 2 Lhaovo Baptist Church"/>
        <s v="Qtr. 2 Myoma Baptist Church"/>
        <s v="Qtr. 3 Mu-yin  Baptist Church"/>
        <s v="Qtr. 4 Monestry (Thargaya Thayett Taw)"/>
        <s v="Shing Jai"/>
        <s v="Thargaya Lisu Baptist Church"/>
        <s v="Waingmaw AG Church"/>
        <s v="Waingmaw Baptist Zonal Office"/>
        <s v="Woi Chyai "/>
        <s v="Woi Chyai  host families"/>
        <s v="Woi Chyai (Mong Lai)"/>
        <s v="Zai Awng / Mung Ga Zup"/>
        <s v="Phan Khar Kone" u="1"/>
        <s v="IDP School, A Len Bum" u="1"/>
        <s v="Cultural Compound" u="1"/>
        <s v="Machanbaw-KBC" u="1"/>
        <s v="Nam Hka Mare (west of Man Wing)" u="1"/>
        <s v="Phar Kay/Nant Waing " u="1"/>
        <s v="Lana Zup Ja" u="1"/>
        <s v="Loi Je Lisu Camp" u="1"/>
        <s v="Inn Lel Yan" u="1"/>
        <s v="Nam Ja Rap" u="1"/>
        <s v="Lone Sut" u="1"/>
        <s v="Robert Church" u="1"/>
        <s v="Momauk Catholic Church (St. Patrick)" u="1"/>
        <s v="Host Families" u="1"/>
        <s v="Pa Kahtawng Primary school" u="1"/>
        <s v="Laiza Market 3 / Laiza Gat" u="1"/>
        <s v="Myay Myint Baptist Church" u="1"/>
        <s v="Naung Khaing" u="1"/>
        <s v="Sumprabum" u="1"/>
        <s v="Baptist Church, Naung Hmee VT" u="1"/>
      </sharedItems>
    </cacheField>
    <cacheField name="GPS x" numFmtId="0">
      <sharedItems containsString="0" containsBlank="1" containsNumber="1" minValue="96.269199999999998" maxValue="98.475719999999995"/>
    </cacheField>
    <cacheField name="GPS y" numFmtId="0">
      <sharedItems containsString="0" containsBlank="1" containsNumber="1" minValue="23.092880000000001" maxValue="27.310880000000001"/>
    </cacheField>
    <cacheField name="Location type" numFmtId="0">
      <sharedItems count="3">
        <s v="Camp"/>
        <s v="Village"/>
        <s v="School"/>
      </sharedItems>
    </cacheField>
    <cacheField name="Type" numFmtId="0">
      <sharedItems count="2">
        <s v="GCA"/>
        <s v="NGCA"/>
      </sharedItems>
    </cacheField>
    <cacheField name="Nb of affected household" numFmtId="0">
      <sharedItems containsString="0" containsBlank="1" containsNumber="1" containsInteger="1" minValue="0" maxValue="1548"/>
    </cacheField>
    <cacheField name="IDPs Pop" numFmtId="0">
      <sharedItems containsSemiMixedTypes="0" containsString="0" containsNumber="1" containsInteger="1" minValue="2" maxValue="7247"/>
    </cacheField>
    <cacheField name="Total PoP" numFmtId="0">
      <sharedItems containsSemiMixedTypes="0" containsString="0" containsNumber="1" containsInteger="1" minValue="2" maxValue="7247"/>
    </cacheField>
    <cacheField name="Camps treshold" numFmtId="0">
      <sharedItems containsBlank="1" count="6">
        <s v="2. Medium"/>
        <s v="1. Small"/>
        <s v="4. Big"/>
        <s v="3. Large"/>
        <s v="5. Massive"/>
        <m u="1"/>
      </sharedItems>
    </cacheField>
    <cacheField name="Donor" numFmtId="0">
      <sharedItems containsBlank="1"/>
    </cacheField>
    <cacheField name="Camp manager defined by UNHCR" numFmtId="0">
      <sharedItems containsBlank="1"/>
    </cacheField>
    <cacheField name="Focal point Agency" numFmtId="0">
      <sharedItems count="9">
        <s v="None"/>
        <s v="SI"/>
        <s v="Metta"/>
        <s v="Shalom"/>
        <s v="KMSS"/>
        <s v="KBC"/>
        <s v="SCI"/>
        <s v="WPN" u="1"/>
        <s v="Cesvi" u="1"/>
      </sharedItems>
    </cacheField>
    <cacheField name="Targetted" numFmtId="0">
      <sharedItems count="2">
        <s v="Not covered"/>
        <s v="Covered"/>
      </sharedItems>
    </cacheField>
    <cacheField name="Ending date funds/project coverage" numFmtId="0">
      <sharedItems containsDate="1" containsBlank="1" containsMixedTypes="1" minDate="2015-12-31T00:00:00" maxDate="2016-06-01T00:00:00"/>
    </cacheField>
    <cacheField name="Source of Data" numFmtId="0">
      <sharedItems/>
    </cacheField>
    <cacheField name="Documented" numFmtId="15">
      <sharedItems count="2">
        <s v="Documented"/>
        <s v="Not documented"/>
      </sharedItems>
    </cacheField>
    <cacheField name="litres/day produce  _x000a_Water treatment station " numFmtId="0">
      <sharedItems containsSemiMixedTypes="0" containsString="0" containsNumber="1" containsInteger="1" minValue="0" maxValue="0"/>
    </cacheField>
    <cacheField name="litres deliver during the month_x000a_Water/Boat trucking " numFmtId="0">
      <sharedItems containsSemiMixedTypes="0" containsString="0" containsNumber="1" containsInteger="1" minValue="0" maxValue="0"/>
    </cacheField>
    <cacheField name="Exit strategy plan from emergency supply " numFmtId="0">
      <sharedItems/>
    </cacheField>
    <cacheField name="# Open hand Dug wells (without hand pump)" numFmtId="0">
      <sharedItems containsSemiMixedTypes="0" containsString="0" containsNumber="1" containsInteger="1" minValue="0" maxValue="150"/>
    </cacheField>
    <cacheField name="# Hand pump (on well or borehole)" numFmtId="0">
      <sharedItems containsSemiMixedTypes="0" containsString="0" containsNumber="1" containsInteger="1" minValue="0" maxValue="105"/>
    </cacheField>
    <cacheField name="litres/Day provided with Overhead or storage tank with reticulation/ Water  gravity system           ( Yield x average running hours)" numFmtId="0">
      <sharedItems containsSemiMixedTypes="0" containsString="0" containsNumber="1" containsInteger="1" minValue="0" maxValue="216000"/>
    </cacheField>
    <cacheField name="% Water harvesting system HH coverage" numFmtId="9">
      <sharedItems containsSemiMixedTypes="0" containsString="0" containsNumber="1" minValue="0" maxValue="1"/>
    </cacheField>
    <cacheField name="% Household covered with Household filtration " numFmtId="9">
      <sharedItems containsSemiMixedTypes="0" containsString="0" containsNumber="1" minValue="0" maxValue="1"/>
    </cacheField>
    <cacheField name="Actual water needs coverage" numFmtId="9">
      <sharedItems containsSemiMixedTypes="0" containsString="0" containsNumber="1" minValue="0" maxValue="1"/>
    </cacheField>
    <cacheField name="Population for Actual water needs coverage" numFmtId="1">
      <sharedItems containsSemiMixedTypes="0" containsString="0" containsNumber="1" minValue="0" maxValue="7247"/>
    </cacheField>
    <cacheField name="Access of safe water drinking permanent water point" numFmtId="9">
      <sharedItems containsSemiMixedTypes="0" containsString="0" containsNumber="1" minValue="0" maxValue="1"/>
    </cacheField>
    <cacheField name="Population for access of safe water drinking permanent water point" numFmtId="1">
      <sharedItems containsSemiMixedTypes="0" containsString="0" containsNumber="1" minValue="0" maxValue="7247"/>
    </cacheField>
    <cacheField name="Potential % of actual need coverage including houshold treatment solution" numFmtId="9">
      <sharedItems containsSemiMixedTypes="0" containsString="0" containsNumber="1" minValue="0" maxValue="1"/>
    </cacheField>
    <cacheField name="Population for Potential % of actual need coverage including houshold treatment solution" numFmtId="1">
      <sharedItems containsSemiMixedTypes="0" containsString="0" containsNumber="1" minValue="0" maxValue="7247"/>
    </cacheField>
    <cacheField name="Rank coverage" numFmtId="0">
      <sharedItems count="6">
        <s v="80-100%"/>
        <s v="0-10%"/>
        <s v="30-45%"/>
        <s v="45-60%"/>
        <s v="15-30%" u="1"/>
        <s v="60-80%" u="1"/>
      </sharedItems>
    </cacheField>
    <cacheField name="% of actual need covered by emergency facilities" numFmtId="9">
      <sharedItems containsSemiMixedTypes="0" containsString="0" containsNumber="1" containsInteger="1" minValue="0" maxValue="0"/>
    </cacheField>
    <cacheField name="Population for of actual need covered by emergency facilities" numFmtId="1">
      <sharedItems containsSemiMixedTypes="0" containsString="0" containsNumber="1" containsInteger="1" minValue="0" maxValue="0"/>
    </cacheField>
    <cacheField name="Potential Number permanent water point missing" numFmtId="1">
      <sharedItems containsSemiMixedTypes="0" containsString="0" containsNumber="1" minValue="0" maxValue="13.1175"/>
    </cacheField>
    <cacheField name="Number family having ceramic filter" numFmtId="1">
      <sharedItems containsSemiMixedTypes="0" containsString="0" containsNumber="1" minValue="0" maxValue="774"/>
    </cacheField>
    <cacheField name="nb of persons having rain harvest acess" numFmtId="1">
      <sharedItems containsSemiMixedTypes="0" containsString="0" containsNumber="1" minValue="0" maxValue="3781"/>
    </cacheField>
    <cacheField name="% Estimated need coverage at the end of project" numFmtId="9">
      <sharedItems containsSemiMixedTypes="0" containsString="0" containsNumber="1" containsInteger="1" minValue="0" maxValue="1"/>
    </cacheField>
    <cacheField name="Population for Estimated need coverage in 2 months" numFmtId="0">
      <sharedItems containsSemiMixedTypes="0" containsString="0" containsNumber="1" containsInteger="1" minValue="0" maxValue="7247"/>
    </cacheField>
    <cacheField name="Comments" numFmtId="0">
      <sharedItems containsBlank="1"/>
    </cacheField>
    <cacheField name="Total # Emergency Latrines built since camp opening" numFmtId="0">
      <sharedItems containsSemiMixedTypes="0" containsString="0" containsNumber="1" containsInteger="1" minValue="0" maxValue="573"/>
    </cacheField>
    <cacheField name="# Emergency latrines still functional" numFmtId="0">
      <sharedItems containsSemiMixedTypes="0" containsString="0" containsNumber="1" containsInteger="1" minValue="0" maxValue="276"/>
    </cacheField>
    <cacheField name="# Semi permanent latrine functional" numFmtId="0">
      <sharedItems containsSemiMixedTypes="0" containsString="0" containsNumber="1" containsInteger="1" minValue="0" maxValue="659"/>
    </cacheField>
    <cacheField name="Latrines gender sperated" numFmtId="0">
      <sharedItems containsBlank="1" count="7">
        <s v="Latrine shared by families , not separated"/>
        <s v="Not separated yet"/>
        <s v="Separate, but not clearly perceived"/>
        <s v="Separate, clearly perceived"/>
        <m u="1"/>
        <s v="separated" u="1"/>
        <s v="Separated, clearly perceived" u="1"/>
      </sharedItems>
    </cacheField>
    <cacheField name="% Latrine needs coverage" numFmtId="9">
      <sharedItems containsSemiMixedTypes="0" containsString="0" containsNumber="1" minValue="0" maxValue="1"/>
    </cacheField>
    <cacheField name="Population for % Latrine needs coverage" numFmtId="1">
      <sharedItems containsSemiMixedTypes="0" containsString="0" containsNumber="1" minValue="0" maxValue="7247"/>
    </cacheField>
    <cacheField name="% Emergency latrines" numFmtId="9">
      <sharedItems containsSemiMixedTypes="0" containsString="0" containsNumber="1" minValue="0" maxValue="1"/>
    </cacheField>
    <cacheField name="Population for % Emergency latrines" numFmtId="1">
      <sharedItems containsSemiMixedTypes="0" containsString="0" containsNumber="1" minValue="0" maxValue="2619"/>
    </cacheField>
    <cacheField name="% Semi permanent latrine" numFmtId="9">
      <sharedItems containsSemiMixedTypes="0" containsString="0" containsNumber="1" minValue="0" maxValue="1"/>
    </cacheField>
    <cacheField name="Population for % Semi permanent latrine" numFmtId="1">
      <sharedItems containsSemiMixedTypes="0" containsString="0" containsNumber="1" minValue="0" maxValue="7247"/>
    </cacheField>
    <cacheField name="# Additional latrines needs identified for community center as TLS, heath center…" numFmtId="0">
      <sharedItems containsString="0" containsBlank="1" containsNumber="1" containsInteger="1" minValue="0" maxValue="18"/>
    </cacheField>
    <cacheField name="% Estimated coverage of latrine need at the end of project" numFmtId="9">
      <sharedItems containsSemiMixedTypes="0" containsString="0" containsNumber="1" minValue="0" maxValue="1"/>
    </cacheField>
    <cacheField name="Population for % Estimated coverage of latrine need at the end of project" numFmtId="1">
      <sharedItems containsString="0" containsBlank="1" containsNumber="1" minValue="0" maxValue="7247"/>
    </cacheField>
    <cacheField name="# Semi permanent latrines missing" numFmtId="1">
      <sharedItems containsString="0" containsBlank="1" containsNumber="1" minValue="0" maxValue="130.94999999999999"/>
    </cacheField>
    <cacheField name="# of Bathing space (1 unit for 100 persons)" numFmtId="0">
      <sharedItems containsSemiMixedTypes="0" containsString="0" containsNumber="1" containsInteger="1" minValue="0" maxValue="213"/>
    </cacheField>
    <cacheField name="Bathing space gender separated" numFmtId="0">
      <sharedItems containsBlank="1"/>
    </cacheField>
    <cacheField name="Coverage Bathing %" numFmtId="9">
      <sharedItems containsSemiMixedTypes="0" containsString="0" containsNumber="1" minValue="0" maxValue="1"/>
    </cacheField>
    <cacheField name="Population Coverage Bathing %" numFmtId="1">
      <sharedItems containsSemiMixedTypes="0" containsString="0" containsNumber="1" minValue="0" maxValue="5600"/>
    </cacheField>
    <cacheField name="Nb of missing bathing space" numFmtId="1">
      <sharedItems containsSemiMixedTypes="0" containsString="0" containsNumber="1" minValue="0" maxValue="35.409999999999997"/>
    </cacheField>
    <cacheField name="Estimated coverage of bathroom at the end of project with gender speration" numFmtId="9">
      <sharedItems containsSemiMixedTypes="0" containsString="0" containsNumber="1" minValue="0" maxValue="1"/>
    </cacheField>
    <cacheField name="Population for  Estimated coverage of bathroom need at the end of projects  % with gender speration" numFmtId="1">
      <sharedItems containsSemiMixedTypes="0" containsString="0" containsNumber="1" minValue="0" maxValue="5580.1900000000005"/>
    </cacheField>
    <cacheField name="# Hand washing station funtional" numFmtId="0">
      <sharedItems containsSemiMixedTypes="0" containsString="0" containsNumber="1" containsInteger="1" minValue="0" maxValue="104"/>
    </cacheField>
    <cacheField name="Coverage hand wash station %" numFmtId="9">
      <sharedItems containsSemiMixedTypes="0" containsString="0" containsNumber="1" minValue="0" maxValue="1"/>
    </cacheField>
    <cacheField name="Nb of missing hand washing station" numFmtId="1">
      <sharedItems containsSemiMixedTypes="0" containsString="0" containsNumber="1" minValue="0" maxValue="35.409999999999997"/>
    </cacheField>
    <cacheField name="Estimated coverage need of hand washing station at the end of project" numFmtId="9">
      <sharedItems containsSemiMixedTypes="0" containsString="0" containsNumber="1" minValue="0" maxValue="1"/>
    </cacheField>
    <cacheField name="Comments2" numFmtId="0">
      <sharedItems containsBlank="1" longText="1"/>
    </cacheField>
    <cacheField name="Date Last Full Hygiene Kit distribution" numFmtId="168">
      <sharedItems containsNonDate="0" containsDate="1" containsString="0" containsBlank="1" minDate="2012-10-01T00:00:00" maxDate="2015-06-19T00:00:00"/>
    </cacheField>
    <cacheField name="Next distribution to be done" numFmtId="168">
      <sharedItems containsDate="1" containsMixedTypes="1" minDate="2015-12-10T00:00:00" maxDate="2016-06-18T00:00:00"/>
    </cacheField>
    <cacheField name="Total # of Full Hygiene kit distributed during last distribution" numFmtId="0">
      <sharedItems containsSemiMixedTypes="0" containsString="0" containsNumber="1" containsInteger="1" minValue="0" maxValue="1646"/>
    </cacheField>
    <cacheField name="# of month distributed for Refilling Kits since last full kit distribution" numFmtId="0">
      <sharedItems containsString="0" containsBlank="1" containsNumber="1" containsInteger="1" minValue="0" maxValue="20"/>
    </cacheField>
    <cacheField name="Gap of basic hygiene kit" numFmtId="3">
      <sharedItems containsSemiMixedTypes="0" containsString="0" containsNumber="1" containsInteger="1" minValue="0" maxValue="1548"/>
    </cacheField>
    <cacheField name="Coverage Hygiene kits" numFmtId="9">
      <sharedItems containsSemiMixedTypes="0" containsString="0" containsNumber="1" minValue="0" maxValue="1"/>
    </cacheField>
    <cacheField name="Coverage Hygiene kits * Total PoP" numFmtId="1">
      <sharedItems containsSemiMixedTypes="0" containsString="0" containsNumber="1" minValue="0" maxValue="2571.1643835616437"/>
    </cacheField>
    <cacheField name="Gap of month covered by refilled" numFmtId="3">
      <sharedItems containsMixedTypes="1" containsNumber="1" containsInteger="1" minValue="0" maxValue="32" count="34">
        <n v="9"/>
        <n v="10"/>
        <n v="2"/>
        <n v="8"/>
        <n v="6"/>
        <n v="12"/>
        <s v="Column BN to be completed"/>
        <n v="0"/>
        <n v="30"/>
        <n v="14"/>
        <n v="5"/>
        <n v="3"/>
        <n v="17"/>
        <n v="32"/>
        <n v="4"/>
        <n v="16"/>
        <n v="11"/>
        <n v="7"/>
        <n v="1"/>
        <n v="13" u="1"/>
        <n v="15" u="1"/>
        <n v="18" u="1"/>
        <n v="19" u="1"/>
        <n v="20" u="1"/>
        <n v="21" u="1"/>
        <n v="22" u="1"/>
        <n v="23" u="1"/>
        <n v="24" u="1"/>
        <n v="25" u="1"/>
        <n v="26" u="1"/>
        <n v="27" u="1"/>
        <n v="28" u="1"/>
        <n v="29" u="1"/>
        <n v="31" u="1"/>
      </sharedItems>
    </cacheField>
    <cacheField name="Comments3" numFmtId="0">
      <sharedItems containsBlank="1"/>
    </cacheField>
    <cacheField name="Approximative % of household receiving monthly HP senzitisation directly with NGO" numFmtId="9">
      <sharedItems containsString="0" containsBlank="1" containsNumber="1" minValue="0" maxValue="1"/>
    </cacheField>
    <cacheField name="Population receiving HP at HH level" numFmtId="3">
      <sharedItems containsString="0" containsBlank="1" containsNumber="1" minValue="0" maxValue="1575.75"/>
    </cacheField>
    <cacheField name="Nb  community HP trainer trained by NGO" numFmtId="0">
      <sharedItems containsString="0" containsBlank="1" containsNumber="1" containsInteger="1" minValue="0" maxValue="23"/>
    </cacheField>
    <cacheField name="Ratio between population and nb of community HP" numFmtId="0">
      <sharedItems/>
    </cacheField>
    <cacheField name="Incinerator operational" numFmtId="0">
      <sharedItems containsSemiMixedTypes="0" containsString="0" containsNumber="1" containsInteger="1" minValue="0" maxValue="1"/>
    </cacheField>
    <cacheField name="Community management organise and efficient in camps" numFmtId="0">
      <sharedItems containsBlank="1" count="15">
        <s v="Functional and efficient"/>
        <s v="Set up but low results "/>
        <s v="Not yet set up"/>
        <m u="1"/>
        <s v="already set up" u="1"/>
        <s v="Functional and efficient. The number of people actually leaving in the camp is 93 HH (so around 500 people) " u="1"/>
        <s v="Functioning and efficient" u="1"/>
        <s v="N/A" u="1"/>
        <s v="Functional and not efficient" u="1"/>
        <s v="Alredy set up" u="1"/>
        <s v="Funcyioning and low effivient" u="1"/>
        <s v="NA" u="1"/>
        <s v="No WASH committee" u="1"/>
        <s v="functioning but not efficient" u="1"/>
        <s v="Not yet planned" u="1"/>
      </sharedItems>
    </cacheField>
    <cacheField name="Comment" numFmtId="0">
      <sharedItems containsBlank="1"/>
    </cacheField>
    <cacheField name="Water Need coverage %" numFmtId="0" formula="'Population for Potential % of actual need coverage including houshold treatment solution'/'Total PoP'" databaseField="0"/>
    <cacheField name="Latrine need coverage %" numFmtId="0" formula="'Population for % Latrine needs coverage'/'Total PoP'" databaseField="0"/>
    <cacheField name="Bathroom need coverage" numFmtId="0" formula="'Population Coverage Bathing %'/'Total PoP'" databaseField="0"/>
    <cacheField name="Coverage Permanent Latrine %" numFmtId="0" formula="'Population for % Semi permanent latrine'/'Total PoP'" databaseField="0"/>
    <cacheField name="Coverage Emergency latrine %" numFmtId="0" formula="'Population for % Emergency latrines'/'Total PoP'" databaseField="0"/>
    <cacheField name="Coverage Full HK %" numFmtId="0" formula="'Coverage Hygiene kits * Total PoP'/'Total PoP'" databaseField="0"/>
    <cacheField name="Coverage HP session at HH level %" numFmtId="0" formula="'Population receiving HP at HH level'/'Total PoP'" databaseField="0"/>
    <cacheField name="Coverage projection end of project" numFmtId="0" formula=" ('Population for Estimated need coverage in 2 months'-'Population for Potential % of actual need coverage including houshold treatment solution') /'Total PoP'" databaseField="0"/>
    <cacheField name="Projection latrine need coverage EOP" numFmtId="0" formula="('Population for % Estimated coverage of latrine need at the end of project'-'Population for % Latrine needs coverage')/'Total PoP'" databaseField="0"/>
    <cacheField name="Projection Bathrrom coverage EOP" numFmtId="0" formula="('Population for  Estimated coverage of bathroom need at the end of projects  % with gender speration'-'Population Coverage Bathing %')/'Total PoP'" databaseField="0"/>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Thein Tun Hlaing" refreshedDate="42291.537611921296" createdVersion="5" refreshedVersion="5" minRefreshableVersion="3" recordCount="177">
  <cacheSource type="worksheet">
    <worksheetSource ref="B4:U231" sheet="Database"/>
  </cacheSource>
  <cacheFields count="17">
    <cacheField name="Township" numFmtId="0">
      <sharedItems containsBlank="1" count="20">
        <s v="Bhamo"/>
        <s v="Chipwi"/>
        <s v="Hpakan"/>
        <s v="Hseni"/>
        <s v="Khaunglanhpu"/>
        <s v="Kutkai"/>
        <s v="Mansi"/>
        <s v="Manton"/>
        <s v="Mogaung"/>
        <s v="Mohnyin"/>
        <s v="Momauk"/>
        <s v="Muse"/>
        <s v="Myitkyina"/>
        <s v="Namkham"/>
        <s v="Namtu"/>
        <s v="Puta-O"/>
        <s v="Shwegu"/>
        <s v="Waingmaw"/>
        <m/>
        <s v="Machanbaw" u="1"/>
      </sharedItems>
    </cacheField>
    <cacheField name="Camp_P_Code" numFmtId="0">
      <sharedItems containsBlank="1"/>
    </cacheField>
    <cacheField name="Zoning cluster location" numFmtId="0">
      <sharedItems containsBlank="1"/>
    </cacheField>
    <cacheField name="Site" numFmtId="0">
      <sharedItems containsBlank="1"/>
    </cacheField>
    <cacheField name="GPS x" numFmtId="0">
      <sharedItems containsString="0" containsBlank="1" containsNumber="1" minValue="96.269199999999998" maxValue="98.475719999999995"/>
    </cacheField>
    <cacheField name="GPS y" numFmtId="0">
      <sharedItems containsString="0" containsBlank="1" containsNumber="1" minValue="23.092880000000001" maxValue="27.310880000000001"/>
    </cacheField>
    <cacheField name="Location type" numFmtId="0">
      <sharedItems containsBlank="1"/>
    </cacheField>
    <cacheField name="Type" numFmtId="0">
      <sharedItems containsBlank="1"/>
    </cacheField>
    <cacheField name="Nb of affected household" numFmtId="0">
      <sharedItems containsString="0" containsBlank="1" containsNumber="1" containsInteger="1" minValue="0" maxValue="1548"/>
    </cacheField>
    <cacheField name="IDPs Pop" numFmtId="0">
      <sharedItems containsString="0" containsBlank="1" containsNumber="1" containsInteger="1" minValue="2" maxValue="7247"/>
    </cacheField>
    <cacheField name="Total PoP" numFmtId="0">
      <sharedItems containsString="0" containsBlank="1" containsNumber="1" containsInteger="1" minValue="2" maxValue="7247"/>
    </cacheField>
    <cacheField name="Camps treshold" numFmtId="0">
      <sharedItems containsBlank="1"/>
    </cacheField>
    <cacheField name="Donor" numFmtId="0">
      <sharedItems containsBlank="1"/>
    </cacheField>
    <cacheField name="Camp manager defined by UNHCR" numFmtId="0">
      <sharedItems containsBlank="1"/>
    </cacheField>
    <cacheField name="Focal point Agency" numFmtId="0">
      <sharedItems containsBlank="1" count="10">
        <s v="None"/>
        <s v="SI"/>
        <s v="Metta"/>
        <s v="Shalom"/>
        <s v="KMSS"/>
        <s v="KBC"/>
        <s v="SCI"/>
        <m/>
        <s v="WPN" u="1"/>
        <s v="Cesvi" u="1"/>
      </sharedItems>
    </cacheField>
    <cacheField name="Targetted" numFmtId="0">
      <sharedItems containsBlank="1"/>
    </cacheField>
    <cacheField name="Ending date funds/project coverage" numFmtId="0">
      <sharedItems containsDate="1" containsBlank="1" containsMixedTypes="1" minDate="2015-05-31T00:00:00" maxDate="2016-06-01T00:00:00" count="12">
        <s v="Gap"/>
        <d v="2016-03-30T00:00:00"/>
        <d v="2015-12-31T00:00:00"/>
        <d v="2016-02-29T00:00:00"/>
        <d v="2016-05-31T00:00:00"/>
        <d v="2016-03-31T00:00:00"/>
        <m/>
        <d v="2015-07-20T00:00:00" u="1"/>
        <d v="2015-06-30T00:00:00" u="1"/>
        <d v="2015-08-31T00:00:00" u="1"/>
        <d v="2015-07-31T00:00:00" u="1"/>
        <d v="2015-05-31T00:00:00" u="1"/>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Thein Tun Hlaing" refreshedDate="42291.537629745369" createdVersion="5" refreshedVersion="5" minRefreshableVersion="3" recordCount="64">
  <cacheSource type="worksheet">
    <worksheetSource ref="C4:AH68" sheet="Agency funds received"/>
  </cacheSource>
  <cacheFields count="32">
    <cacheField name="Agency leading the project" numFmtId="0">
      <sharedItems count="17">
        <s v="CESVI"/>
        <s v="ADRA"/>
        <s v="DWHH"/>
        <s v="HIDA"/>
        <s v="KBC"/>
        <s v="KMSS"/>
        <s v="Merlin"/>
        <s v="Metta"/>
        <s v="Oxfam GB"/>
        <s v="Plan"/>
        <s v="SCI"/>
        <s v="Shalom"/>
        <s v="Solidarités International"/>
        <s v="Trocaire"/>
        <s v="UNICEF"/>
        <s v="Solidarites" u="1"/>
        <s v="Solidarities" u="1"/>
      </sharedItems>
    </cacheField>
    <cacheField name="Implementing or consortium partner  " numFmtId="0">
      <sharedItems containsBlank="1"/>
    </cacheField>
    <cacheField name="Donor" numFmtId="0">
      <sharedItems count="23">
        <s v="UNICEF"/>
        <s v="ECHO"/>
        <s v="CIDA"/>
        <s v="Germany"/>
        <s v="Canada"/>
        <s v="ERF"/>
        <s v="Start fund"/>
        <s v="FCA"/>
        <s v="HIDA( HOPE)"/>
        <s v="Australian"/>
        <s v="DFAT"/>
        <s v="SC seed funding"/>
        <s v="OFDA"/>
        <s v="SIDA"/>
        <s v="France"/>
        <s v="DIFID"/>
        <s v="Sweden"/>
        <s v="CERF"/>
        <s v="Japan"/>
        <s v="HMSF" u="1"/>
        <s v="DFATD (CIDA)" u="1"/>
        <s v="Irland" u="1"/>
        <s v="OCHA" u="1"/>
      </sharedItems>
    </cacheField>
    <cacheField name="cofunding donors" numFmtId="0">
      <sharedItems containsBlank="1"/>
    </cacheField>
    <cacheField name="Name of the project" numFmtId="0">
      <sharedItems containsBlank="1"/>
    </cacheField>
    <cacheField name="Project start date _x000a_ dd/mm/yy" numFmtId="0">
      <sharedItems containsDate="1" containsMixedTypes="1" minDate="2012-01-04T00:00:00" maxDate="2015-09-02T00:00:00"/>
    </cacheField>
    <cacheField name="Project end date  dd/mm/yy" numFmtId="0">
      <sharedItems containsDate="1" containsBlank="1" containsMixedTypes="1" minDate="2012-04-30T00:00:00" maxDate="2016-06-01T00:00:00"/>
    </cacheField>
    <cacheField name="Status of the project" numFmtId="0">
      <sharedItems/>
    </cacheField>
    <cacheField name="Year fund received" numFmtId="0">
      <sharedItems containsSemiMixedTypes="0" containsString="0" containsNumber="1" containsInteger="1" minValue="2012" maxValue="2015" count="4">
        <n v="2012"/>
        <n v="2013"/>
        <n v="2014"/>
        <n v="2015"/>
      </sharedItems>
    </cacheField>
    <cacheField name="Total Nb of wash beneficiaries" numFmtId="0">
      <sharedItems containsString="0" containsBlank="1" containsNumber="1" containsInteger="1" minValue="0" maxValue="89815"/>
    </cacheField>
    <cacheField name="Approximative % of NGCA beneficiaries" numFmtId="9">
      <sharedItems containsString="0" containsBlank="1" containsNumber="1" minValue="0" maxValue="0.93"/>
    </cacheField>
    <cacheField name="Approximative % of GCA beneficiaries" numFmtId="0">
      <sharedItems containsBlank="1" containsMixedTypes="1" containsNumber="1" minValue="6.9999999999999951E-2" maxValue="18227"/>
    </cacheField>
    <cacheField name="% Northern Shan" numFmtId="9">
      <sharedItems containsString="0" containsBlank="1" containsNumber="1" minValue="0" maxValue="1"/>
    </cacheField>
    <cacheField name="%South Kachin" numFmtId="9">
      <sharedItems containsString="0" containsBlank="1" containsNumber="1" minValue="0" maxValue="1"/>
    </cacheField>
    <cacheField name="%North kachin" numFmtId="9">
      <sharedItems containsString="0" containsBlank="1" containsNumber="1" minValue="0" maxValue="1"/>
    </cacheField>
    <cacheField name="Approximate % of beneficiaries in camps" numFmtId="9">
      <sharedItems containsString="0" containsBlank="1" containsNumber="1" minValue="7.0000000000000007E-2" maxValue="1"/>
    </cacheField>
    <cacheField name="Approximate % of beneficiaries in host community" numFmtId="9">
      <sharedItems containsString="0" containsBlank="1" containsNumber="1" minValue="0" maxValue="0.93"/>
    </cacheField>
    <cacheField name="Nb of sanitation beneficiaries plan" numFmtId="0">
      <sharedItems containsString="0" containsBlank="1" containsNumber="1" containsInteger="1" minValue="0" maxValue="86580"/>
    </cacheField>
    <cacheField name="Nb of water access beneficiaries plan" numFmtId="0">
      <sharedItems containsString="0" containsBlank="1" containsNumber="1" containsInteger="1" minValue="0" maxValue="86822"/>
    </cacheField>
    <cacheField name="Nb of beneficiairies for HE" numFmtId="0">
      <sharedItems containsString="0" containsBlank="1" containsNumber="1" containsInteger="1" minValue="0" maxValue="86822"/>
    </cacheField>
    <cacheField name="Nb of sanitation beneficiaries plan2" numFmtId="0">
      <sharedItems containsString="0" containsBlank="1" containsNumber="1" containsInteger="1" minValue="0" maxValue="22000"/>
    </cacheField>
    <cacheField name="Nb of water access beneficiaries plan2" numFmtId="0">
      <sharedItems containsString="0" containsBlank="1" containsNumber="1" containsInteger="1" minValue="0" maxValue="8788"/>
    </cacheField>
    <cacheField name="Nb of beneficiairies for HE2" numFmtId="0">
      <sharedItems containsString="0" containsBlank="1" containsNumber="1" containsInteger="1" minValue="0" maxValue="30788"/>
    </cacheField>
    <cacheField name="Total budget of the project US$. For only WASH related cost (including related support costs)" numFmtId="3">
      <sharedItems containsString="0" containsBlank="1" containsNumber="1" minValue="3031.5058823529412" maxValue="1652740"/>
    </cacheField>
    <cacheField name="Approximate fund before 2014 regarding project date implementation" numFmtId="3">
      <sharedItems containsSemiMixedTypes="0" containsString="0" containsNumber="1" minValue="0" maxValue="1067394.5833333333"/>
    </cacheField>
    <cacheField name="Approximate fund 2014 regarding project date implementation" numFmtId="3">
      <sharedItems containsSemiMixedTypes="0" containsString="0" containsNumber="1" minValue="0" maxValue="1520909.0013263728" count="47">
        <n v="0"/>
        <n v="176992.66666666666"/>
        <n v="210747.24540901504"/>
        <n v="102605.93571428572"/>
        <n v="201418"/>
        <n v="10128.991780821918"/>
        <n v="337220.99"/>
        <n v="121121.92640883979"/>
        <n v="43482"/>
        <n v="151841.64537444935"/>
        <n v="100963.83480176212"/>
        <n v="37538.200440528635"/>
        <n v="439801.04303797468"/>
        <n v="56456.176470588231"/>
        <n v="17000"/>
        <n v="68330.480733944947"/>
        <n v="80400"/>
        <n v="343632.61410788383"/>
        <n v="180399.7676056338"/>
        <n v="298146.15434083604"/>
        <n v="328256.45604395604"/>
        <n v="216595.33333333337"/>
        <n v="78945"/>
        <n v="82055.812182741123"/>
        <n v="240768.59504132232"/>
        <n v="104552.48618784532"/>
        <n v="315019.41758241761"/>
        <n v="79925.586080586087"/>
        <n v="50000"/>
        <n v="585345.41666666674"/>
        <n v="564560.43956043955"/>
        <n v="700000"/>
        <n v="322388.15331010451"/>
        <n v="1520909.0013263728" u="1"/>
        <n v="972.74010109523078" u="1"/>
        <n v="309421.48760330578" u="1"/>
        <n v="288461.43" u="1"/>
        <n v="350000" u="1"/>
        <n v="750000" u="1"/>
        <n v="455030" u="1"/>
        <n v="200000" u="1"/>
        <n v="92794.488397790061" u="1"/>
        <n v="249000" u="1"/>
        <n v="939498.21854084812" u="1"/>
        <n v="220997.4" u="1"/>
        <n v="216000.29120879126" u="1"/>
        <n v="469947" u="1"/>
      </sharedItems>
    </cacheField>
    <cacheField name="Approximate Fund 2015 regarding project date implementation" numFmtId="3">
      <sharedItems containsSemiMixedTypes="0" containsString="0" containsNumber="1" minValue="0" maxValue="1000000"/>
    </cacheField>
    <cacheField name="Approximate fund % dedicated to camps population only" numFmtId="0">
      <sharedItems containsString="0" containsBlank="1" containsNumber="1" minValue="0.04" maxValue="1"/>
    </cacheField>
    <cacheField name="Approximate % of fund dedicated to sanitation" numFmtId="9">
      <sharedItems containsString="0" containsBlank="1" containsNumber="1" minValue="0" maxValue="1"/>
    </cacheField>
    <cacheField name="Approximate % fund dedicated to Water access" numFmtId="9">
      <sharedItems containsString="0" containsBlank="1" containsNumber="1" minValue="0" maxValue="0.95"/>
    </cacheField>
    <cacheField name="Approximate % of fund dedicated to HP" numFmtId="9">
      <sharedItems containsString="0" containsBlank="1" containsNumber="1" minValue="0" maxValue="0.95"/>
    </cacheField>
    <cacheField name="Miscellaneous Comments on project"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5">
  <r>
    <x v="0"/>
    <s v="MMR001CMP050"/>
    <x v="0"/>
    <x v="0"/>
    <n v="97.243579999999994"/>
    <n v="24.260120000000001"/>
    <x v="0"/>
    <x v="0"/>
    <n v="83"/>
    <n v="434"/>
    <n v="434"/>
    <x v="0"/>
    <s v="UNICEF"/>
    <s v="KMSS"/>
    <x v="0"/>
    <x v="0"/>
    <s v="Gap"/>
    <s v="Focal NGO"/>
    <x v="0"/>
    <n v="0"/>
    <n v="0"/>
    <s v="No"/>
    <n v="0"/>
    <n v="0"/>
    <n v="14400"/>
    <n v="0.5"/>
    <n v="1"/>
    <n v="1"/>
    <n v="434"/>
    <n v="1"/>
    <n v="434"/>
    <n v="1"/>
    <n v="434"/>
    <x v="0"/>
    <n v="0"/>
    <n v="0"/>
    <n v="1.085"/>
    <n v="83"/>
    <n v="217"/>
    <n v="1"/>
    <n v="434"/>
    <s v="1 DTW in this camp"/>
    <n v="0"/>
    <n v="5"/>
    <n v="8"/>
    <x v="0"/>
    <n v="0.59907834101382484"/>
    <n v="260"/>
    <n v="0.23041474654377875"/>
    <n v="99.999999999999972"/>
    <n v="0.3686635944700461"/>
    <n v="160"/>
    <n v="0"/>
    <n v="0.6"/>
    <n v="260.39999999999998"/>
    <n v="13.7"/>
    <n v="2"/>
    <s v="Separate, but not clearly perceived"/>
    <n v="0.46082949308755761"/>
    <n v="200"/>
    <n v="2.34"/>
    <n v="0.46"/>
    <n v="199.64000000000001"/>
    <n v="4"/>
    <n v="0.92165898617511521"/>
    <n v="0.33999999999999986"/>
    <n v="0.92"/>
    <s v="land not available for latrines construciton"/>
    <d v="2014-05-29T00:00:00"/>
    <s v="To be realised"/>
    <n v="78"/>
    <n v="6"/>
    <n v="83"/>
    <n v="0"/>
    <n v="0"/>
    <x v="0"/>
    <m/>
    <m/>
    <n v="0"/>
    <n v="2"/>
    <s v="Excellent coverage"/>
    <n v="0"/>
    <x v="0"/>
    <m/>
  </r>
  <r>
    <x v="0"/>
    <s v="MMR001CMP050"/>
    <x v="0"/>
    <x v="1"/>
    <n v="97.238829999999993"/>
    <n v="24.260719999999999"/>
    <x v="0"/>
    <x v="0"/>
    <n v="210"/>
    <n v="965"/>
    <n v="965"/>
    <x v="0"/>
    <s v="UNICEF"/>
    <s v="KMSS"/>
    <x v="1"/>
    <x v="1"/>
    <d v="2016-03-30T00:00:00"/>
    <s v="Focal NGO"/>
    <x v="0"/>
    <n v="0"/>
    <n v="0"/>
    <s v="No"/>
    <n v="2"/>
    <n v="5"/>
    <n v="21600"/>
    <n v="0.8"/>
    <n v="1"/>
    <n v="1"/>
    <n v="965"/>
    <n v="1"/>
    <n v="965"/>
    <n v="1"/>
    <n v="965"/>
    <x v="0"/>
    <n v="0"/>
    <n v="0"/>
    <n v="0"/>
    <n v="210"/>
    <n v="772"/>
    <n v="1"/>
    <n v="965"/>
    <s v="3 DTW in this camp"/>
    <n v="9"/>
    <n v="1"/>
    <n v="31"/>
    <x v="0"/>
    <n v="0.66321243523316065"/>
    <n v="640"/>
    <n v="2.0725388601036343E-2"/>
    <n v="20.000000000000071"/>
    <n v="0.6424870466321243"/>
    <n v="620"/>
    <n v="0"/>
    <n v="0.66"/>
    <n v="636.9"/>
    <n v="17.25"/>
    <n v="3"/>
    <s v="Separate, but not clearly perceived"/>
    <n v="0.31088082901554404"/>
    <n v="300"/>
    <n v="6.65"/>
    <n v="0.41"/>
    <n v="395.65"/>
    <n v="7"/>
    <n v="0.72538860103626945"/>
    <n v="2.6500000000000004"/>
    <n v="0.73"/>
    <s v="land not available for latrines construciton"/>
    <d v="2014-05-29T00:00:00"/>
    <s v="To be realised"/>
    <n v="212"/>
    <n v="6"/>
    <n v="210"/>
    <n v="0"/>
    <n v="0"/>
    <x v="0"/>
    <m/>
    <n v="1"/>
    <n v="965"/>
    <n v="5"/>
    <s v="Excellent coverage"/>
    <n v="0"/>
    <x v="0"/>
    <m/>
  </r>
  <r>
    <x v="0"/>
    <s v="MMR001CMP194"/>
    <x v="0"/>
    <x v="2"/>
    <n v="97.252650000000003"/>
    <n v="24.260466999999998"/>
    <x v="0"/>
    <x v="0"/>
    <n v="13"/>
    <n v="58"/>
    <n v="58"/>
    <x v="1"/>
    <s v="HIDA, WHH"/>
    <s v="KBC"/>
    <x v="2"/>
    <x v="1"/>
    <s v="Gap"/>
    <s v="Focal NGO"/>
    <x v="0"/>
    <n v="0"/>
    <n v="0"/>
    <s v="No"/>
    <n v="1"/>
    <n v="0"/>
    <n v="0"/>
    <n v="0"/>
    <n v="0"/>
    <n v="1"/>
    <n v="58"/>
    <n v="1"/>
    <n v="58"/>
    <n v="1"/>
    <n v="58"/>
    <x v="0"/>
    <n v="0"/>
    <n v="0"/>
    <n v="0"/>
    <n v="0"/>
    <n v="0"/>
    <n v="1"/>
    <n v="58"/>
    <m/>
    <n v="9"/>
    <n v="3"/>
    <n v="0"/>
    <x v="1"/>
    <n v="1"/>
    <n v="58"/>
    <n v="1"/>
    <n v="58"/>
    <n v="0"/>
    <n v="0"/>
    <n v="0"/>
    <n v="1"/>
    <n v="58"/>
    <n v="2.9"/>
    <n v="0"/>
    <s v="Not separated yet"/>
    <n v="0"/>
    <n v="0"/>
    <n v="0.57999999999999996"/>
    <n v="0"/>
    <n v="0"/>
    <n v="1"/>
    <n v="1"/>
    <n v="0"/>
    <n v="1"/>
    <s v="bathin was not need due to 4 HH only living in church compound"/>
    <d v="2014-05-12T00:00:00"/>
    <s v="To be realised"/>
    <n v="13"/>
    <n v="6"/>
    <n v="13"/>
    <n v="0"/>
    <n v="0"/>
    <x v="1"/>
    <m/>
    <m/>
    <n v="0"/>
    <n v="0"/>
    <s v="No coverage"/>
    <n v="0"/>
    <x v="0"/>
    <m/>
  </r>
  <r>
    <x v="0"/>
    <s v="MMR001CMP163"/>
    <x v="0"/>
    <x v="3"/>
    <n v="97.228769999999997"/>
    <n v="24.26502"/>
    <x v="1"/>
    <x v="0"/>
    <n v="216"/>
    <n v="965"/>
    <n v="965"/>
    <x v="0"/>
    <s v="ECHO"/>
    <m/>
    <x v="0"/>
    <x v="0"/>
    <s v="Gap"/>
    <s v="Focal NGO"/>
    <x v="0"/>
    <n v="0"/>
    <n v="0"/>
    <s v="No"/>
    <n v="40"/>
    <n v="105"/>
    <n v="0"/>
    <n v="0"/>
    <n v="0"/>
    <n v="1"/>
    <n v="965"/>
    <n v="1"/>
    <n v="965"/>
    <n v="1"/>
    <n v="965"/>
    <x v="0"/>
    <n v="0"/>
    <n v="0"/>
    <n v="0"/>
    <n v="0"/>
    <n v="0"/>
    <n v="1"/>
    <n v="965"/>
    <s v="CESVI implement WASH activities such HP and HK distribution and renovation of WASH facilities in this host families"/>
    <n v="0"/>
    <n v="100"/>
    <n v="12"/>
    <x v="2"/>
    <n v="1"/>
    <n v="965"/>
    <n v="0.75129533678756477"/>
    <n v="725"/>
    <n v="0.24870466321243523"/>
    <n v="240"/>
    <n v="0"/>
    <n v="1"/>
    <n v="965"/>
    <n v="36.25"/>
    <n v="163"/>
    <s v="Not separated yet"/>
    <n v="1"/>
    <n v="965"/>
    <n v="0"/>
    <n v="1"/>
    <n v="965"/>
    <n v="0"/>
    <n v="0"/>
    <n v="9.65"/>
    <n v="0"/>
    <m/>
    <d v="2015-06-18T00:00:00"/>
    <d v="2016-06-17T00:00:00"/>
    <n v="118"/>
    <n v="0"/>
    <n v="98"/>
    <n v="0.54629629629629628"/>
    <n v="527.17592592592587"/>
    <x v="2"/>
    <m/>
    <m/>
    <n v="0"/>
    <n v="4"/>
    <s v="Excellent coverage"/>
    <n v="0"/>
    <x v="1"/>
    <m/>
  </r>
  <r>
    <x v="0"/>
    <s v="MMR001CMP052"/>
    <x v="0"/>
    <x v="4"/>
    <n v="97.236919999999998"/>
    <n v="24.24766"/>
    <x v="0"/>
    <x v="0"/>
    <n v="45"/>
    <n v="241"/>
    <n v="241"/>
    <x v="1"/>
    <s v="HIDA, WHH"/>
    <s v="KBC"/>
    <x v="2"/>
    <x v="1"/>
    <d v="2015-12-31T00:00:00"/>
    <s v="Focal NGO"/>
    <x v="0"/>
    <n v="0"/>
    <n v="0"/>
    <s v="No"/>
    <n v="1"/>
    <n v="0"/>
    <n v="14400"/>
    <n v="0"/>
    <n v="0"/>
    <n v="1"/>
    <n v="241"/>
    <n v="1"/>
    <n v="241"/>
    <n v="1"/>
    <n v="241"/>
    <x v="0"/>
    <n v="0"/>
    <n v="0"/>
    <n v="0"/>
    <n v="0"/>
    <n v="0"/>
    <n v="1"/>
    <n v="241"/>
    <s v="land not available to construct the latrines"/>
    <n v="285"/>
    <n v="0"/>
    <n v="7"/>
    <x v="0"/>
    <n v="0.58091286307053946"/>
    <n v="140"/>
    <n v="0"/>
    <n v="0"/>
    <n v="0.58091286307053946"/>
    <n v="140"/>
    <n v="0"/>
    <n v="0.69"/>
    <n v="166.29"/>
    <n v="5.0500000000000007"/>
    <n v="2"/>
    <s v="Separate, but not clearly perceived"/>
    <n v="0.82987551867219922"/>
    <n v="200"/>
    <n v="0.41000000000000014"/>
    <n v="0.83"/>
    <n v="200.03"/>
    <n v="2"/>
    <n v="0.82987551867219922"/>
    <n v="0.41000000000000014"/>
    <n v="0.83"/>
    <m/>
    <d v="2014-07-08T00:00:00"/>
    <s v="To be realised"/>
    <n v="46"/>
    <n v="6"/>
    <n v="45"/>
    <n v="0"/>
    <n v="0"/>
    <x v="3"/>
    <m/>
    <n v="0.8"/>
    <n v="192.8"/>
    <n v="1"/>
    <s v="Excellent coverage"/>
    <n v="0"/>
    <x v="1"/>
    <m/>
  </r>
  <r>
    <x v="0"/>
    <s v="MMR001CMP049"/>
    <x v="0"/>
    <x v="5"/>
    <n v="97.241630000000001"/>
    <n v="24.266110000000001"/>
    <x v="0"/>
    <x v="0"/>
    <n v="91"/>
    <n v="641"/>
    <n v="641"/>
    <x v="0"/>
    <s v="HIDA, WHH"/>
    <s v="Shalom"/>
    <x v="2"/>
    <x v="1"/>
    <d v="2016-03-30T00:00:00"/>
    <s v="Focal NGO"/>
    <x v="0"/>
    <n v="0"/>
    <n v="0"/>
    <s v="No"/>
    <n v="3"/>
    <n v="0"/>
    <n v="13500"/>
    <n v="0"/>
    <n v="0"/>
    <n v="1"/>
    <n v="641"/>
    <n v="1"/>
    <n v="641"/>
    <n v="1"/>
    <n v="641"/>
    <x v="0"/>
    <n v="0"/>
    <n v="0"/>
    <n v="0"/>
    <n v="0"/>
    <n v="0"/>
    <n v="1"/>
    <n v="641"/>
    <s v="land not available to construct the latrines"/>
    <n v="112"/>
    <n v="7"/>
    <n v="14"/>
    <x v="0"/>
    <n v="0.65522620904836193"/>
    <n v="420"/>
    <n v="0.21840873634945396"/>
    <n v="140"/>
    <n v="0.43681747269890797"/>
    <n v="280"/>
    <n v="0"/>
    <n v="0.66"/>
    <n v="423.06"/>
    <n v="18.049999999999997"/>
    <n v="5"/>
    <s v="Separate, clearly perceived"/>
    <n v="0.78003120124804992"/>
    <n v="500"/>
    <n v="1.4100000000000001"/>
    <n v="0.78"/>
    <n v="499.98"/>
    <n v="7"/>
    <n v="1"/>
    <n v="0"/>
    <n v="1"/>
    <s v="land not available for more latrines construciton , overlapping in Hand Washing facilities between Metta and CESVI"/>
    <d v="2014-05-07T00:00:00"/>
    <s v="To be realised"/>
    <n v="103"/>
    <n v="6"/>
    <n v="91"/>
    <n v="0"/>
    <n v="0"/>
    <x v="1"/>
    <m/>
    <n v="0.8"/>
    <n v="512.80000000000007"/>
    <n v="2"/>
    <s v="Excellent coverage"/>
    <n v="0"/>
    <x v="2"/>
    <m/>
  </r>
  <r>
    <x v="0"/>
    <s v="MMR001CMP051"/>
    <x v="0"/>
    <x v="6"/>
    <n v="97.234200000000001"/>
    <n v="24.253067000000001"/>
    <x v="0"/>
    <x v="0"/>
    <n v="21"/>
    <n v="96"/>
    <n v="93"/>
    <x v="1"/>
    <s v="HIDA, WHH"/>
    <s v="Shalom"/>
    <x v="2"/>
    <x v="1"/>
    <d v="2016-03-30T00:00:00"/>
    <s v="Focal NGO"/>
    <x v="0"/>
    <n v="0"/>
    <n v="0"/>
    <s v="No"/>
    <n v="0"/>
    <n v="2"/>
    <n v="0"/>
    <n v="0"/>
    <n v="0"/>
    <n v="1"/>
    <n v="93"/>
    <n v="1"/>
    <n v="93"/>
    <n v="1"/>
    <n v="93"/>
    <x v="0"/>
    <n v="0"/>
    <n v="0"/>
    <n v="0"/>
    <n v="0"/>
    <n v="0"/>
    <n v="1"/>
    <n v="93"/>
    <s v="land not available to construct the latrines"/>
    <n v="25"/>
    <n v="0"/>
    <n v="4"/>
    <x v="1"/>
    <n v="0.86021505376344087"/>
    <n v="80"/>
    <n v="0"/>
    <n v="0"/>
    <n v="0.86021505376344087"/>
    <n v="80"/>
    <n v="0"/>
    <n v="0.86"/>
    <n v="79.98"/>
    <n v="0.65000000000000036"/>
    <n v="3"/>
    <s v="Not separated yet"/>
    <n v="1"/>
    <n v="93"/>
    <n v="0"/>
    <n v="1"/>
    <n v="93"/>
    <n v="3"/>
    <n v="1"/>
    <n v="0"/>
    <n v="1"/>
    <m/>
    <d v="2014-05-07T00:00:00"/>
    <s v="To be realised"/>
    <n v="19"/>
    <n v="6"/>
    <n v="21"/>
    <n v="0"/>
    <n v="0"/>
    <x v="1"/>
    <m/>
    <n v="0.8"/>
    <n v="74.400000000000006"/>
    <n v="1"/>
    <s v="Excellent coverage"/>
    <n v="0"/>
    <x v="1"/>
    <m/>
  </r>
  <r>
    <x v="0"/>
    <s v="MMR001CMP054"/>
    <x v="0"/>
    <x v="7"/>
    <n v="97.315860000000001"/>
    <n v="24.32638"/>
    <x v="0"/>
    <x v="0"/>
    <n v="22"/>
    <n v="123"/>
    <n v="123"/>
    <x v="1"/>
    <s v="HIDA, WHH"/>
    <s v="KMSS"/>
    <x v="2"/>
    <x v="1"/>
    <d v="2016-03-30T00:00:00"/>
    <s v="Focal NGO"/>
    <x v="0"/>
    <n v="0"/>
    <n v="0"/>
    <s v="No"/>
    <n v="0"/>
    <n v="0"/>
    <n v="4860"/>
    <n v="0"/>
    <n v="0"/>
    <n v="1"/>
    <n v="123"/>
    <n v="1"/>
    <n v="123"/>
    <n v="1"/>
    <n v="123"/>
    <x v="0"/>
    <n v="0"/>
    <n v="0"/>
    <n v="0.3075"/>
    <n v="0"/>
    <n v="0"/>
    <n v="1"/>
    <n v="123"/>
    <m/>
    <n v="5"/>
    <n v="0"/>
    <n v="10"/>
    <x v="3"/>
    <n v="1"/>
    <n v="123"/>
    <n v="0"/>
    <n v="0"/>
    <n v="1"/>
    <n v="123"/>
    <n v="0"/>
    <n v="1"/>
    <n v="123"/>
    <n v="0"/>
    <n v="2"/>
    <s v="Separate, clearly perceived"/>
    <n v="1"/>
    <n v="123"/>
    <n v="0"/>
    <n v="1"/>
    <n v="123"/>
    <n v="1"/>
    <n v="0.81300813008130079"/>
    <n v="0.22999999999999998"/>
    <n v="0.81"/>
    <m/>
    <d v="2014-07-14T00:00:00"/>
    <s v="To be realised"/>
    <n v="22"/>
    <n v="6"/>
    <n v="22"/>
    <n v="0"/>
    <n v="0"/>
    <x v="3"/>
    <m/>
    <n v="0.8"/>
    <n v="98.4"/>
    <n v="1"/>
    <s v="Excellent coverage"/>
    <n v="0"/>
    <x v="0"/>
    <s v="hygiene awareness had conducted by hygiene volunteer from Htoi San camp"/>
  </r>
  <r>
    <x v="0"/>
    <s v="MMR001CMP193"/>
    <x v="0"/>
    <x v="8"/>
    <n v="97.252650000000003"/>
    <n v="24.222349999999999"/>
    <x v="0"/>
    <x v="0"/>
    <n v="157"/>
    <n v="749"/>
    <n v="749"/>
    <x v="0"/>
    <s v="UNICEF"/>
    <s v="KBC"/>
    <x v="0"/>
    <x v="0"/>
    <s v="Gap"/>
    <s v="Focal NGO"/>
    <x v="0"/>
    <n v="0"/>
    <n v="0"/>
    <s v="No"/>
    <n v="0"/>
    <n v="0"/>
    <n v="18000"/>
    <n v="1"/>
    <n v="1"/>
    <n v="1"/>
    <n v="749"/>
    <n v="1"/>
    <n v="749"/>
    <n v="1"/>
    <n v="749"/>
    <x v="0"/>
    <n v="0"/>
    <n v="0"/>
    <n v="1.8725000000000001"/>
    <n v="157"/>
    <n v="749"/>
    <n v="1"/>
    <n v="749"/>
    <s v="4 DTW in this camp"/>
    <n v="0"/>
    <n v="27"/>
    <n v="22"/>
    <x v="0"/>
    <n v="1"/>
    <n v="749"/>
    <n v="0.41255006675567418"/>
    <n v="308.99999999999994"/>
    <n v="0.58744993324432582"/>
    <n v="440.00000000000006"/>
    <n v="0"/>
    <n v="1"/>
    <n v="749"/>
    <n v="15.450000000000003"/>
    <n v="9"/>
    <s v="Separate, clearly perceived"/>
    <n v="1"/>
    <n v="749"/>
    <n v="0"/>
    <n v="1"/>
    <n v="749"/>
    <n v="18"/>
    <n v="1"/>
    <n v="0"/>
    <n v="1"/>
    <m/>
    <d v="2014-05-28T00:00:00"/>
    <s v="To be realised"/>
    <n v="178"/>
    <n v="6"/>
    <n v="157"/>
    <n v="0"/>
    <n v="0"/>
    <x v="0"/>
    <m/>
    <m/>
    <n v="0"/>
    <n v="7"/>
    <s v="Excellent coverage"/>
    <n v="0"/>
    <x v="0"/>
    <m/>
  </r>
  <r>
    <x v="0"/>
    <s v="MMR001CMP047"/>
    <x v="0"/>
    <x v="9"/>
    <n v="97.228769999999997"/>
    <n v="24.26502"/>
    <x v="0"/>
    <x v="0"/>
    <n v="626"/>
    <n v="3781"/>
    <n v="3781"/>
    <x v="2"/>
    <s v="UNICEF"/>
    <s v="KBC"/>
    <x v="0"/>
    <x v="0"/>
    <s v="Gap"/>
    <s v="Focal NGO"/>
    <x v="0"/>
    <n v="0"/>
    <n v="0"/>
    <s v="No"/>
    <n v="2"/>
    <n v="11"/>
    <n v="36000"/>
    <n v="1"/>
    <n v="1"/>
    <n v="1"/>
    <n v="3781"/>
    <n v="1"/>
    <n v="3781"/>
    <n v="1"/>
    <n v="3781"/>
    <x v="0"/>
    <n v="0"/>
    <n v="0"/>
    <n v="0"/>
    <n v="626"/>
    <n v="3781"/>
    <n v="1"/>
    <n v="3781"/>
    <s v="Rain harvesting system had only cover for raining season. 2 DTW in this camp"/>
    <n v="4"/>
    <n v="45"/>
    <n v="106"/>
    <x v="0"/>
    <n v="0.79873049457815393"/>
    <n v="3020"/>
    <n v="0.23803226659613863"/>
    <n v="900.00000000000011"/>
    <n v="0.5606982279820153"/>
    <n v="2120"/>
    <n v="4"/>
    <n v="0.87"/>
    <n v="3289.47"/>
    <n v="87.050000000000011"/>
    <n v="10"/>
    <s v="Separate, but not clearly perceived"/>
    <n v="0.26448029621793179"/>
    <n v="1000.0000000000001"/>
    <n v="27.810000000000002"/>
    <n v="0.26"/>
    <n v="983.06000000000006"/>
    <n v="34"/>
    <n v="0.89923300714096799"/>
    <n v="3.8100000000000023"/>
    <n v="0.9"/>
    <s v="land not available for latrines and bathing construciton"/>
    <d v="2014-05-09T00:00:00"/>
    <s v="To be realised"/>
    <n v="649"/>
    <n v="6"/>
    <n v="626"/>
    <n v="0"/>
    <n v="0"/>
    <x v="1"/>
    <m/>
    <m/>
    <n v="0"/>
    <n v="11"/>
    <s v="Excellent coverage"/>
    <n v="0"/>
    <x v="0"/>
    <m/>
  </r>
  <r>
    <x v="0"/>
    <s v="MMR001CMP055"/>
    <x v="0"/>
    <x v="10"/>
    <n v="97.227789999999999"/>
    <n v="24.29138"/>
    <x v="0"/>
    <x v="0"/>
    <n v="27"/>
    <n v="111"/>
    <n v="111"/>
    <x v="1"/>
    <s v="UNICEF"/>
    <s v="Shalom"/>
    <x v="0"/>
    <x v="0"/>
    <s v="Gap"/>
    <s v="Focal NGO"/>
    <x v="0"/>
    <n v="0"/>
    <n v="0"/>
    <s v="No"/>
    <n v="0"/>
    <n v="0"/>
    <n v="4000"/>
    <n v="0"/>
    <n v="1"/>
    <n v="1"/>
    <n v="111"/>
    <n v="1"/>
    <n v="111"/>
    <n v="1"/>
    <n v="111"/>
    <x v="0"/>
    <n v="0"/>
    <n v="0"/>
    <n v="0.27750000000000002"/>
    <n v="27"/>
    <n v="0"/>
    <n v="1"/>
    <n v="111"/>
    <s v="3 DTW in this camp"/>
    <n v="2"/>
    <n v="8"/>
    <n v="10"/>
    <x v="0"/>
    <n v="1"/>
    <n v="111"/>
    <n v="0"/>
    <n v="0"/>
    <n v="1"/>
    <n v="111"/>
    <n v="0"/>
    <n v="1"/>
    <n v="111"/>
    <n v="0"/>
    <n v="4"/>
    <s v="Separate, clearly perceived"/>
    <n v="1"/>
    <n v="111"/>
    <n v="0"/>
    <n v="1"/>
    <n v="111"/>
    <n v="3"/>
    <n v="1"/>
    <n v="0"/>
    <n v="1"/>
    <m/>
    <d v="2014-06-10T00:00:00"/>
    <s v="To be realised"/>
    <n v="42"/>
    <n v="6"/>
    <n v="27"/>
    <n v="0"/>
    <n v="0"/>
    <x v="0"/>
    <m/>
    <m/>
    <n v="0"/>
    <n v="1"/>
    <s v="Excellent coverage"/>
    <n v="0"/>
    <x v="0"/>
    <m/>
  </r>
  <r>
    <x v="0"/>
    <s v="MMR001CMP053"/>
    <x v="0"/>
    <x v="11"/>
    <n v="97.246889999999993"/>
    <n v="24.244129999999998"/>
    <x v="0"/>
    <x v="0"/>
    <n v="16"/>
    <n v="75"/>
    <n v="75"/>
    <x v="1"/>
    <s v="HIDA, WHH"/>
    <s v="Shalom"/>
    <x v="2"/>
    <x v="1"/>
    <d v="2016-03-30T00:00:00"/>
    <s v="Focal NGO"/>
    <x v="0"/>
    <n v="0"/>
    <n v="0"/>
    <s v="No"/>
    <n v="0"/>
    <n v="2"/>
    <n v="3915"/>
    <n v="0"/>
    <n v="0"/>
    <n v="1"/>
    <n v="75"/>
    <n v="1"/>
    <n v="75"/>
    <n v="1"/>
    <n v="75"/>
    <x v="0"/>
    <n v="0"/>
    <n v="0"/>
    <n v="0"/>
    <n v="0"/>
    <n v="0"/>
    <n v="1"/>
    <n v="75"/>
    <m/>
    <n v="34"/>
    <n v="0"/>
    <n v="10"/>
    <x v="3"/>
    <n v="1"/>
    <n v="75"/>
    <n v="0"/>
    <n v="0"/>
    <n v="1"/>
    <n v="75"/>
    <n v="0"/>
    <n v="1"/>
    <n v="75"/>
    <n v="0"/>
    <n v="1"/>
    <s v="Not separated yet"/>
    <n v="1"/>
    <n v="75"/>
    <n v="0"/>
    <n v="1"/>
    <n v="75"/>
    <n v="1"/>
    <n v="1"/>
    <n v="0"/>
    <n v="1"/>
    <m/>
    <d v="2014-05-07T00:00:00"/>
    <s v="To be realised"/>
    <n v="17"/>
    <n v="6"/>
    <n v="16"/>
    <n v="0"/>
    <n v="0"/>
    <x v="1"/>
    <m/>
    <n v="0.8"/>
    <n v="60"/>
    <n v="0"/>
    <s v="No coverage"/>
    <n v="0"/>
    <x v="1"/>
    <m/>
  </r>
  <r>
    <x v="1"/>
    <m/>
    <x v="1"/>
    <x v="12"/>
    <n v="98.134313888888897"/>
    <n v="25.8873472222222"/>
    <x v="2"/>
    <x v="0"/>
    <n v="0"/>
    <n v="45"/>
    <n v="45"/>
    <x v="1"/>
    <s v="DFID/Trocaires"/>
    <s v="KMSS"/>
    <x v="0"/>
    <x v="0"/>
    <s v="Gap"/>
    <s v="Focal NGO"/>
    <x v="0"/>
    <n v="0"/>
    <n v="0"/>
    <s v="No"/>
    <n v="0"/>
    <n v="0"/>
    <n v="860"/>
    <n v="0"/>
    <n v="1"/>
    <n v="1"/>
    <n v="45"/>
    <n v="1"/>
    <n v="45"/>
    <n v="1"/>
    <n v="45"/>
    <x v="0"/>
    <n v="0"/>
    <n v="0"/>
    <n v="0.1125"/>
    <n v="0"/>
    <n v="0"/>
    <n v="1"/>
    <n v="45"/>
    <m/>
    <n v="19"/>
    <n v="2"/>
    <n v="2"/>
    <x v="3"/>
    <n v="1"/>
    <n v="45"/>
    <n v="0.11111111111111116"/>
    <n v="5.0000000000000018"/>
    <n v="0.88888888888888884"/>
    <n v="40"/>
    <n v="0"/>
    <n v="1"/>
    <n v="45"/>
    <n v="0.25"/>
    <n v="2"/>
    <s v="Separate, clearly perceived"/>
    <n v="1"/>
    <n v="45"/>
    <n v="0"/>
    <n v="1"/>
    <n v="45"/>
    <n v="5"/>
    <n v="1"/>
    <n v="0"/>
    <n v="1"/>
    <m/>
    <d v="2014-05-21T00:00:00"/>
    <s v="To be realised"/>
    <n v="43"/>
    <n v="10"/>
    <n v="0"/>
    <n v="1"/>
    <n v="45"/>
    <x v="4"/>
    <m/>
    <m/>
    <n v="0"/>
    <n v="4"/>
    <s v="Excellent coverage"/>
    <n v="0"/>
    <x v="0"/>
    <m/>
  </r>
  <r>
    <x v="1"/>
    <s v="MMR001CMP042"/>
    <x v="1"/>
    <x v="13"/>
    <n v="98.131264999999999"/>
    <n v="25.885922999999998"/>
    <x v="0"/>
    <x v="0"/>
    <n v="118"/>
    <n v="518"/>
    <n v="518"/>
    <x v="0"/>
    <s v="AusAid/OXFAM"/>
    <s v="Shalom"/>
    <x v="3"/>
    <x v="1"/>
    <d v="2016-02-29T00:00:00"/>
    <s v="Focal NGO"/>
    <x v="0"/>
    <n v="0"/>
    <n v="0"/>
    <s v="No"/>
    <n v="0"/>
    <n v="0"/>
    <n v="12760"/>
    <n v="0"/>
    <n v="0"/>
    <n v="1"/>
    <n v="518"/>
    <n v="1"/>
    <n v="518"/>
    <n v="1"/>
    <n v="518"/>
    <x v="0"/>
    <n v="0"/>
    <n v="0"/>
    <n v="1.2949999999999999"/>
    <n v="0"/>
    <n v="0"/>
    <n v="1"/>
    <n v="518"/>
    <m/>
    <n v="42"/>
    <n v="11"/>
    <n v="7"/>
    <x v="0"/>
    <n v="0.69498069498069504"/>
    <n v="360"/>
    <n v="0.42471042471042475"/>
    <n v="220.00000000000003"/>
    <n v="0.27027027027027029"/>
    <n v="140"/>
    <n v="0"/>
    <n v="1"/>
    <n v="518"/>
    <n v="18.899999999999999"/>
    <n v="4"/>
    <s v="Separate, clearly perceived"/>
    <n v="0.77220077220077221"/>
    <n v="400"/>
    <n v="1.1799999999999997"/>
    <n v="1"/>
    <n v="518"/>
    <n v="3"/>
    <n v="0.5791505791505791"/>
    <n v="2.1799999999999997"/>
    <n v="0.57999999999999996"/>
    <s v="shalom has a plan to construct 4 semi-permanent and 2 bathing spaces "/>
    <d v="2015-02-13T00:00:00"/>
    <d v="2016-02-13T00:00:00"/>
    <n v="119"/>
    <n v="5"/>
    <n v="0"/>
    <n v="1"/>
    <n v="518"/>
    <x v="2"/>
    <m/>
    <n v="1"/>
    <n v="518"/>
    <n v="2"/>
    <s v="Excellent coverage"/>
    <n v="0"/>
    <x v="1"/>
    <m/>
  </r>
  <r>
    <x v="1"/>
    <s v="MMR001CMP043"/>
    <x v="1"/>
    <x v="14"/>
    <n v="98.475719999999995"/>
    <n v="25.754110000000001"/>
    <x v="0"/>
    <x v="1"/>
    <n v="155"/>
    <n v="873"/>
    <n v="873"/>
    <x v="0"/>
    <s v="CIDA/ADRA"/>
    <s v="KBC"/>
    <x v="0"/>
    <x v="0"/>
    <s v="Gap"/>
    <s v="Focal NGO"/>
    <x v="0"/>
    <n v="0"/>
    <n v="0"/>
    <s v="No"/>
    <n v="0"/>
    <n v="0"/>
    <n v="17062"/>
    <n v="0"/>
    <n v="0"/>
    <n v="1"/>
    <n v="873"/>
    <n v="1"/>
    <n v="873"/>
    <n v="1"/>
    <n v="873"/>
    <x v="0"/>
    <n v="0"/>
    <n v="0"/>
    <n v="2.1825000000000001"/>
    <n v="0"/>
    <n v="0"/>
    <n v="1"/>
    <n v="873"/>
    <m/>
    <n v="5"/>
    <n v="44"/>
    <n v="0"/>
    <x v="0"/>
    <n v="1"/>
    <n v="873"/>
    <n v="1"/>
    <n v="873"/>
    <n v="0"/>
    <n v="0"/>
    <n v="0"/>
    <n v="1"/>
    <n v="873"/>
    <n v="43.65"/>
    <n v="4"/>
    <s v="Not separated yet"/>
    <n v="0.45819014891179838"/>
    <n v="400"/>
    <n v="4.7300000000000004"/>
    <n v="0.46"/>
    <n v="401.58000000000004"/>
    <n v="0"/>
    <n v="0"/>
    <n v="8.73"/>
    <n v="0"/>
    <s v="Semi-permanent latrines not possible due to rocky land and logisitc issue. Old 10 Hand washing had already out of used. "/>
    <d v="2015-02-18T00:00:00"/>
    <d v="2016-02-18T00:00:00"/>
    <n v="155"/>
    <n v="4"/>
    <n v="0"/>
    <n v="1"/>
    <n v="873"/>
    <x v="2"/>
    <s v="KBC has only 1 time basic HK distribution and no plan of refill HK with ADRA fund until to Feb 16.  "/>
    <m/>
    <n v="0"/>
    <n v="2"/>
    <s v="Excellent coverage"/>
    <n v="0"/>
    <x v="0"/>
    <m/>
  </r>
  <r>
    <x v="1"/>
    <s v="MMR001CMP195"/>
    <x v="1"/>
    <x v="15"/>
    <m/>
    <m/>
    <x v="0"/>
    <x v="0"/>
    <n v="139"/>
    <n v="640"/>
    <n v="640"/>
    <x v="0"/>
    <s v="AusAid/OXFAM"/>
    <s v="Shalom"/>
    <x v="3"/>
    <x v="1"/>
    <d v="2015-12-31T00:00:00"/>
    <s v="Focal NGO"/>
    <x v="0"/>
    <n v="0"/>
    <n v="0"/>
    <s v="No"/>
    <n v="0"/>
    <n v="0"/>
    <n v="12760"/>
    <n v="0"/>
    <n v="0"/>
    <n v="1"/>
    <n v="640"/>
    <n v="1"/>
    <n v="640"/>
    <n v="1"/>
    <n v="640"/>
    <x v="0"/>
    <n v="0"/>
    <n v="0"/>
    <n v="1.6"/>
    <n v="0"/>
    <n v="0"/>
    <n v="1"/>
    <n v="640"/>
    <m/>
    <n v="8"/>
    <n v="4"/>
    <n v="28"/>
    <x v="0"/>
    <n v="1"/>
    <n v="640"/>
    <n v="0.125"/>
    <n v="80"/>
    <n v="0.875"/>
    <n v="560"/>
    <n v="0"/>
    <n v="1"/>
    <n v="640"/>
    <n v="4"/>
    <n v="6"/>
    <s v="Separate, clearly perceived"/>
    <n v="0.9375"/>
    <n v="600"/>
    <n v="0.40000000000000036"/>
    <n v="1"/>
    <n v="640"/>
    <n v="8"/>
    <n v="1"/>
    <n v="0"/>
    <n v="1"/>
    <s v="shalom has a plan to construct 4 semi-permanent and 2 bathing spaces "/>
    <d v="2015-02-13T00:00:00"/>
    <d v="2016-02-13T00:00:00"/>
    <n v="139"/>
    <n v="5"/>
    <n v="0"/>
    <n v="1"/>
    <n v="640"/>
    <x v="2"/>
    <m/>
    <n v="1"/>
    <n v="640"/>
    <n v="2"/>
    <s v="Excellent coverage"/>
    <n v="0"/>
    <x v="1"/>
    <m/>
  </r>
  <r>
    <x v="1"/>
    <s v="MMR001CMP210"/>
    <x v="1"/>
    <x v="16"/>
    <n v="98.376824999999997"/>
    <n v="25.598251999999999"/>
    <x v="0"/>
    <x v="0"/>
    <n v="68"/>
    <n v="323"/>
    <n v="323"/>
    <x v="0"/>
    <s v="DFID/Trocaires"/>
    <s v="KMSS"/>
    <x v="4"/>
    <x v="1"/>
    <s v="Gap"/>
    <s v="Focal NGO"/>
    <x v="0"/>
    <n v="0"/>
    <n v="0"/>
    <s v="No"/>
    <n v="0"/>
    <n v="0"/>
    <n v="20250"/>
    <n v="0"/>
    <n v="1"/>
    <n v="1"/>
    <n v="323"/>
    <n v="1"/>
    <n v="323"/>
    <n v="1"/>
    <n v="323"/>
    <x v="0"/>
    <n v="0"/>
    <n v="0"/>
    <n v="0.8075"/>
    <n v="68"/>
    <n v="0"/>
    <n v="1"/>
    <n v="323"/>
    <m/>
    <n v="8"/>
    <n v="0"/>
    <n v="16"/>
    <x v="3"/>
    <n v="0.99071207430340558"/>
    <n v="320"/>
    <n v="0"/>
    <n v="0"/>
    <n v="0.99071207430340558"/>
    <n v="320"/>
    <n v="0"/>
    <n v="1"/>
    <n v="323"/>
    <n v="0.14999999999999858"/>
    <n v="2"/>
    <s v="Separate, clearly perceived"/>
    <n v="0.61919504643962853"/>
    <n v="200"/>
    <n v="1.23"/>
    <n v="0.62"/>
    <n v="200.26"/>
    <n v="2"/>
    <n v="0.61919504643962853"/>
    <n v="1.23"/>
    <n v="0.62"/>
    <s v="lack of running cost. The HWS facilities have not functioing. Semi-permanent latrines have hard to construct due to logistic constraints."/>
    <d v="2014-05-21T00:00:00"/>
    <s v="To be realised"/>
    <n v="68"/>
    <n v="10"/>
    <n v="68"/>
    <n v="0"/>
    <n v="0"/>
    <x v="4"/>
    <s v="have a plan to distribute the basic hygiene kit in Oct 2015"/>
    <m/>
    <n v="0"/>
    <n v="4"/>
    <s v="Excellent coverage"/>
    <n v="0"/>
    <x v="1"/>
    <m/>
  </r>
  <r>
    <x v="1"/>
    <s v="MMR001CMP225"/>
    <x v="1"/>
    <x v="17"/>
    <n v="98.356405555555497"/>
    <n v="25.645869444444401"/>
    <x v="0"/>
    <x v="0"/>
    <n v="30"/>
    <n v="165"/>
    <n v="165"/>
    <x v="1"/>
    <s v="DFID/Trocaires"/>
    <s v="KMSS"/>
    <x v="4"/>
    <x v="1"/>
    <d v="2015-12-31T00:00:00"/>
    <s v="Focal NGO"/>
    <x v="0"/>
    <n v="0"/>
    <n v="0"/>
    <s v="No"/>
    <n v="0"/>
    <n v="0"/>
    <n v="3200"/>
    <n v="0"/>
    <n v="1"/>
    <n v="1"/>
    <n v="165"/>
    <n v="1"/>
    <n v="165"/>
    <n v="1"/>
    <n v="165"/>
    <x v="0"/>
    <n v="0"/>
    <n v="0"/>
    <n v="0.41249999999999998"/>
    <n v="30"/>
    <n v="0"/>
    <n v="1"/>
    <n v="165"/>
    <m/>
    <n v="10"/>
    <n v="4"/>
    <n v="0"/>
    <x v="3"/>
    <n v="0.48484848484848486"/>
    <n v="80"/>
    <n v="0.48484848484848486"/>
    <n v="80"/>
    <n v="0"/>
    <n v="0"/>
    <n v="0"/>
    <n v="1"/>
    <n v="165"/>
    <n v="8.25"/>
    <n v="0"/>
    <s v="Not separated yet"/>
    <n v="0"/>
    <n v="0"/>
    <n v="1.65"/>
    <n v="0"/>
    <n v="0"/>
    <n v="0"/>
    <n v="0"/>
    <n v="1.65"/>
    <n v="0"/>
    <m/>
    <d v="2014-05-21T00:00:00"/>
    <s v="To be realised"/>
    <n v="30"/>
    <n v="10"/>
    <n v="30"/>
    <n v="0"/>
    <n v="0"/>
    <x v="4"/>
    <m/>
    <n v="0.8"/>
    <n v="132"/>
    <n v="4"/>
    <s v="Excellent coverage"/>
    <n v="0"/>
    <x v="1"/>
    <m/>
  </r>
  <r>
    <x v="2"/>
    <s v="MMR001CMP179"/>
    <x v="2"/>
    <x v="18"/>
    <n v="96.355270000000004"/>
    <n v="25.656130000000001"/>
    <x v="0"/>
    <x v="0"/>
    <n v="77"/>
    <n v="380"/>
    <n v="380"/>
    <x v="0"/>
    <s v="UNICEF"/>
    <s v="Shalom"/>
    <x v="3"/>
    <x v="1"/>
    <s v="Gap"/>
    <s v="Focal NGO"/>
    <x v="0"/>
    <n v="0"/>
    <n v="0"/>
    <s v="No"/>
    <n v="3"/>
    <n v="0"/>
    <n v="6000"/>
    <n v="0"/>
    <n v="0"/>
    <n v="1"/>
    <n v="380"/>
    <n v="1"/>
    <n v="380"/>
    <n v="1"/>
    <n v="380"/>
    <x v="0"/>
    <n v="0"/>
    <n v="0"/>
    <n v="0"/>
    <n v="0"/>
    <n v="0"/>
    <n v="1"/>
    <n v="380"/>
    <m/>
    <n v="6"/>
    <n v="0"/>
    <n v="5"/>
    <x v="1"/>
    <n v="0.26315789473684209"/>
    <n v="100"/>
    <n v="0"/>
    <n v="0"/>
    <n v="0.26315789473684209"/>
    <n v="100"/>
    <n v="0"/>
    <n v="0.27"/>
    <n v="102.60000000000001"/>
    <n v="14"/>
    <n v="2"/>
    <s v="Separate, but not clearly perceived"/>
    <n v="0.52631578947368418"/>
    <n v="200"/>
    <n v="1.7999999999999998"/>
    <n v="0.53"/>
    <n v="201.4"/>
    <n v="6"/>
    <n v="1"/>
    <n v="0"/>
    <n v="1"/>
    <s v="no spaces to construct more latrines and bathing spaces/ now church committee is managed for latrines used as opened 5 latrines for all., if they wish, they can go to the church student hostel latrine/ /they have a plan to shilft to the Lal Pyin Qtr of Hpakant,"/>
    <d v="2014-02-25T00:00:00"/>
    <s v="To be realised"/>
    <n v="77"/>
    <n v="10"/>
    <n v="77"/>
    <n v="0"/>
    <n v="0"/>
    <x v="3"/>
    <m/>
    <m/>
    <n v="0"/>
    <n v="2"/>
    <s v="Excellent coverage"/>
    <n v="0"/>
    <x v="1"/>
    <m/>
  </r>
  <r>
    <x v="2"/>
    <s v="MMR001CMP168"/>
    <x v="2"/>
    <x v="19"/>
    <n v="96.353070000000002"/>
    <n v="25.655819999999999"/>
    <x v="0"/>
    <x v="0"/>
    <n v="83"/>
    <n v="425"/>
    <n v="425"/>
    <x v="0"/>
    <s v="DFID/Trocaires"/>
    <s v="KMSS"/>
    <x v="4"/>
    <x v="1"/>
    <s v="Gap"/>
    <s v="Focal NGO"/>
    <x v="0"/>
    <n v="0"/>
    <n v="0"/>
    <s v="No"/>
    <n v="2"/>
    <n v="0"/>
    <n v="3000"/>
    <n v="0"/>
    <n v="0"/>
    <n v="1"/>
    <n v="425"/>
    <n v="1"/>
    <n v="425"/>
    <n v="1"/>
    <n v="425"/>
    <x v="0"/>
    <n v="0"/>
    <n v="0"/>
    <n v="0"/>
    <n v="0"/>
    <n v="0"/>
    <n v="1"/>
    <n v="425"/>
    <m/>
    <n v="0"/>
    <n v="0"/>
    <n v="10"/>
    <x v="3"/>
    <n v="0.47058823529411764"/>
    <n v="200"/>
    <n v="0"/>
    <n v="0"/>
    <n v="0.47058823529411764"/>
    <n v="200"/>
    <n v="0"/>
    <n v="1"/>
    <n v="425"/>
    <n v="11.25"/>
    <n v="2"/>
    <s v="Not separated yet"/>
    <n v="0.47058823529411764"/>
    <n v="200"/>
    <n v="2.25"/>
    <n v="0.48"/>
    <n v="204"/>
    <n v="2"/>
    <n v="0.47058823529411764"/>
    <n v="2.25"/>
    <n v="0.48"/>
    <s v="Land limited. lack of running cost. Have a plan to construct 4 Semipermanent latrines with current project. Need to renovate the current bathing spaces (not have enough side wall and roofs)"/>
    <d v="2014-06-27T00:00:00"/>
    <s v="To be realised"/>
    <n v="83"/>
    <n v="2"/>
    <n v="83"/>
    <n v="0"/>
    <n v="0"/>
    <x v="5"/>
    <m/>
    <m/>
    <n v="0"/>
    <n v="4"/>
    <s v="Excellent coverage"/>
    <n v="0"/>
    <x v="1"/>
    <m/>
  </r>
  <r>
    <x v="2"/>
    <s v="MMR001CMP176"/>
    <x v="2"/>
    <x v="20"/>
    <n v="96.345569999999995"/>
    <n v="25.635300000000001"/>
    <x v="0"/>
    <x v="0"/>
    <n v="67"/>
    <n v="350"/>
    <n v="350"/>
    <x v="0"/>
    <s v="UNICEF"/>
    <s v="Shalom"/>
    <x v="3"/>
    <x v="1"/>
    <s v="Gap"/>
    <s v="Focal NGO"/>
    <x v="0"/>
    <n v="0"/>
    <n v="0"/>
    <s v="No"/>
    <n v="1"/>
    <n v="0"/>
    <n v="0"/>
    <n v="0"/>
    <n v="0"/>
    <n v="1"/>
    <n v="350"/>
    <n v="1"/>
    <n v="350"/>
    <n v="1"/>
    <n v="350"/>
    <x v="0"/>
    <n v="0"/>
    <n v="0"/>
    <n v="0"/>
    <n v="0"/>
    <n v="0"/>
    <n v="1"/>
    <n v="350"/>
    <m/>
    <n v="10"/>
    <n v="0"/>
    <n v="15"/>
    <x v="1"/>
    <n v="0.8571428571428571"/>
    <n v="300"/>
    <n v="0"/>
    <n v="0"/>
    <n v="0.8571428571428571"/>
    <n v="300"/>
    <n v="0"/>
    <n v="1"/>
    <n v="350"/>
    <n v="2.5"/>
    <n v="2"/>
    <s v="Separate, clearly perceived"/>
    <n v="0.5714285714285714"/>
    <n v="200"/>
    <n v="1.5"/>
    <n v="0.59"/>
    <n v="206.5"/>
    <n v="3"/>
    <n v="0.8571428571428571"/>
    <n v="0.5"/>
    <n v="1"/>
    <m/>
    <d v="2014-02-25T00:00:00"/>
    <s v="To be realised"/>
    <n v="67"/>
    <n v="10"/>
    <n v="67"/>
    <n v="0"/>
    <n v="0"/>
    <x v="3"/>
    <m/>
    <m/>
    <n v="0"/>
    <n v="2"/>
    <s v="Excellent coverage"/>
    <n v="0"/>
    <x v="1"/>
    <m/>
  </r>
  <r>
    <x v="2"/>
    <s v="MMR001CMP190"/>
    <x v="2"/>
    <x v="21"/>
    <n v="96.317350000000005"/>
    <n v="25.616509000000001"/>
    <x v="0"/>
    <x v="0"/>
    <n v="14"/>
    <n v="83"/>
    <n v="83"/>
    <x v="1"/>
    <s v="UNICEF"/>
    <s v="Shalom"/>
    <x v="3"/>
    <x v="1"/>
    <s v="Gap"/>
    <s v="Focal NGO"/>
    <x v="0"/>
    <n v="0"/>
    <n v="0"/>
    <s v="No"/>
    <n v="1"/>
    <n v="0"/>
    <n v="0"/>
    <n v="0"/>
    <n v="0"/>
    <n v="1"/>
    <n v="83"/>
    <n v="1"/>
    <n v="83"/>
    <n v="1"/>
    <n v="83"/>
    <x v="0"/>
    <n v="0"/>
    <n v="0"/>
    <n v="0"/>
    <n v="0"/>
    <n v="0"/>
    <n v="1"/>
    <n v="83"/>
    <m/>
    <n v="4"/>
    <n v="0"/>
    <n v="4"/>
    <x v="1"/>
    <n v="0.96385542168674698"/>
    <n v="80"/>
    <n v="0"/>
    <n v="0"/>
    <n v="0.96385542168674698"/>
    <n v="80"/>
    <n v="0"/>
    <n v="1"/>
    <n v="83"/>
    <n v="0.15000000000000036"/>
    <n v="2"/>
    <s v="Separate, but not clearly perceived"/>
    <n v="1"/>
    <n v="83"/>
    <n v="0"/>
    <n v="1"/>
    <n v="83"/>
    <n v="3"/>
    <n v="1"/>
    <n v="0"/>
    <n v="1"/>
    <m/>
    <d v="2014-02-25T00:00:00"/>
    <s v="To be realised"/>
    <n v="14"/>
    <n v="10"/>
    <n v="14"/>
    <n v="0"/>
    <n v="0"/>
    <x v="3"/>
    <m/>
    <m/>
    <n v="0"/>
    <n v="1"/>
    <s v="Excellent coverage"/>
    <n v="0"/>
    <x v="1"/>
    <m/>
  </r>
  <r>
    <x v="2"/>
    <s v="MMR001CMP169"/>
    <x v="2"/>
    <x v="22"/>
    <n v="96.346469999999997"/>
    <n v="25.647649999999999"/>
    <x v="0"/>
    <x v="0"/>
    <n v="35"/>
    <n v="216"/>
    <n v="216"/>
    <x v="1"/>
    <s v="UNICEF"/>
    <s v="Shalom"/>
    <x v="3"/>
    <x v="1"/>
    <s v="Gap"/>
    <s v="Focal NGO"/>
    <x v="0"/>
    <n v="0"/>
    <n v="0"/>
    <s v="No"/>
    <n v="2"/>
    <n v="0"/>
    <n v="0"/>
    <n v="0"/>
    <n v="0"/>
    <n v="1"/>
    <n v="216"/>
    <n v="1"/>
    <n v="216"/>
    <n v="1"/>
    <n v="216"/>
    <x v="0"/>
    <n v="0"/>
    <n v="0"/>
    <n v="0"/>
    <n v="0"/>
    <n v="0"/>
    <n v="1"/>
    <n v="216"/>
    <m/>
    <n v="2"/>
    <n v="0"/>
    <n v="10"/>
    <x v="3"/>
    <n v="0.92592592592592593"/>
    <n v="200"/>
    <n v="0"/>
    <n v="0"/>
    <n v="0.92592592592592593"/>
    <n v="200"/>
    <n v="0"/>
    <n v="1"/>
    <n v="216"/>
    <n v="0.80000000000000071"/>
    <n v="2"/>
    <s v="Separate, clearly perceived"/>
    <n v="0.92592592592592593"/>
    <n v="200"/>
    <n v="0.16000000000000014"/>
    <n v="0.93"/>
    <n v="200.88000000000002"/>
    <n v="4"/>
    <n v="1"/>
    <n v="0"/>
    <n v="1"/>
    <m/>
    <d v="2014-02-25T00:00:00"/>
    <s v="To be realised"/>
    <n v="35"/>
    <n v="10"/>
    <n v="35"/>
    <n v="0"/>
    <n v="0"/>
    <x v="3"/>
    <m/>
    <m/>
    <n v="0"/>
    <n v="2"/>
    <s v="Excellent coverage"/>
    <n v="0"/>
    <x v="1"/>
    <m/>
  </r>
  <r>
    <x v="2"/>
    <s v="MMR001CMP172"/>
    <x v="2"/>
    <x v="23"/>
    <n v="96.353070000000002"/>
    <n v="25.668469999999999"/>
    <x v="0"/>
    <x v="0"/>
    <n v="1"/>
    <n v="2"/>
    <n v="2"/>
    <x v="1"/>
    <s v="UNICEF"/>
    <s v="Shalom"/>
    <x v="3"/>
    <x v="1"/>
    <s v="Gap"/>
    <s v="Focal NGO"/>
    <x v="0"/>
    <n v="0"/>
    <n v="0"/>
    <s v="No"/>
    <n v="1"/>
    <n v="0"/>
    <n v="0"/>
    <n v="0"/>
    <n v="0"/>
    <n v="1"/>
    <n v="2"/>
    <n v="1"/>
    <n v="2"/>
    <n v="1"/>
    <n v="2"/>
    <x v="0"/>
    <n v="0"/>
    <n v="0"/>
    <n v="0"/>
    <n v="0"/>
    <n v="0"/>
    <n v="1"/>
    <n v="2"/>
    <m/>
    <n v="0"/>
    <n v="3"/>
    <n v="0"/>
    <x v="1"/>
    <n v="1"/>
    <n v="2"/>
    <n v="1"/>
    <n v="2"/>
    <n v="0"/>
    <n v="0"/>
    <n v="0"/>
    <n v="1"/>
    <n v="2"/>
    <n v="0.1"/>
    <n v="1"/>
    <s v="Not separated yet"/>
    <n v="1"/>
    <n v="2"/>
    <n v="0"/>
    <n v="1"/>
    <n v="2"/>
    <n v="3"/>
    <n v="1"/>
    <n v="0"/>
    <n v="1"/>
    <s v="small HH, wash their hand on the bathing space"/>
    <d v="2014-02-25T00:00:00"/>
    <s v="To be realised"/>
    <n v="1"/>
    <n v="10"/>
    <n v="1"/>
    <n v="0"/>
    <n v="0"/>
    <x v="3"/>
    <m/>
    <m/>
    <n v="0"/>
    <n v="0"/>
    <s v="No coverage"/>
    <n v="0"/>
    <x v="1"/>
    <m/>
  </r>
  <r>
    <x v="2"/>
    <s v="MMR001CMP109"/>
    <x v="2"/>
    <x v="24"/>
    <n v="96.283377000000002"/>
    <n v="25.582065"/>
    <x v="0"/>
    <x v="0"/>
    <n v="6"/>
    <n v="30"/>
    <n v="30"/>
    <x v="1"/>
    <s v="UNICEF"/>
    <s v="Shalom"/>
    <x v="3"/>
    <x v="1"/>
    <s v="Gap"/>
    <s v="Focal NGO"/>
    <x v="0"/>
    <n v="0"/>
    <n v="0"/>
    <s v="No"/>
    <n v="0"/>
    <n v="0"/>
    <n v="2000"/>
    <n v="0"/>
    <n v="0"/>
    <n v="1"/>
    <n v="30"/>
    <n v="1"/>
    <n v="30"/>
    <n v="1"/>
    <n v="30"/>
    <x v="0"/>
    <n v="0"/>
    <n v="0"/>
    <n v="7.4999999999999997E-2"/>
    <n v="0"/>
    <n v="0"/>
    <n v="1"/>
    <n v="30"/>
    <m/>
    <n v="10"/>
    <n v="0"/>
    <n v="2"/>
    <x v="1"/>
    <n v="1"/>
    <n v="30"/>
    <n v="0"/>
    <n v="0"/>
    <n v="1"/>
    <n v="30"/>
    <n v="0"/>
    <n v="1"/>
    <n v="30"/>
    <n v="0"/>
    <n v="1"/>
    <s v="Not separated yet"/>
    <n v="1"/>
    <n v="30"/>
    <n v="0"/>
    <n v="1"/>
    <n v="30"/>
    <n v="1"/>
    <n v="1"/>
    <n v="0"/>
    <n v="1"/>
    <m/>
    <d v="2014-02-25T00:00:00"/>
    <s v="To be realised"/>
    <n v="6"/>
    <n v="10"/>
    <n v="6"/>
    <n v="0"/>
    <n v="0"/>
    <x v="3"/>
    <m/>
    <m/>
    <n v="0"/>
    <n v="1"/>
    <s v="Excellent coverage"/>
    <n v="0"/>
    <x v="2"/>
    <m/>
  </r>
  <r>
    <x v="2"/>
    <s v="MMR001CMP174"/>
    <x v="2"/>
    <x v="25"/>
    <n v="96.354929999999996"/>
    <n v="25.643090000000001"/>
    <x v="0"/>
    <x v="0"/>
    <n v="65"/>
    <n v="347"/>
    <n v="347"/>
    <x v="0"/>
    <s v="UNICEF"/>
    <s v="Shalom"/>
    <x v="3"/>
    <x v="1"/>
    <d v="2016-02-29T00:00:00"/>
    <s v="Focal NGO"/>
    <x v="0"/>
    <n v="0"/>
    <n v="0"/>
    <s v="No"/>
    <n v="1"/>
    <n v="0"/>
    <n v="3000"/>
    <n v="0"/>
    <n v="0"/>
    <n v="1"/>
    <n v="347"/>
    <n v="1"/>
    <n v="347"/>
    <n v="1"/>
    <n v="347"/>
    <x v="0"/>
    <n v="0"/>
    <n v="0"/>
    <n v="0"/>
    <n v="0"/>
    <n v="0"/>
    <n v="1"/>
    <n v="347"/>
    <m/>
    <n v="3"/>
    <n v="0"/>
    <n v="17"/>
    <x v="0"/>
    <n v="0.97982708933717577"/>
    <n v="340"/>
    <n v="0"/>
    <n v="0"/>
    <n v="0.97982708933717577"/>
    <n v="340"/>
    <n v="0"/>
    <n v="1"/>
    <n v="347"/>
    <n v="0.35000000000000142"/>
    <n v="3"/>
    <s v="Separate, clearly perceived"/>
    <n v="0.86455331412103742"/>
    <n v="300"/>
    <n v="0.4700000000000002"/>
    <n v="1"/>
    <n v="347"/>
    <n v="4"/>
    <n v="1"/>
    <n v="0"/>
    <n v="1"/>
    <s v="Not have enough space to construct more bathing spaces "/>
    <d v="2014-02-25T00:00:00"/>
    <s v="To be realised"/>
    <n v="65"/>
    <n v="10"/>
    <n v="65"/>
    <n v="0"/>
    <n v="0"/>
    <x v="3"/>
    <m/>
    <n v="0"/>
    <n v="0"/>
    <n v="2"/>
    <s v="Excellent coverage"/>
    <n v="0"/>
    <x v="1"/>
    <m/>
  </r>
  <r>
    <x v="2"/>
    <s v="MMR001CMP148"/>
    <x v="2"/>
    <x v="26"/>
    <n v="96.705960000000005"/>
    <n v="25.51352"/>
    <x v="0"/>
    <x v="0"/>
    <n v="20"/>
    <n v="64"/>
    <n v="64"/>
    <x v="1"/>
    <s v="CIDA/ADRA"/>
    <s v="KBC"/>
    <x v="5"/>
    <x v="1"/>
    <s v="Gap"/>
    <s v="Focal NGO"/>
    <x v="0"/>
    <n v="0"/>
    <n v="0"/>
    <s v="No"/>
    <n v="0"/>
    <n v="2"/>
    <n v="0"/>
    <n v="0"/>
    <n v="1"/>
    <n v="1"/>
    <n v="64"/>
    <n v="1"/>
    <n v="64"/>
    <n v="1"/>
    <n v="64"/>
    <x v="0"/>
    <n v="0"/>
    <n v="0"/>
    <n v="0"/>
    <n v="20"/>
    <n v="0"/>
    <n v="1"/>
    <n v="64"/>
    <m/>
    <n v="0"/>
    <n v="3"/>
    <n v="7"/>
    <x v="0"/>
    <n v="1"/>
    <n v="64"/>
    <n v="0"/>
    <n v="0"/>
    <n v="1"/>
    <n v="64"/>
    <n v="0"/>
    <n v="1"/>
    <n v="64"/>
    <n v="0"/>
    <n v="2"/>
    <s v="Separate, clearly perceived"/>
    <n v="1"/>
    <n v="64"/>
    <n v="0"/>
    <n v="1"/>
    <n v="64"/>
    <n v="0"/>
    <n v="0"/>
    <n v="0.64"/>
    <n v="0"/>
    <s v="old 2 Hand washing had already out of used."/>
    <d v="2015-02-18T00:00:00"/>
    <d v="2016-02-18T00:00:00"/>
    <n v="16"/>
    <n v="4"/>
    <n v="4"/>
    <n v="0.8"/>
    <n v="51.2"/>
    <x v="2"/>
    <s v="KBC has only 1 time basic HK distribution and no plan of refill HK with ADRA fund until to Feb 16.  "/>
    <m/>
    <n v="0"/>
    <n v="2"/>
    <s v="Excellent coverage"/>
    <n v="0"/>
    <x v="1"/>
    <m/>
  </r>
  <r>
    <x v="2"/>
    <s v="MMR001CMP191"/>
    <x v="2"/>
    <x v="27"/>
    <n v="96.316564"/>
    <n v="25.615960999999999"/>
    <x v="0"/>
    <x v="0"/>
    <n v="13"/>
    <n v="75"/>
    <n v="75"/>
    <x v="1"/>
    <s v="UNICEF"/>
    <s v="Shalom"/>
    <x v="3"/>
    <x v="1"/>
    <s v="Gap"/>
    <s v="Focal NGO"/>
    <x v="0"/>
    <n v="0"/>
    <n v="0"/>
    <s v="No"/>
    <n v="1"/>
    <n v="0"/>
    <n v="0"/>
    <n v="0"/>
    <n v="0"/>
    <n v="1"/>
    <n v="75"/>
    <n v="1"/>
    <n v="75"/>
    <n v="1"/>
    <n v="75"/>
    <x v="0"/>
    <n v="0"/>
    <n v="0"/>
    <n v="0"/>
    <n v="0"/>
    <n v="0"/>
    <n v="1"/>
    <n v="75"/>
    <m/>
    <n v="20"/>
    <n v="0"/>
    <n v="5"/>
    <x v="1"/>
    <n v="1"/>
    <n v="75"/>
    <n v="0"/>
    <n v="0"/>
    <n v="1"/>
    <n v="75"/>
    <n v="0"/>
    <n v="1"/>
    <n v="75"/>
    <n v="0"/>
    <n v="1"/>
    <s v="Separate, clearly perceived"/>
    <n v="1"/>
    <n v="75"/>
    <n v="0"/>
    <n v="1"/>
    <n v="75"/>
    <n v="1"/>
    <n v="1"/>
    <n v="0"/>
    <n v="1"/>
    <m/>
    <d v="2014-02-25T00:00:00"/>
    <s v="To be realised"/>
    <n v="13"/>
    <n v="10"/>
    <n v="13"/>
    <n v="0"/>
    <n v="0"/>
    <x v="3"/>
    <m/>
    <m/>
    <n v="0"/>
    <n v="1"/>
    <s v="Excellent coverage"/>
    <n v="0"/>
    <x v="1"/>
    <m/>
  </r>
  <r>
    <x v="2"/>
    <s v="MMR001CMP229"/>
    <x v="2"/>
    <x v="28"/>
    <n v="96.312790000000007"/>
    <n v="25.611160000000002"/>
    <x v="0"/>
    <x v="0"/>
    <n v="114"/>
    <n v="520"/>
    <n v="520"/>
    <x v="0"/>
    <s v="UNICEF"/>
    <s v="Shalom"/>
    <x v="3"/>
    <x v="1"/>
    <s v="Gap"/>
    <s v="Focal NGO"/>
    <x v="0"/>
    <n v="0"/>
    <n v="0"/>
    <s v="No"/>
    <n v="1"/>
    <n v="0"/>
    <n v="3320"/>
    <n v="0"/>
    <n v="0"/>
    <n v="1"/>
    <n v="520"/>
    <n v="1"/>
    <n v="520"/>
    <n v="1"/>
    <n v="520"/>
    <x v="0"/>
    <n v="0"/>
    <n v="0"/>
    <n v="0.30000000000000004"/>
    <n v="0"/>
    <n v="0"/>
    <n v="1"/>
    <n v="520"/>
    <m/>
    <n v="2"/>
    <n v="0"/>
    <n v="16"/>
    <x v="3"/>
    <n v="0.61538461538461542"/>
    <n v="320"/>
    <n v="0"/>
    <n v="0"/>
    <n v="0.61538461538461542"/>
    <n v="320"/>
    <n v="0"/>
    <n v="1"/>
    <n v="520"/>
    <n v="10"/>
    <n v="3"/>
    <s v="Separate, but not clearly perceived"/>
    <n v="0.57692307692307687"/>
    <n v="300"/>
    <n v="2.2000000000000002"/>
    <n v="1"/>
    <n v="520"/>
    <n v="3"/>
    <n v="0.57692307692307687"/>
    <n v="2.2000000000000002"/>
    <n v="1"/>
    <m/>
    <d v="2014-02-25T00:00:00"/>
    <s v="To be realised"/>
    <n v="114"/>
    <n v="10"/>
    <n v="114"/>
    <n v="0"/>
    <n v="0"/>
    <x v="3"/>
    <m/>
    <m/>
    <n v="0"/>
    <n v="2"/>
    <s v="Excellent coverage"/>
    <n v="0"/>
    <x v="1"/>
    <m/>
  </r>
  <r>
    <x v="2"/>
    <s v="MMR001CMP231"/>
    <x v="2"/>
    <x v="29"/>
    <n v="96.341520000000003"/>
    <n v="25.655280000000001"/>
    <x v="0"/>
    <x v="0"/>
    <n v="50"/>
    <n v="233"/>
    <n v="233"/>
    <x v="1"/>
    <s v="UNICEF"/>
    <m/>
    <x v="3"/>
    <x v="1"/>
    <s v="Gap"/>
    <s v="WASH cluster"/>
    <x v="0"/>
    <n v="0"/>
    <n v="0"/>
    <s v="No"/>
    <n v="2"/>
    <n v="0"/>
    <n v="12960"/>
    <n v="0"/>
    <n v="0"/>
    <n v="1"/>
    <n v="233"/>
    <n v="1"/>
    <n v="233"/>
    <n v="1"/>
    <n v="233"/>
    <x v="0"/>
    <n v="0"/>
    <n v="0"/>
    <n v="0"/>
    <n v="0"/>
    <n v="0"/>
    <n v="1"/>
    <n v="233"/>
    <m/>
    <n v="0"/>
    <n v="0"/>
    <n v="6"/>
    <x v="1"/>
    <n v="0.51502145922746778"/>
    <n v="120"/>
    <n v="0"/>
    <n v="0"/>
    <n v="0.51502145922746778"/>
    <n v="120"/>
    <n v="0"/>
    <n v="1"/>
    <n v="233"/>
    <n v="5.65"/>
    <n v="1"/>
    <s v="Not separated yet"/>
    <n v="0.42918454935622319"/>
    <n v="100"/>
    <n v="1.33"/>
    <n v="1"/>
    <n v="233"/>
    <n v="0"/>
    <n v="0"/>
    <n v="2.33"/>
    <n v="0"/>
    <m/>
    <m/>
    <s v="To be realised"/>
    <n v="0"/>
    <m/>
    <n v="50"/>
    <n v="0"/>
    <n v="0"/>
    <x v="6"/>
    <m/>
    <m/>
    <n v="0"/>
    <n v="0"/>
    <s v="No coverage"/>
    <n v="0"/>
    <x v="1"/>
    <m/>
  </r>
  <r>
    <x v="2"/>
    <s v="MMR001CMP181"/>
    <x v="2"/>
    <x v="30"/>
    <n v="96.269199999999998"/>
    <n v="25.566510000000001"/>
    <x v="0"/>
    <x v="0"/>
    <n v="25"/>
    <n v="133"/>
    <n v="133"/>
    <x v="1"/>
    <s v="UNICEF"/>
    <s v="Shalom"/>
    <x v="3"/>
    <x v="1"/>
    <s v="Gap"/>
    <s v="Focal NGO"/>
    <x v="0"/>
    <n v="0"/>
    <n v="0"/>
    <s v="No"/>
    <n v="1"/>
    <n v="0"/>
    <n v="3000"/>
    <n v="0"/>
    <n v="0"/>
    <n v="1"/>
    <n v="133"/>
    <n v="1"/>
    <n v="133"/>
    <n v="1"/>
    <n v="133"/>
    <x v="0"/>
    <n v="0"/>
    <n v="0"/>
    <n v="0"/>
    <n v="0"/>
    <n v="0"/>
    <n v="1"/>
    <n v="133"/>
    <m/>
    <n v="2"/>
    <n v="2"/>
    <n v="6"/>
    <x v="1"/>
    <n v="1"/>
    <n v="133"/>
    <n v="9.7744360902255689E-2"/>
    <n v="13.000000000000007"/>
    <n v="0.90225563909774431"/>
    <n v="120"/>
    <n v="0"/>
    <n v="1"/>
    <n v="133"/>
    <n v="0.65000000000000036"/>
    <n v="2"/>
    <s v="Separate, but not clearly perceived"/>
    <n v="1"/>
    <n v="133"/>
    <n v="0"/>
    <n v="1"/>
    <n v="133"/>
    <n v="2"/>
    <n v="1"/>
    <n v="0"/>
    <n v="1"/>
    <m/>
    <d v="2014-02-25T00:00:00"/>
    <s v="To be realised"/>
    <n v="25"/>
    <n v="10"/>
    <n v="25"/>
    <n v="0"/>
    <n v="0"/>
    <x v="3"/>
    <m/>
    <m/>
    <n v="0"/>
    <n v="2"/>
    <s v="Excellent coverage"/>
    <n v="0"/>
    <x v="1"/>
    <m/>
  </r>
  <r>
    <x v="2"/>
    <s v="MMR001CMP167"/>
    <x v="2"/>
    <x v="31"/>
    <n v="96.316400000000002"/>
    <n v="25.61842"/>
    <x v="0"/>
    <x v="0"/>
    <n v="15"/>
    <n v="74"/>
    <n v="74"/>
    <x v="1"/>
    <s v="UNICEF"/>
    <s v="Shalom"/>
    <x v="3"/>
    <x v="1"/>
    <s v="Gap"/>
    <s v="Focal NGO"/>
    <x v="0"/>
    <n v="0"/>
    <n v="0"/>
    <s v="No"/>
    <n v="1"/>
    <n v="0"/>
    <n v="2000"/>
    <n v="0"/>
    <n v="0"/>
    <n v="1"/>
    <n v="74"/>
    <n v="1"/>
    <n v="74"/>
    <n v="1"/>
    <n v="74"/>
    <x v="0"/>
    <n v="0"/>
    <n v="0"/>
    <n v="0"/>
    <n v="0"/>
    <n v="0"/>
    <n v="1"/>
    <n v="74"/>
    <m/>
    <n v="2"/>
    <n v="1"/>
    <n v="4"/>
    <x v="1"/>
    <n v="1"/>
    <n v="74"/>
    <n v="0"/>
    <n v="0"/>
    <n v="1"/>
    <n v="74"/>
    <n v="0"/>
    <n v="1"/>
    <n v="74"/>
    <n v="0"/>
    <n v="2"/>
    <s v="Not separated yet"/>
    <n v="1"/>
    <n v="74"/>
    <n v="0"/>
    <n v="1"/>
    <n v="74"/>
    <n v="1"/>
    <n v="1"/>
    <n v="0"/>
    <n v="1"/>
    <m/>
    <d v="2014-02-25T00:00:00"/>
    <s v="To be realised"/>
    <n v="15"/>
    <n v="10"/>
    <n v="15"/>
    <n v="0"/>
    <n v="0"/>
    <x v="3"/>
    <m/>
    <m/>
    <n v="0"/>
    <n v="1"/>
    <s v="Excellent coverage"/>
    <n v="1"/>
    <x v="0"/>
    <m/>
  </r>
  <r>
    <x v="2"/>
    <s v="MMR001CMP091"/>
    <x v="2"/>
    <x v="32"/>
    <n v="96.319687999999999"/>
    <n v="25.615202"/>
    <x v="0"/>
    <x v="0"/>
    <n v="5"/>
    <n v="26"/>
    <n v="26"/>
    <x v="1"/>
    <s v="UNICEF"/>
    <s v="Shalom"/>
    <x v="3"/>
    <x v="1"/>
    <d v="2015-12-31T00:00:00"/>
    <s v="Focal NGO"/>
    <x v="0"/>
    <n v="0"/>
    <n v="0"/>
    <s v="No"/>
    <n v="1"/>
    <n v="0"/>
    <n v="6000"/>
    <n v="0"/>
    <n v="0"/>
    <n v="1"/>
    <n v="26"/>
    <n v="1"/>
    <n v="26"/>
    <n v="1"/>
    <n v="26"/>
    <x v="0"/>
    <n v="0"/>
    <n v="0"/>
    <n v="0"/>
    <n v="0"/>
    <n v="0"/>
    <n v="1"/>
    <n v="26"/>
    <m/>
    <n v="5"/>
    <n v="2"/>
    <n v="1"/>
    <x v="2"/>
    <n v="1"/>
    <n v="26"/>
    <n v="0.23076923076923073"/>
    <n v="5.9999999999999991"/>
    <n v="0.76923076923076927"/>
    <n v="20"/>
    <n v="0"/>
    <n v="1"/>
    <n v="26"/>
    <n v="0.30000000000000004"/>
    <n v="2"/>
    <s v="Separate, clearly perceived"/>
    <n v="1"/>
    <n v="26"/>
    <n v="0"/>
    <n v="1"/>
    <n v="26"/>
    <n v="3"/>
    <n v="1"/>
    <n v="0"/>
    <n v="1"/>
    <m/>
    <d v="2014-02-25T00:00:00"/>
    <s v="To be realised"/>
    <n v="5"/>
    <n v="10"/>
    <n v="5"/>
    <n v="0"/>
    <n v="0"/>
    <x v="3"/>
    <m/>
    <n v="0"/>
    <n v="0"/>
    <n v="1"/>
    <s v="Excellent coverage"/>
    <n v="0"/>
    <x v="1"/>
    <m/>
  </r>
  <r>
    <x v="2"/>
    <s v="MMR001CMP192"/>
    <x v="2"/>
    <x v="33"/>
    <n v="96.339590000000001"/>
    <n v="25.617998"/>
    <x v="0"/>
    <x v="0"/>
    <n v="17"/>
    <n v="64"/>
    <n v="64"/>
    <x v="1"/>
    <s v="UNICEF"/>
    <s v="Shalom"/>
    <x v="3"/>
    <x v="1"/>
    <s v="Gap"/>
    <s v="Focal NGO"/>
    <x v="0"/>
    <n v="0"/>
    <n v="0"/>
    <s v="No"/>
    <n v="1"/>
    <n v="0"/>
    <n v="2000"/>
    <n v="0"/>
    <n v="0"/>
    <n v="1"/>
    <n v="64"/>
    <n v="1"/>
    <n v="64"/>
    <n v="1"/>
    <n v="64"/>
    <x v="0"/>
    <n v="0"/>
    <n v="0"/>
    <n v="0"/>
    <n v="0"/>
    <n v="0"/>
    <n v="1"/>
    <n v="64"/>
    <m/>
    <n v="1"/>
    <n v="2"/>
    <n v="3"/>
    <x v="3"/>
    <n v="1"/>
    <n v="64"/>
    <n v="6.25E-2"/>
    <n v="4"/>
    <n v="0.9375"/>
    <n v="60"/>
    <n v="0"/>
    <n v="1"/>
    <n v="64"/>
    <n v="0.20000000000000018"/>
    <n v="2"/>
    <s v="Separate, clearly perceived"/>
    <n v="1"/>
    <n v="64"/>
    <n v="0"/>
    <n v="1"/>
    <n v="64"/>
    <n v="4"/>
    <n v="1"/>
    <n v="0"/>
    <n v="1"/>
    <m/>
    <d v="2014-02-25T00:00:00"/>
    <s v="To be realised"/>
    <n v="17"/>
    <n v="10"/>
    <n v="17"/>
    <n v="0"/>
    <n v="0"/>
    <x v="3"/>
    <m/>
    <m/>
    <n v="0"/>
    <n v="2"/>
    <s v="Excellent coverage"/>
    <n v="0"/>
    <x v="1"/>
    <m/>
  </r>
  <r>
    <x v="2"/>
    <s v="MMR001CMP103"/>
    <x v="2"/>
    <x v="34"/>
    <n v="96.341352999999998"/>
    <n v="25.613894999999999"/>
    <x v="0"/>
    <x v="0"/>
    <n v="55"/>
    <n v="272"/>
    <n v="272"/>
    <x v="0"/>
    <s v="DFID/Trocaires"/>
    <s v="KMSS"/>
    <x v="4"/>
    <x v="1"/>
    <s v="Gap"/>
    <s v="Focal NGO"/>
    <x v="0"/>
    <n v="0"/>
    <n v="0"/>
    <s v="No"/>
    <n v="2"/>
    <n v="0"/>
    <n v="3000"/>
    <n v="0"/>
    <n v="0"/>
    <n v="1"/>
    <n v="272"/>
    <n v="1"/>
    <n v="272"/>
    <n v="1"/>
    <n v="272"/>
    <x v="0"/>
    <n v="0"/>
    <n v="0"/>
    <n v="0"/>
    <n v="0"/>
    <n v="0"/>
    <n v="1"/>
    <n v="272"/>
    <m/>
    <n v="8"/>
    <n v="0"/>
    <n v="10"/>
    <x v="1"/>
    <n v="0.73529411764705888"/>
    <n v="200"/>
    <n v="0"/>
    <n v="0"/>
    <n v="0.73529411764705888"/>
    <n v="200"/>
    <n v="0"/>
    <n v="1"/>
    <n v="272"/>
    <n v="3.5999999999999996"/>
    <n v="2"/>
    <s v="Separate, clearly perceived"/>
    <n v="0.73529411764705888"/>
    <n v="200"/>
    <n v="0.7200000000000002"/>
    <n v="0.74"/>
    <n v="201.28"/>
    <n v="3"/>
    <n v="1"/>
    <n v="0"/>
    <n v="1"/>
    <s v="have a plan to construct 8 latrines with current project"/>
    <d v="2014-06-27T00:00:00"/>
    <s v="To be realised"/>
    <n v="55"/>
    <n v="2"/>
    <n v="55"/>
    <n v="0"/>
    <n v="0"/>
    <x v="5"/>
    <m/>
    <m/>
    <n v="0"/>
    <n v="4"/>
    <s v="Excellent coverage"/>
    <n v="0"/>
    <x v="1"/>
    <m/>
  </r>
  <r>
    <x v="2"/>
    <s v="MMR001CMP182"/>
    <x v="2"/>
    <x v="35"/>
    <n v="96.279200000000003"/>
    <n v="25.56551"/>
    <x v="0"/>
    <x v="0"/>
    <n v="10"/>
    <n v="39"/>
    <n v="39"/>
    <x v="1"/>
    <s v="UNICEF"/>
    <s v="Shalom"/>
    <x v="3"/>
    <x v="1"/>
    <s v="Gap"/>
    <s v="Focal NGO"/>
    <x v="0"/>
    <n v="0"/>
    <n v="0"/>
    <s v="No"/>
    <n v="1"/>
    <n v="0"/>
    <n v="1600"/>
    <n v="0"/>
    <n v="0"/>
    <n v="1"/>
    <n v="39"/>
    <n v="1"/>
    <n v="39"/>
    <n v="1"/>
    <n v="39"/>
    <x v="0"/>
    <n v="0"/>
    <n v="0"/>
    <n v="0"/>
    <n v="0"/>
    <n v="0"/>
    <n v="1"/>
    <n v="39"/>
    <m/>
    <n v="9"/>
    <n v="2"/>
    <n v="2"/>
    <x v="1"/>
    <n v="1"/>
    <n v="39"/>
    <n v="0"/>
    <n v="0"/>
    <n v="1"/>
    <n v="39"/>
    <n v="0"/>
    <n v="1"/>
    <n v="39"/>
    <n v="0"/>
    <n v="2"/>
    <s v="Not separated yet"/>
    <n v="1"/>
    <n v="39"/>
    <n v="0"/>
    <n v="1"/>
    <n v="39"/>
    <n v="6"/>
    <n v="1"/>
    <n v="0"/>
    <n v="1"/>
    <m/>
    <d v="2014-02-25T00:00:00"/>
    <s v="To be realised"/>
    <n v="10"/>
    <n v="10"/>
    <n v="10"/>
    <n v="0"/>
    <n v="0"/>
    <x v="3"/>
    <m/>
    <m/>
    <n v="0"/>
    <n v="2"/>
    <s v="Excellent coverage"/>
    <n v="0"/>
    <x v="1"/>
    <m/>
  </r>
  <r>
    <x v="2"/>
    <s v="MMR001CMP183"/>
    <x v="2"/>
    <x v="36"/>
    <n v="96.353030000000004"/>
    <n v="25.668399999999998"/>
    <x v="0"/>
    <x v="0"/>
    <n v="8"/>
    <n v="40"/>
    <n v="40"/>
    <x v="1"/>
    <s v="UNICEF"/>
    <s v="Shalom"/>
    <x v="3"/>
    <x v="1"/>
    <s v="Gap"/>
    <s v="Focal NGO"/>
    <x v="0"/>
    <n v="0"/>
    <n v="0"/>
    <s v="No"/>
    <n v="0"/>
    <n v="0"/>
    <n v="3750"/>
    <n v="0"/>
    <n v="0"/>
    <n v="1"/>
    <n v="40"/>
    <n v="1"/>
    <n v="40"/>
    <n v="1"/>
    <n v="40"/>
    <x v="0"/>
    <n v="0"/>
    <n v="0"/>
    <n v="0.1"/>
    <n v="0"/>
    <n v="0"/>
    <n v="1"/>
    <n v="40"/>
    <m/>
    <n v="6"/>
    <n v="0"/>
    <n v="8"/>
    <x v="0"/>
    <n v="1"/>
    <n v="40"/>
    <n v="0"/>
    <n v="0"/>
    <n v="1"/>
    <n v="40"/>
    <n v="0"/>
    <n v="1"/>
    <n v="40"/>
    <n v="0"/>
    <n v="2"/>
    <s v="Not separated yet"/>
    <n v="1"/>
    <n v="40"/>
    <n v="0"/>
    <n v="1"/>
    <n v="40"/>
    <n v="2"/>
    <n v="1"/>
    <n v="0"/>
    <n v="1"/>
    <m/>
    <d v="2014-02-25T00:00:00"/>
    <s v="To be realised"/>
    <n v="8"/>
    <n v="10"/>
    <n v="8"/>
    <n v="0"/>
    <n v="0"/>
    <x v="3"/>
    <m/>
    <m/>
    <n v="0"/>
    <n v="2"/>
    <s v="Excellent coverage"/>
    <n v="0"/>
    <x v="1"/>
    <m/>
  </r>
  <r>
    <x v="2"/>
    <s v="MMR001CMP184"/>
    <x v="2"/>
    <x v="37"/>
    <n v="96.286680000000004"/>
    <n v="25.577559999999998"/>
    <x v="0"/>
    <x v="0"/>
    <n v="41"/>
    <n v="199"/>
    <n v="199"/>
    <x v="1"/>
    <s v="UNICEF"/>
    <s v="Shalom"/>
    <x v="3"/>
    <x v="1"/>
    <s v="Gap"/>
    <s v="Focal NGO"/>
    <x v="0"/>
    <n v="0"/>
    <n v="0"/>
    <s v="No"/>
    <n v="1"/>
    <n v="0"/>
    <n v="4800"/>
    <n v="0"/>
    <n v="0"/>
    <n v="1"/>
    <n v="199"/>
    <n v="1"/>
    <n v="199"/>
    <n v="1"/>
    <n v="199"/>
    <x v="0"/>
    <n v="0"/>
    <n v="0"/>
    <n v="0"/>
    <n v="0"/>
    <n v="0"/>
    <n v="1"/>
    <n v="199"/>
    <m/>
    <n v="0"/>
    <n v="5"/>
    <n v="4"/>
    <x v="1"/>
    <n v="0.90452261306532666"/>
    <n v="180"/>
    <n v="0.50251256281407031"/>
    <n v="99.999999999999986"/>
    <n v="0.4020100502512563"/>
    <n v="80"/>
    <n v="0"/>
    <n v="1"/>
    <n v="199"/>
    <n v="5.9499999999999993"/>
    <n v="3"/>
    <s v="Not separated yet"/>
    <n v="1"/>
    <n v="199"/>
    <n v="0"/>
    <n v="1"/>
    <n v="199"/>
    <n v="3"/>
    <n v="1"/>
    <n v="0"/>
    <n v="1"/>
    <s v="land limited for more semi-permanent latrine construciton, 6 semi permanent latrine already existed, church committee let them to use in 3, but if trouble, they church committee can share"/>
    <d v="2014-02-25T00:00:00"/>
    <s v="To be realised"/>
    <n v="41"/>
    <n v="10"/>
    <n v="41"/>
    <n v="0"/>
    <n v="0"/>
    <x v="3"/>
    <m/>
    <m/>
    <n v="0"/>
    <n v="2"/>
    <s v="Excellent coverage"/>
    <n v="0"/>
    <x v="1"/>
    <m/>
  </r>
  <r>
    <x v="2"/>
    <s v="MMR001CMP105"/>
    <x v="2"/>
    <x v="38"/>
    <n v="96.306910999999999"/>
    <n v="25.599250000000001"/>
    <x v="0"/>
    <x v="0"/>
    <n v="21"/>
    <n v="77"/>
    <n v="77"/>
    <x v="1"/>
    <s v="UNICEF"/>
    <s v="Shalom"/>
    <x v="3"/>
    <x v="1"/>
    <d v="2016-02-29T00:00:00"/>
    <s v="Focal NGO"/>
    <x v="0"/>
    <n v="0"/>
    <n v="0"/>
    <s v="No"/>
    <n v="0"/>
    <n v="0"/>
    <n v="5600"/>
    <n v="0"/>
    <n v="0"/>
    <n v="1"/>
    <n v="77"/>
    <n v="1"/>
    <n v="77"/>
    <n v="1"/>
    <n v="77"/>
    <x v="0"/>
    <n v="0"/>
    <n v="0"/>
    <n v="0.1925"/>
    <n v="0"/>
    <n v="0"/>
    <n v="1"/>
    <n v="77"/>
    <m/>
    <n v="0"/>
    <n v="3"/>
    <n v="1"/>
    <x v="0"/>
    <n v="1"/>
    <n v="77"/>
    <n v="0.74025974025974028"/>
    <n v="57"/>
    <n v="0.25974025974025972"/>
    <n v="19.999999999999996"/>
    <n v="0"/>
    <n v="1"/>
    <n v="77"/>
    <n v="2.85"/>
    <n v="2"/>
    <s v="Separate, clearly perceived"/>
    <n v="1"/>
    <n v="77"/>
    <n v="0"/>
    <n v="1"/>
    <n v="77"/>
    <n v="3"/>
    <n v="1"/>
    <n v="0"/>
    <n v="1"/>
    <s v="due to land owner filled the land the bathing sapce construction have removed"/>
    <d v="2014-02-25T00:00:00"/>
    <s v="To be realised"/>
    <n v="21"/>
    <n v="10"/>
    <n v="21"/>
    <n v="0"/>
    <n v="0"/>
    <x v="3"/>
    <m/>
    <n v="0"/>
    <n v="0"/>
    <n v="2"/>
    <s v="Excellent coverage"/>
    <n v="0"/>
    <x v="1"/>
    <m/>
  </r>
  <r>
    <x v="3"/>
    <s v="MMR015CMP218"/>
    <x v="3"/>
    <x v="39"/>
    <m/>
    <m/>
    <x v="0"/>
    <x v="0"/>
    <n v="44"/>
    <n v="223"/>
    <n v="223"/>
    <x v="1"/>
    <s v="FCA/HIDA/WHH"/>
    <s v="KBC"/>
    <x v="2"/>
    <x v="1"/>
    <d v="2016-05-31T00:00:00"/>
    <s v="Focal NGO"/>
    <x v="0"/>
    <n v="0"/>
    <n v="0"/>
    <s v="No"/>
    <n v="2"/>
    <n v="0"/>
    <n v="4000"/>
    <n v="1"/>
    <n v="1"/>
    <n v="1"/>
    <n v="223"/>
    <n v="1"/>
    <n v="223"/>
    <n v="1"/>
    <n v="223"/>
    <x v="0"/>
    <n v="0"/>
    <n v="0"/>
    <n v="0"/>
    <n v="44"/>
    <n v="223"/>
    <n v="1"/>
    <n v="223"/>
    <m/>
    <n v="20"/>
    <n v="0"/>
    <n v="10"/>
    <x v="3"/>
    <n v="0.89686098654708524"/>
    <n v="200"/>
    <n v="0"/>
    <n v="0"/>
    <n v="0.89686098654708524"/>
    <n v="200"/>
    <n v="0"/>
    <n v="1"/>
    <n v="223"/>
    <n v="1.1500000000000004"/>
    <n v="0"/>
    <m/>
    <n v="0"/>
    <n v="0"/>
    <n v="2.23"/>
    <n v="0"/>
    <n v="0"/>
    <n v="4"/>
    <n v="1"/>
    <n v="0"/>
    <n v="1"/>
    <m/>
    <d v="2015-05-01T00:00:00"/>
    <d v="2016-04-30T00:00:00"/>
    <n v="46"/>
    <n v="4"/>
    <n v="0"/>
    <n v="1"/>
    <n v="223"/>
    <x v="7"/>
    <m/>
    <n v="0"/>
    <n v="0"/>
    <n v="2"/>
    <s v="Excellent coverage"/>
    <n v="0"/>
    <x v="1"/>
    <m/>
  </r>
  <r>
    <x v="3"/>
    <s v="MMR015CMP019"/>
    <x v="3"/>
    <x v="40"/>
    <n v="98.128"/>
    <n v="23.24"/>
    <x v="0"/>
    <x v="0"/>
    <n v="42"/>
    <n v="258"/>
    <n v="258"/>
    <x v="1"/>
    <s v="FCA/HIDA/WHH"/>
    <s v="Church"/>
    <x v="2"/>
    <x v="1"/>
    <d v="2016-03-31T00:00:00"/>
    <s v="Focal NGO"/>
    <x v="0"/>
    <n v="0"/>
    <n v="0"/>
    <s v="No"/>
    <n v="0"/>
    <n v="0"/>
    <n v="17000"/>
    <n v="0"/>
    <n v="0"/>
    <n v="1"/>
    <n v="258"/>
    <n v="1"/>
    <n v="258"/>
    <n v="1"/>
    <n v="258"/>
    <x v="0"/>
    <n v="0"/>
    <n v="0"/>
    <n v="0.64500000000000002"/>
    <n v="0"/>
    <n v="0"/>
    <n v="1"/>
    <n v="258"/>
    <m/>
    <n v="10"/>
    <n v="27"/>
    <n v="0"/>
    <x v="1"/>
    <n v="1"/>
    <n v="258"/>
    <n v="1"/>
    <n v="258"/>
    <n v="0"/>
    <n v="0"/>
    <n v="0"/>
    <n v="1"/>
    <n v="258"/>
    <n v="12.9"/>
    <n v="0"/>
    <m/>
    <n v="0"/>
    <n v="0"/>
    <n v="2.58"/>
    <n v="0"/>
    <n v="0"/>
    <n v="0"/>
    <n v="0"/>
    <n v="2.58"/>
    <n v="0.7"/>
    <s v="MEETA Plan(Emergency latrine 20), No plan for Hand Washing space."/>
    <m/>
    <s v="To be realised"/>
    <n v="0"/>
    <n v="5"/>
    <n v="42"/>
    <n v="0"/>
    <n v="0"/>
    <x v="6"/>
    <s v="Metta has 3 months refill distribution in July 15 and people were only received refill HK since camp opening. "/>
    <n v="0"/>
    <n v="0"/>
    <n v="1"/>
    <s v="Excellent coverage"/>
    <n v="0"/>
    <x v="1"/>
    <m/>
  </r>
  <r>
    <x v="4"/>
    <s v="MMR001CMP074"/>
    <x v="1"/>
    <x v="41"/>
    <n v="98.144502500000002"/>
    <n v="26.890058"/>
    <x v="0"/>
    <x v="0"/>
    <n v="11"/>
    <n v="17"/>
    <n v="17"/>
    <x v="1"/>
    <m/>
    <m/>
    <x v="0"/>
    <x v="0"/>
    <d v="2016-02-29T00:00:00"/>
    <s v="Not documented"/>
    <x v="1"/>
    <n v="0"/>
    <n v="0"/>
    <s v="No"/>
    <n v="0"/>
    <n v="0"/>
    <n v="0"/>
    <n v="0"/>
    <n v="0"/>
    <n v="0"/>
    <n v="0"/>
    <n v="0"/>
    <n v="0"/>
    <n v="0"/>
    <n v="0"/>
    <x v="1"/>
    <n v="0"/>
    <n v="0"/>
    <n v="4.2500000000000003E-2"/>
    <n v="0"/>
    <n v="0"/>
    <n v="0"/>
    <n v="0"/>
    <s v="Not reachable location"/>
    <n v="0"/>
    <n v="0"/>
    <n v="0"/>
    <x v="1"/>
    <n v="0"/>
    <n v="0"/>
    <n v="0"/>
    <n v="0"/>
    <n v="0"/>
    <n v="0"/>
    <n v="0"/>
    <n v="0"/>
    <n v="0"/>
    <n v="0.85"/>
    <n v="0"/>
    <s v="Not separated yet"/>
    <n v="0"/>
    <n v="0"/>
    <n v="0.17"/>
    <n v="0"/>
    <n v="0"/>
    <n v="0"/>
    <n v="0"/>
    <n v="0.17"/>
    <n v="0"/>
    <m/>
    <m/>
    <s v="To be realised"/>
    <n v="0"/>
    <n v="0"/>
    <n v="11"/>
    <n v="0"/>
    <n v="0"/>
    <x v="6"/>
    <m/>
    <n v="0"/>
    <n v="0"/>
    <n v="0"/>
    <s v="No coverage"/>
    <n v="0"/>
    <x v="1"/>
    <m/>
  </r>
  <r>
    <x v="5"/>
    <s v="MMR015CMP015"/>
    <x v="3"/>
    <x v="42"/>
    <n v="97.848529999999997"/>
    <n v="23.4008"/>
    <x v="0"/>
    <x v="0"/>
    <n v="86"/>
    <n v="468"/>
    <n v="468"/>
    <x v="0"/>
    <s v="FCA/HIDA/WHH"/>
    <s v="KBC"/>
    <x v="0"/>
    <x v="0"/>
    <s v="Gap"/>
    <s v="Focal NGO"/>
    <x v="0"/>
    <n v="0"/>
    <n v="0"/>
    <s v="No"/>
    <n v="0"/>
    <n v="0"/>
    <n v="86400"/>
    <n v="1"/>
    <n v="0"/>
    <n v="1"/>
    <n v="468"/>
    <n v="1"/>
    <n v="468"/>
    <n v="1"/>
    <n v="468"/>
    <x v="0"/>
    <n v="0"/>
    <n v="0"/>
    <n v="1.17"/>
    <n v="0"/>
    <n v="468"/>
    <n v="1"/>
    <n v="468"/>
    <s v="Water Tank(1)"/>
    <n v="0"/>
    <n v="86"/>
    <n v="0"/>
    <x v="0"/>
    <n v="1"/>
    <n v="468"/>
    <n v="1"/>
    <n v="468"/>
    <n v="0"/>
    <n v="0"/>
    <n v="2"/>
    <n v="1"/>
    <n v="468"/>
    <n v="25.4"/>
    <n v="1"/>
    <s v="Not separated yet"/>
    <n v="0.21367521367521367"/>
    <n v="100"/>
    <n v="3.6799999999999997"/>
    <n v="0.31"/>
    <n v="145.08000000000001"/>
    <n v="0"/>
    <n v="0"/>
    <n v="4.68"/>
    <n v="0.7"/>
    <s v="MDCG supported WASH-Shelter as HH level (no need to construct semi-parmanent), No plan for hand washing space."/>
    <d v="2015-05-01T00:00:00"/>
    <d v="2016-04-30T00:00:00"/>
    <n v="82"/>
    <n v="5"/>
    <n v="4"/>
    <n v="0.95348837209302328"/>
    <n v="446.23255813953489"/>
    <x v="7"/>
    <m/>
    <m/>
    <n v="0"/>
    <n v="3"/>
    <s v="Excellent coverage"/>
    <n v="0"/>
    <x v="1"/>
    <m/>
  </r>
  <r>
    <x v="5"/>
    <s v="MMR015CMP016"/>
    <x v="3"/>
    <x v="43"/>
    <n v="97.926813999999993"/>
    <n v="23.450914000000001"/>
    <x v="0"/>
    <x v="0"/>
    <n v="64"/>
    <n v="305"/>
    <n v="305"/>
    <x v="0"/>
    <s v="FCA/HIDA/WHH"/>
    <s v="KBC"/>
    <x v="2"/>
    <x v="1"/>
    <d v="2016-03-31T00:00:00"/>
    <s v="Focal NGO"/>
    <x v="0"/>
    <n v="0"/>
    <n v="0"/>
    <s v="No"/>
    <n v="0"/>
    <n v="0"/>
    <n v="2000"/>
    <n v="1"/>
    <n v="0"/>
    <n v="0.43715846994535523"/>
    <n v="133.33333333333334"/>
    <n v="0.43715846994535523"/>
    <n v="133.33333333333334"/>
    <n v="0.43715846994535523"/>
    <n v="133.33333333333334"/>
    <x v="2"/>
    <n v="0"/>
    <n v="0"/>
    <n v="0.76249999999999996"/>
    <n v="0"/>
    <n v="305"/>
    <n v="1"/>
    <n v="305"/>
    <s v="tube-well(1)"/>
    <n v="65"/>
    <n v="6"/>
    <n v="0"/>
    <x v="0"/>
    <n v="0.39344262295081966"/>
    <n v="120"/>
    <n v="0.39344262295081966"/>
    <n v="120"/>
    <n v="0"/>
    <n v="0"/>
    <n v="3"/>
    <n v="0.41"/>
    <n v="125.05"/>
    <n v="18.25"/>
    <n v="2"/>
    <s v="Not separated yet"/>
    <n v="0.65573770491803274"/>
    <n v="199.99999999999997"/>
    <n v="1.0499999999999998"/>
    <n v="0.68"/>
    <n v="207.4"/>
    <n v="2"/>
    <n v="0.65573770491803274"/>
    <n v="1.0499999999999998"/>
    <n v="0.86"/>
    <s v="land limited to construct more semi-permanent"/>
    <d v="2012-10-01T00:00:00"/>
    <s v="To be realised"/>
    <n v="84"/>
    <n v="5"/>
    <n v="64"/>
    <n v="0"/>
    <n v="0"/>
    <x v="8"/>
    <s v="Metta continue refill HK distribution in this camp"/>
    <n v="0.3"/>
    <n v="91.5"/>
    <n v="2"/>
    <s v="Excellent coverage"/>
    <n v="0"/>
    <x v="0"/>
    <m/>
  </r>
  <r>
    <x v="5"/>
    <s v="MMR015CMP017"/>
    <x v="3"/>
    <x v="44"/>
    <n v="97.947360000000003"/>
    <n v="23.460349999999998"/>
    <x v="0"/>
    <x v="0"/>
    <n v="31"/>
    <n v="142"/>
    <n v="142"/>
    <x v="1"/>
    <s v="Trocaires"/>
    <s v="KMSS"/>
    <x v="0"/>
    <x v="0"/>
    <s v="Gap"/>
    <s v="Focal NGO"/>
    <x v="0"/>
    <n v="0"/>
    <n v="0"/>
    <s v="No"/>
    <n v="1"/>
    <n v="0"/>
    <n v="0"/>
    <n v="1"/>
    <n v="0"/>
    <n v="1"/>
    <n v="142"/>
    <n v="1"/>
    <n v="142"/>
    <n v="1"/>
    <n v="142"/>
    <x v="0"/>
    <n v="0"/>
    <n v="0"/>
    <n v="0"/>
    <n v="0"/>
    <n v="142"/>
    <n v="1"/>
    <n v="142"/>
    <s v="KMSS have a plan to distrbute CWF filter"/>
    <n v="17"/>
    <n v="0"/>
    <n v="8"/>
    <x v="3"/>
    <n v="1"/>
    <n v="142"/>
    <n v="0"/>
    <n v="0"/>
    <n v="1"/>
    <n v="142"/>
    <n v="2"/>
    <n v="1"/>
    <n v="142"/>
    <n v="1.0999999999999996"/>
    <n v="2"/>
    <s v="Separate, clearly perceived"/>
    <n v="1"/>
    <n v="142"/>
    <n v="0"/>
    <n v="1"/>
    <n v="142"/>
    <n v="0"/>
    <n v="0"/>
    <n v="1.42"/>
    <n v="0"/>
    <s v="Emergency Latrines need to decomission, No plan for hand washing space."/>
    <m/>
    <s v="To be realised"/>
    <n v="0"/>
    <n v="3"/>
    <n v="31"/>
    <n v="0"/>
    <n v="0"/>
    <x v="6"/>
    <s v=" KMSS will distribute refill Hygiene kit until december 2015"/>
    <m/>
    <n v="0"/>
    <n v="2"/>
    <s v="Excellent coverage"/>
    <n v="0"/>
    <x v="0"/>
    <m/>
  </r>
  <r>
    <x v="5"/>
    <s v="MMR015CMP018"/>
    <x v="3"/>
    <x v="45"/>
    <n v="97.793306999999999"/>
    <n v="23.589089000000001"/>
    <x v="0"/>
    <x v="0"/>
    <n v="77"/>
    <n v="363"/>
    <n v="363"/>
    <x v="0"/>
    <s v="FCA/HIDA/WHH"/>
    <s v="KBC"/>
    <x v="0"/>
    <x v="0"/>
    <s v="Gap"/>
    <s v="Focal NGO"/>
    <x v="0"/>
    <n v="0"/>
    <n v="0"/>
    <s v="No"/>
    <n v="0"/>
    <n v="0"/>
    <n v="100000"/>
    <n v="1"/>
    <n v="0"/>
    <n v="1"/>
    <n v="363"/>
    <n v="1"/>
    <n v="363"/>
    <n v="1"/>
    <n v="363"/>
    <x v="0"/>
    <n v="0"/>
    <n v="0"/>
    <n v="0.90749999999999997"/>
    <n v="0"/>
    <n v="363"/>
    <n v="1"/>
    <n v="363"/>
    <m/>
    <n v="0"/>
    <n v="74"/>
    <n v="0"/>
    <x v="0"/>
    <n v="1"/>
    <n v="363"/>
    <n v="1"/>
    <n v="363"/>
    <n v="0"/>
    <n v="0"/>
    <n v="2"/>
    <n v="1"/>
    <n v="363"/>
    <n v="20.149999999999999"/>
    <n v="5"/>
    <m/>
    <n v="1"/>
    <n v="363"/>
    <n v="0"/>
    <n v="1"/>
    <n v="363"/>
    <n v="0"/>
    <n v="0"/>
    <n v="3.63"/>
    <n v="0"/>
    <s v="MDCG + Metta supported WASH-Shelter facilities at  HH level (no need to construct semi-parmanent), no plan for hand washing space."/>
    <d v="2015-05-01T00:00:00"/>
    <d v="2016-04-30T00:00:00"/>
    <n v="77"/>
    <n v="5"/>
    <n v="0"/>
    <n v="1"/>
    <n v="363"/>
    <x v="7"/>
    <m/>
    <m/>
    <n v="0"/>
    <n v="2"/>
    <s v="Excellent coverage"/>
    <n v="0"/>
    <x v="1"/>
    <m/>
  </r>
  <r>
    <x v="5"/>
    <s v="MMR015CMP006"/>
    <x v="3"/>
    <x v="46"/>
    <n v="98.220614999999995"/>
    <n v="23.400155999999999"/>
    <x v="0"/>
    <x v="0"/>
    <n v="51"/>
    <n v="251"/>
    <n v="251"/>
    <x v="0"/>
    <s v="FCA/HIDA/WHH"/>
    <s v="KBC"/>
    <x v="0"/>
    <x v="0"/>
    <s v="Gap"/>
    <s v="Focal NGO"/>
    <x v="0"/>
    <n v="0"/>
    <n v="0"/>
    <s v="No"/>
    <n v="0"/>
    <n v="0"/>
    <n v="3500"/>
    <n v="1"/>
    <n v="0"/>
    <n v="0.92961487383798147"/>
    <n v="233.33333333333334"/>
    <n v="0.92961487383798147"/>
    <n v="233.33333333333334"/>
    <n v="0.92961487383798147"/>
    <n v="233.33333333333334"/>
    <x v="0"/>
    <n v="0"/>
    <n v="0"/>
    <n v="0.62749999999999995"/>
    <n v="0"/>
    <n v="251"/>
    <n v="1"/>
    <n v="251"/>
    <m/>
    <n v="0"/>
    <n v="41"/>
    <n v="0"/>
    <x v="0"/>
    <n v="1"/>
    <n v="251"/>
    <n v="1"/>
    <n v="251"/>
    <n v="0"/>
    <n v="0"/>
    <n v="2"/>
    <n v="1"/>
    <n v="251"/>
    <n v="14.55"/>
    <n v="3"/>
    <m/>
    <n v="1"/>
    <n v="251"/>
    <n v="0"/>
    <n v="1"/>
    <n v="251"/>
    <n v="0"/>
    <n v="0"/>
    <n v="2.5099999999999998"/>
    <n v="0"/>
    <s v="MDCG supported WASH-Shelter as HH level (no need to construct semi-parmanent), No plan for hand washing space."/>
    <d v="2015-05-01T00:00:00"/>
    <d v="2016-04-30T00:00:00"/>
    <n v="49"/>
    <n v="5"/>
    <n v="2"/>
    <n v="0.96078431372549022"/>
    <n v="241.15686274509804"/>
    <x v="7"/>
    <s v="Metta have 3 months refill distribution in July 15"/>
    <m/>
    <n v="0"/>
    <n v="1"/>
    <s v="Excellent coverage"/>
    <n v="0"/>
    <x v="1"/>
    <m/>
  </r>
  <r>
    <x v="5"/>
    <s v="MMR015CMP019"/>
    <x v="3"/>
    <x v="47"/>
    <n v="98.213958000000005"/>
    <n v="23.391741"/>
    <x v="0"/>
    <x v="0"/>
    <n v="23"/>
    <n v="107"/>
    <n v="107"/>
    <x v="1"/>
    <s v="Trocaires"/>
    <s v="KMSS"/>
    <x v="0"/>
    <x v="0"/>
    <s v="Gap"/>
    <s v="Focal NGO"/>
    <x v="0"/>
    <n v="0"/>
    <n v="0"/>
    <s v="No"/>
    <n v="0"/>
    <n v="0"/>
    <n v="14400"/>
    <n v="1"/>
    <n v="0"/>
    <n v="1"/>
    <n v="107"/>
    <n v="1"/>
    <n v="107"/>
    <n v="1"/>
    <n v="107"/>
    <x v="0"/>
    <n v="0"/>
    <n v="0"/>
    <n v="0.26750000000000002"/>
    <n v="0"/>
    <n v="107"/>
    <n v="1"/>
    <n v="107"/>
    <s v="KMSS have a plan to distrbute CWF filter"/>
    <n v="5"/>
    <n v="12"/>
    <n v="8"/>
    <x v="3"/>
    <n v="1"/>
    <n v="107"/>
    <n v="0"/>
    <n v="0"/>
    <n v="1"/>
    <n v="107"/>
    <n v="2"/>
    <n v="1"/>
    <n v="107"/>
    <n v="0"/>
    <n v="2"/>
    <s v="Separate, clearly perceived"/>
    <n v="1"/>
    <n v="107"/>
    <n v="0"/>
    <n v="1"/>
    <n v="107"/>
    <n v="0"/>
    <n v="0"/>
    <n v="1.07"/>
    <n v="0"/>
    <s v="Emergency Latrines need to decomission, No plan for hand washing space."/>
    <m/>
    <s v="To be realised"/>
    <n v="0"/>
    <n v="3"/>
    <n v="23"/>
    <n v="0"/>
    <n v="0"/>
    <x v="6"/>
    <s v=" KMSS will distribute refill Hygiene kit until december 2015"/>
    <m/>
    <n v="0"/>
    <n v="2"/>
    <s v="Excellent coverage"/>
    <n v="0"/>
    <x v="1"/>
    <m/>
  </r>
  <r>
    <x v="5"/>
    <s v="MMR015CMP019"/>
    <x v="3"/>
    <x v="48"/>
    <n v="97.819062000000002"/>
    <n v="23.694047000000001"/>
    <x v="0"/>
    <x v="0"/>
    <n v="70"/>
    <n v="273"/>
    <n v="273"/>
    <x v="0"/>
    <s v="FCA/HIDA/WHH"/>
    <s v="KBC"/>
    <x v="0"/>
    <x v="0"/>
    <s v="Gap"/>
    <s v="Focal NGO"/>
    <x v="0"/>
    <n v="0"/>
    <n v="0"/>
    <s v="No"/>
    <n v="0"/>
    <n v="0"/>
    <n v="57600"/>
    <n v="1"/>
    <n v="0"/>
    <n v="1"/>
    <n v="273"/>
    <n v="1"/>
    <n v="273"/>
    <n v="1"/>
    <n v="273"/>
    <x v="0"/>
    <n v="0"/>
    <n v="0"/>
    <n v="0.6825"/>
    <n v="0"/>
    <n v="273"/>
    <n v="1"/>
    <n v="273"/>
    <m/>
    <n v="21"/>
    <n v="9"/>
    <n v="9"/>
    <x v="1"/>
    <n v="1"/>
    <n v="273"/>
    <n v="0.34065934065934067"/>
    <n v="93"/>
    <n v="0.65934065934065933"/>
    <n v="180"/>
    <n v="4"/>
    <n v="1"/>
    <n v="273"/>
    <n v="8.65"/>
    <n v="2"/>
    <s v="Not separated yet"/>
    <n v="0.73260073260073255"/>
    <n v="200"/>
    <n v="0.73"/>
    <n v="0.75"/>
    <n v="204.75"/>
    <n v="4"/>
    <n v="1"/>
    <n v="0"/>
    <n v="1"/>
    <s v="community have practice as wash their hand at bathing space near the latrines "/>
    <d v="2015-05-11T00:00:00"/>
    <d v="2016-05-10T00:00:00"/>
    <n v="85"/>
    <n v="5"/>
    <n v="0"/>
    <n v="1"/>
    <n v="273"/>
    <x v="7"/>
    <m/>
    <m/>
    <n v="0"/>
    <n v="2"/>
    <s v="Excellent coverage"/>
    <n v="0"/>
    <x v="1"/>
    <m/>
  </r>
  <r>
    <x v="5"/>
    <m/>
    <x v="3"/>
    <x v="49"/>
    <n v="97.875889999999998"/>
    <n v="23.44744"/>
    <x v="0"/>
    <x v="0"/>
    <n v="105"/>
    <n v="481"/>
    <n v="481"/>
    <x v="0"/>
    <s v="FCA/HIDA/WHH"/>
    <m/>
    <x v="2"/>
    <x v="1"/>
    <d v="2015-12-31T00:00:00"/>
    <s v="Focal NGO"/>
    <x v="0"/>
    <n v="0"/>
    <n v="0"/>
    <s v="No"/>
    <n v="1"/>
    <n v="0"/>
    <n v="2000"/>
    <n v="1"/>
    <n v="0"/>
    <n v="1"/>
    <n v="481"/>
    <n v="1"/>
    <n v="481"/>
    <n v="1"/>
    <n v="481"/>
    <x v="0"/>
    <n v="0"/>
    <n v="0"/>
    <n v="0.2024999999999999"/>
    <n v="0"/>
    <n v="481"/>
    <n v="1"/>
    <n v="481"/>
    <m/>
    <n v="10"/>
    <n v="90"/>
    <n v="0"/>
    <x v="1"/>
    <n v="1"/>
    <n v="481"/>
    <n v="1"/>
    <n v="481"/>
    <n v="0"/>
    <n v="0"/>
    <n v="0"/>
    <n v="1"/>
    <n v="481"/>
    <n v="24.05"/>
    <n v="0"/>
    <s v="Not separated yet"/>
    <n v="0"/>
    <n v="0"/>
    <n v="4.8099999999999996"/>
    <n v="0"/>
    <n v="0"/>
    <n v="0"/>
    <n v="0"/>
    <n v="4.8099999999999996"/>
    <n v="0"/>
    <s v="Metta has a plan bathing space construction, no plan for hand washing space. Latrines have been provided at HH level"/>
    <d v="2015-04-08T00:00:00"/>
    <d v="2016-04-07T00:00:00"/>
    <n v="105"/>
    <n v="3"/>
    <n v="0"/>
    <n v="1"/>
    <n v="481"/>
    <x v="2"/>
    <m/>
    <n v="0"/>
    <n v="0"/>
    <n v="0"/>
    <s v="No coverage"/>
    <n v="0"/>
    <x v="0"/>
    <m/>
  </r>
  <r>
    <x v="5"/>
    <s v="MMR015CMP019"/>
    <x v="3"/>
    <x v="50"/>
    <n v="97.837040000000002"/>
    <n v="23.38503"/>
    <x v="0"/>
    <x v="0"/>
    <n v="178"/>
    <n v="846"/>
    <n v="826"/>
    <x v="0"/>
    <s v="FCA/HIDA/WHH"/>
    <s v="KBC"/>
    <x v="2"/>
    <x v="1"/>
    <d v="2016-03-31T00:00:00"/>
    <s v="Focal NGO"/>
    <x v="0"/>
    <n v="0"/>
    <n v="0"/>
    <s v="No"/>
    <n v="0"/>
    <n v="0"/>
    <n v="17000"/>
    <n v="1"/>
    <n v="0"/>
    <n v="1"/>
    <n v="826"/>
    <n v="1"/>
    <n v="826"/>
    <n v="1"/>
    <n v="826"/>
    <x v="0"/>
    <n v="0"/>
    <n v="0"/>
    <n v="2.0649999999999999"/>
    <n v="0"/>
    <n v="826"/>
    <n v="1"/>
    <n v="826"/>
    <s v="Metta has mataining ongoing process to the existing GFS "/>
    <n v="138"/>
    <n v="81"/>
    <n v="0"/>
    <x v="0"/>
    <n v="1"/>
    <n v="826"/>
    <n v="1"/>
    <n v="826"/>
    <n v="0"/>
    <n v="0"/>
    <n v="3"/>
    <n v="1"/>
    <n v="826"/>
    <n v="44.3"/>
    <n v="9"/>
    <m/>
    <n v="1"/>
    <n v="826"/>
    <n v="0"/>
    <n v="1"/>
    <n v="826"/>
    <n v="1"/>
    <n v="0.12106537530266344"/>
    <n v="7.4600000000000009"/>
    <n v="0.12"/>
    <s v="MDCG supported WASH-Shelter as HH level (no need to construct semi-parmanent)/ bathing space was ongoing activities by Metta"/>
    <d v="2015-05-01T00:00:00"/>
    <d v="2016-04-30T00:00:00"/>
    <n v="178"/>
    <n v="5"/>
    <n v="0"/>
    <n v="1"/>
    <n v="826"/>
    <x v="7"/>
    <s v="Metta have 3 months refill distribution in July 15"/>
    <n v="0"/>
    <n v="0"/>
    <n v="1"/>
    <s v="Average coverage"/>
    <n v="0"/>
    <x v="0"/>
    <m/>
  </r>
  <r>
    <x v="6"/>
    <s v="MMR001CMP129"/>
    <x v="4"/>
    <x v="51"/>
    <n v="97.609832999999995"/>
    <n v="24.002433"/>
    <x v="0"/>
    <x v="1"/>
    <n v="169"/>
    <n v="742"/>
    <n v="742"/>
    <x v="0"/>
    <s v="SCI"/>
    <s v="KMSS"/>
    <x v="0"/>
    <x v="0"/>
    <s v="Gap"/>
    <s v="Focal NGO"/>
    <x v="0"/>
    <n v="0"/>
    <n v="0"/>
    <s v="No"/>
    <n v="2"/>
    <n v="0"/>
    <n v="81090"/>
    <n v="0"/>
    <n v="0.95"/>
    <n v="1"/>
    <n v="742"/>
    <n v="1"/>
    <n v="742"/>
    <n v="1"/>
    <n v="742"/>
    <x v="0"/>
    <n v="0"/>
    <n v="0"/>
    <n v="0"/>
    <n v="160.54999999999998"/>
    <n v="0"/>
    <n v="1"/>
    <n v="742"/>
    <m/>
    <n v="0"/>
    <n v="42"/>
    <n v="14"/>
    <x v="3"/>
    <n v="1"/>
    <n v="742"/>
    <n v="0.62264150943396224"/>
    <n v="462"/>
    <n v="0.37735849056603776"/>
    <n v="280"/>
    <n v="0"/>
    <n v="1"/>
    <n v="742"/>
    <n v="23.1"/>
    <n v="4"/>
    <s v="Not separated yet"/>
    <n v="0.53908355795148244"/>
    <n v="399.99999999999994"/>
    <n v="3.42"/>
    <n v="0.54"/>
    <n v="400.68"/>
    <n v="1"/>
    <n v="0.13477088948787061"/>
    <n v="6.42"/>
    <n v="0.13"/>
    <m/>
    <d v="2014-03-28T00:00:00"/>
    <s v="To be realised"/>
    <n v="166"/>
    <n v="3"/>
    <n v="169"/>
    <n v="0"/>
    <n v="0"/>
    <x v="9"/>
    <m/>
    <m/>
    <n v="0"/>
    <n v="7"/>
    <s v="Excellent coverage"/>
    <n v="0"/>
    <x v="2"/>
    <m/>
  </r>
  <r>
    <x v="6"/>
    <s v="MMR001CMP202"/>
    <x v="4"/>
    <x v="52"/>
    <n v="97.609832999999995"/>
    <n v="24.002433"/>
    <x v="0"/>
    <x v="1"/>
    <n v="207"/>
    <n v="878"/>
    <n v="878"/>
    <x v="0"/>
    <s v="SCI"/>
    <s v="KMSS- Lashio"/>
    <x v="0"/>
    <x v="0"/>
    <s v="Gap"/>
    <s v="Focal NGO"/>
    <x v="0"/>
    <n v="0"/>
    <n v="0"/>
    <s v="No"/>
    <n v="3"/>
    <n v="0"/>
    <n v="38340"/>
    <n v="0"/>
    <n v="0.45"/>
    <n v="1"/>
    <n v="878"/>
    <n v="1"/>
    <n v="878"/>
    <n v="1"/>
    <n v="878"/>
    <x v="0"/>
    <n v="0"/>
    <n v="0"/>
    <n v="0"/>
    <n v="93.15"/>
    <n v="0"/>
    <n v="1"/>
    <n v="878"/>
    <m/>
    <n v="0"/>
    <n v="21"/>
    <n v="31"/>
    <x v="3"/>
    <n v="1"/>
    <n v="878"/>
    <n v="0.29384965831435084"/>
    <n v="258.00000000000006"/>
    <n v="0.70615034168564916"/>
    <n v="620"/>
    <n v="0"/>
    <n v="1"/>
    <n v="878"/>
    <n v="12.899999999999999"/>
    <n v="3"/>
    <s v="Separate, clearly perceived"/>
    <n v="0.34168564920273348"/>
    <n v="300"/>
    <n v="5.7799999999999994"/>
    <n v="0.34"/>
    <n v="298.52000000000004"/>
    <n v="3"/>
    <n v="0.34168564920273348"/>
    <n v="5.7799999999999994"/>
    <n v="0.34"/>
    <m/>
    <d v="2014-12-23T00:00:00"/>
    <d v="2015-12-23T00:00:00"/>
    <n v="206"/>
    <n v="0"/>
    <n v="1"/>
    <n v="0.99516908212560384"/>
    <n v="873.75845410628017"/>
    <x v="3"/>
    <m/>
    <m/>
    <n v="0"/>
    <n v="12"/>
    <s v="Excellent coverage"/>
    <n v="0"/>
    <x v="1"/>
    <m/>
  </r>
  <r>
    <x v="6"/>
    <s v="MMR001CMP129"/>
    <x v="4"/>
    <x v="53"/>
    <n v="97.602490000000003"/>
    <n v="24.000039999999998"/>
    <x v="0"/>
    <x v="1"/>
    <n v="53"/>
    <n v="201"/>
    <n v="201"/>
    <x v="0"/>
    <m/>
    <m/>
    <x v="0"/>
    <x v="0"/>
    <s v="Gap"/>
    <s v="Focal NGO"/>
    <x v="0"/>
    <n v="0"/>
    <n v="0"/>
    <s v="No"/>
    <n v="1"/>
    <n v="0"/>
    <n v="10000"/>
    <n v="0"/>
    <n v="0"/>
    <n v="1"/>
    <n v="201"/>
    <n v="1"/>
    <n v="201"/>
    <n v="1"/>
    <n v="201"/>
    <x v="0"/>
    <n v="0"/>
    <n v="0"/>
    <n v="0"/>
    <n v="0"/>
    <n v="0"/>
    <n v="1"/>
    <n v="201"/>
    <m/>
    <n v="0"/>
    <n v="0"/>
    <n v="20"/>
    <x v="3"/>
    <n v="1"/>
    <n v="201"/>
    <n v="0"/>
    <n v="0"/>
    <n v="1"/>
    <n v="201"/>
    <n v="0"/>
    <n v="1"/>
    <n v="201"/>
    <n v="0"/>
    <n v="4"/>
    <s v="Separate, clearly perceived"/>
    <n v="1"/>
    <n v="201"/>
    <n v="0"/>
    <n v="1"/>
    <n v="201"/>
    <n v="5"/>
    <n v="1"/>
    <n v="0"/>
    <n v="1"/>
    <s v="the 20 semi-permanent latrine are constructed by KBC"/>
    <d v="2015-04-13T00:00:00"/>
    <d v="2016-04-12T00:00:00"/>
    <n v="47"/>
    <n v="0"/>
    <n v="6"/>
    <n v="0.8867924528301887"/>
    <n v="178.24528301886792"/>
    <x v="10"/>
    <m/>
    <m/>
    <n v="0"/>
    <n v="2"/>
    <s v="Excellent coverage"/>
    <n v="0"/>
    <x v="1"/>
    <m/>
  </r>
  <r>
    <x v="6"/>
    <s v="MMR001CMP230"/>
    <x v="5"/>
    <x v="54"/>
    <n v="97.590767"/>
    <n v="23.829599000000002"/>
    <x v="0"/>
    <x v="0"/>
    <n v="114"/>
    <n v="499"/>
    <n v="499"/>
    <x v="0"/>
    <s v="FCA/HIDA/WHH"/>
    <s v="KBC"/>
    <x v="2"/>
    <x v="1"/>
    <d v="2016-03-31T00:00:00"/>
    <s v="Focal NGO"/>
    <x v="0"/>
    <n v="0"/>
    <n v="0"/>
    <s v="No"/>
    <n v="0"/>
    <n v="0"/>
    <n v="28000"/>
    <n v="0"/>
    <n v="1"/>
    <n v="1"/>
    <n v="499"/>
    <n v="1"/>
    <n v="499"/>
    <n v="1"/>
    <n v="499"/>
    <x v="0"/>
    <n v="0"/>
    <n v="0"/>
    <n v="1.2475000000000001"/>
    <n v="114"/>
    <n v="0"/>
    <n v="1"/>
    <n v="499"/>
    <s v="SCI constructed 1 chlorine treated station."/>
    <n v="15"/>
    <n v="0"/>
    <n v="9"/>
    <x v="3"/>
    <n v="0.36072144288577157"/>
    <n v="180"/>
    <n v="0"/>
    <n v="0"/>
    <n v="0.36072144288577157"/>
    <n v="180"/>
    <n v="7"/>
    <n v="1"/>
    <n v="499"/>
    <n v="22.95"/>
    <n v="5"/>
    <s v="Separate, clearly perceived"/>
    <n v="1"/>
    <n v="499"/>
    <n v="0"/>
    <n v="1"/>
    <n v="499"/>
    <n v="4"/>
    <n v="0.80160320641282568"/>
    <n v="0.99000000000000021"/>
    <n v="0.82"/>
    <s v="land limited to construct more semi-permanent"/>
    <d v="2014-04-12T00:00:00"/>
    <s v="To be realised"/>
    <n v="117"/>
    <n v="3"/>
    <n v="114"/>
    <n v="0"/>
    <n v="0"/>
    <x v="9"/>
    <s v="Metta continue refill HK distribution in this camp"/>
    <n v="1"/>
    <n v="499"/>
    <n v="9"/>
    <s v="Excellent coverage"/>
    <n v="0"/>
    <x v="0"/>
    <m/>
  </r>
  <r>
    <x v="6"/>
    <s v="MMR001CMP128"/>
    <x v="4"/>
    <x v="55"/>
    <n v="97.625617000000005"/>
    <n v="24.056132999999999"/>
    <x v="0"/>
    <x v="1"/>
    <n v="545"/>
    <n v="2561"/>
    <n v="2561"/>
    <x v="2"/>
    <s v="SCI"/>
    <s v="KMSS"/>
    <x v="0"/>
    <x v="0"/>
    <s v="Gap"/>
    <s v="Focal NGO"/>
    <x v="0"/>
    <n v="0"/>
    <n v="0"/>
    <s v="No"/>
    <n v="2"/>
    <n v="0"/>
    <n v="128565"/>
    <n v="0"/>
    <n v="0.5"/>
    <n v="1"/>
    <n v="2561"/>
    <n v="1"/>
    <n v="2561"/>
    <n v="1"/>
    <n v="2561"/>
    <x v="0"/>
    <n v="0"/>
    <n v="0"/>
    <n v="4.4024999999999999"/>
    <n v="272.5"/>
    <n v="0"/>
    <n v="1"/>
    <n v="2561"/>
    <m/>
    <n v="0"/>
    <n v="20"/>
    <n v="82"/>
    <x v="2"/>
    <n v="0.79656384224912147"/>
    <n v="2040"/>
    <n v="0.15618898867629838"/>
    <n v="400.00000000000017"/>
    <n v="0.64037485357282309"/>
    <n v="1640"/>
    <n v="1"/>
    <n v="0.8"/>
    <n v="2048.8000000000002"/>
    <n v="47.050000000000011"/>
    <n v="3"/>
    <s v="Not separated yet"/>
    <n v="0.11714174150722374"/>
    <n v="300"/>
    <n v="22.61"/>
    <n v="0.12"/>
    <n v="307.32"/>
    <n v="0"/>
    <n v="0"/>
    <n v="25.61"/>
    <n v="0"/>
    <m/>
    <d v="2014-12-23T00:00:00"/>
    <d v="2015-12-23T00:00:00"/>
    <n v="563"/>
    <n v="0"/>
    <n v="0"/>
    <n v="1"/>
    <n v="2561"/>
    <x v="3"/>
    <m/>
    <m/>
    <n v="0"/>
    <n v="23"/>
    <s v="Excellent coverage"/>
    <n v="0"/>
    <x v="1"/>
    <m/>
  </r>
  <r>
    <x v="6"/>
    <s v="MMR001CMP212"/>
    <x v="4"/>
    <x v="56"/>
    <n v="97.710989999999995"/>
    <n v="24.181640000000002"/>
    <x v="0"/>
    <x v="0"/>
    <n v="367"/>
    <n v="1430"/>
    <n v="1430"/>
    <x v="3"/>
    <s v="ECHO"/>
    <s v="KBC"/>
    <x v="0"/>
    <x v="0"/>
    <s v="Gap"/>
    <s v="Focal NGO"/>
    <x v="0"/>
    <n v="0"/>
    <n v="0"/>
    <s v="No"/>
    <n v="2"/>
    <n v="0"/>
    <n v="36000"/>
    <n v="0"/>
    <n v="0"/>
    <n v="1"/>
    <n v="1430"/>
    <n v="1"/>
    <n v="1430"/>
    <n v="1"/>
    <n v="1430"/>
    <x v="0"/>
    <n v="0"/>
    <n v="0"/>
    <n v="1.5750000000000002"/>
    <n v="0"/>
    <n v="0"/>
    <n v="1"/>
    <n v="1430"/>
    <m/>
    <n v="64"/>
    <n v="19"/>
    <n v="64"/>
    <x v="1"/>
    <n v="1"/>
    <n v="1430"/>
    <n v="0.1048951048951049"/>
    <n v="150"/>
    <n v="0.8951048951048951"/>
    <n v="1280"/>
    <n v="6"/>
    <n v="1"/>
    <n v="1430"/>
    <n v="13.5"/>
    <n v="5"/>
    <s v="Separate, clearly perceived"/>
    <n v="0.34965034965034963"/>
    <n v="500"/>
    <n v="9.3000000000000007"/>
    <n v="0.35"/>
    <n v="500.49999999999994"/>
    <n v="32"/>
    <n v="1"/>
    <n v="0"/>
    <n v="1"/>
    <m/>
    <d v="2015-02-20T00:00:00"/>
    <d v="2016-02-20T00:00:00"/>
    <n v="285"/>
    <n v="3"/>
    <n v="82"/>
    <n v="0.77656675749318804"/>
    <n v="1110.4904632152588"/>
    <x v="11"/>
    <m/>
    <m/>
    <n v="0"/>
    <n v="2"/>
    <s v="Good coverage"/>
    <n v="0"/>
    <x v="0"/>
    <m/>
  </r>
  <r>
    <x v="6"/>
    <s v="MMR001CMP213"/>
    <x v="4"/>
    <x v="57"/>
    <n v="97.710989999999995"/>
    <n v="24.181640000000002"/>
    <x v="0"/>
    <x v="0"/>
    <n v="129"/>
    <n v="598"/>
    <n v="598"/>
    <x v="0"/>
    <s v="ECHO"/>
    <s v="KMSS"/>
    <x v="0"/>
    <x v="0"/>
    <s v="Gap"/>
    <s v="Focal NGO"/>
    <x v="0"/>
    <n v="0"/>
    <n v="0"/>
    <s v="No"/>
    <n v="1"/>
    <n v="0"/>
    <n v="13500"/>
    <n v="0"/>
    <n v="0"/>
    <n v="1"/>
    <n v="598"/>
    <n v="1"/>
    <n v="598"/>
    <n v="1"/>
    <n v="598"/>
    <x v="0"/>
    <n v="0"/>
    <n v="0"/>
    <n v="0.49500000000000011"/>
    <n v="0"/>
    <n v="0"/>
    <n v="1"/>
    <n v="598"/>
    <s v="45 gap fuel had supported, "/>
    <n v="12"/>
    <n v="9"/>
    <n v="32"/>
    <x v="2"/>
    <n v="1"/>
    <n v="598"/>
    <n v="0"/>
    <n v="0"/>
    <n v="1"/>
    <n v="598"/>
    <n v="0"/>
    <n v="1"/>
    <n v="598"/>
    <n v="0"/>
    <n v="4"/>
    <s v="Separate, clearly perceived"/>
    <n v="0.66889632107023411"/>
    <n v="400"/>
    <n v="1.9800000000000004"/>
    <n v="0.67"/>
    <n v="400.66"/>
    <n v="17"/>
    <n v="1"/>
    <n v="0"/>
    <n v="1"/>
    <s v="5 emergency latrines ongoing constructing, "/>
    <d v="2015-02-20T00:00:00"/>
    <d v="2016-02-20T00:00:00"/>
    <n v="135"/>
    <n v="3"/>
    <n v="0"/>
    <n v="1"/>
    <n v="598"/>
    <x v="11"/>
    <s v="69 refill hk were distributed in Oct 15. "/>
    <m/>
    <n v="0"/>
    <n v="1"/>
    <s v="Good coverage"/>
    <n v="0"/>
    <x v="0"/>
    <m/>
  </r>
  <r>
    <x v="6"/>
    <s v="MMR001CMP133"/>
    <x v="5"/>
    <x v="58"/>
    <n v="97.587900000000005"/>
    <n v="23.83"/>
    <x v="0"/>
    <x v="0"/>
    <n v="115"/>
    <n v="680"/>
    <n v="680"/>
    <x v="0"/>
    <s v="ECHO"/>
    <s v="KBC"/>
    <x v="6"/>
    <x v="1"/>
    <d v="2016-03-31T00:00:00"/>
    <s v="Focal NGO"/>
    <x v="0"/>
    <n v="0"/>
    <n v="0"/>
    <s v="No"/>
    <n v="0"/>
    <n v="0"/>
    <n v="54000"/>
    <n v="1"/>
    <n v="0"/>
    <n v="1"/>
    <n v="680"/>
    <n v="1"/>
    <n v="680"/>
    <n v="1"/>
    <n v="680"/>
    <x v="0"/>
    <n v="0"/>
    <n v="0"/>
    <n v="1.7"/>
    <n v="0"/>
    <n v="680"/>
    <n v="1"/>
    <n v="680"/>
    <m/>
    <n v="10"/>
    <n v="0"/>
    <n v="14"/>
    <x v="3"/>
    <n v="0.41176470588235292"/>
    <n v="280"/>
    <n v="0"/>
    <n v="0"/>
    <n v="0.41176470588235292"/>
    <n v="280"/>
    <n v="0"/>
    <n v="0.49"/>
    <n v="333.2"/>
    <n v="20"/>
    <n v="2"/>
    <s v="Separate, but not clearly perceived"/>
    <n v="0.29411764705882354"/>
    <n v="200"/>
    <n v="4.8"/>
    <n v="0.3"/>
    <n v="204"/>
    <n v="2"/>
    <n v="0.29411764705882354"/>
    <n v="4.8"/>
    <n v="0.72"/>
    <s v="Two latrines are dmamage pits and linkage excreta disposal to the out side and culd not use"/>
    <d v="2014-12-10T00:00:00"/>
    <d v="2015-12-10T00:00:00"/>
    <n v="115"/>
    <n v="15"/>
    <n v="0"/>
    <n v="1"/>
    <n v="680"/>
    <x v="7"/>
    <s v="Hygiene resupply kit distrubution at KBC 2 host family 205 kits (30.6.15)"/>
    <n v="0.9"/>
    <n v="612"/>
    <n v="2"/>
    <s v="Excellent coverage"/>
    <n v="0"/>
    <x v="2"/>
    <m/>
  </r>
  <r>
    <x v="6"/>
    <s v="MMR001CMP132"/>
    <x v="5"/>
    <x v="59"/>
    <n v="97.596000000000004"/>
    <n v="23.831"/>
    <x v="0"/>
    <x v="0"/>
    <n v="506"/>
    <n v="2374"/>
    <n v="2101"/>
    <x v="2"/>
    <s v="ECHO"/>
    <s v="KMSS"/>
    <x v="6"/>
    <x v="1"/>
    <d v="2016-03-31T00:00:00"/>
    <s v="Focal NGO"/>
    <x v="0"/>
    <n v="0"/>
    <n v="0"/>
    <s v="No"/>
    <n v="2"/>
    <n v="1"/>
    <n v="21600"/>
    <n v="1"/>
    <n v="0"/>
    <n v="1"/>
    <n v="2101"/>
    <n v="1"/>
    <n v="2101"/>
    <n v="1"/>
    <n v="2101"/>
    <x v="0"/>
    <n v="0"/>
    <n v="0"/>
    <n v="2.2525000000000004"/>
    <n v="0"/>
    <n v="2101"/>
    <n v="1"/>
    <n v="2101"/>
    <s v="two generaotrs are damaging and those are needing to repair"/>
    <n v="74"/>
    <n v="39"/>
    <n v="101"/>
    <x v="3"/>
    <n v="1"/>
    <n v="2101"/>
    <n v="3.8553069966682507E-2"/>
    <n v="80.999999999999943"/>
    <n v="0.96144693003331749"/>
    <n v="2020"/>
    <n v="18"/>
    <n v="1"/>
    <n v="2101"/>
    <n v="22.049999999999997"/>
    <n v="8"/>
    <s v="Not separated yet"/>
    <n v="0.38077106139933364"/>
    <n v="800"/>
    <n v="15.739999999999998"/>
    <n v="0.4"/>
    <n v="840.40000000000009"/>
    <n v="4"/>
    <n v="0.19038553069966682"/>
    <n v="19.739999999999998"/>
    <n v="0.76"/>
    <s v="20 latrines are need to decomission "/>
    <d v="2014-12-10T00:00:00"/>
    <d v="2015-12-10T00:00:00"/>
    <n v="477"/>
    <n v="12"/>
    <n v="29"/>
    <n v="0.94268774703557312"/>
    <n v="1980.5869565217392"/>
    <x v="7"/>
    <m/>
    <n v="0.75"/>
    <n v="1575.75"/>
    <n v="8"/>
    <s v="Excellent coverage"/>
    <n v="0"/>
    <x v="0"/>
    <m/>
  </r>
  <r>
    <x v="6"/>
    <s v="MMR001CMP066"/>
    <x v="0"/>
    <x v="60"/>
    <n v="97.291820000000001"/>
    <n v="24.129059999999999"/>
    <x v="0"/>
    <x v="0"/>
    <n v="150"/>
    <n v="696"/>
    <n v="696"/>
    <x v="0"/>
    <s v="HIDA, WHH"/>
    <s v="KBC"/>
    <x v="2"/>
    <x v="1"/>
    <d v="2016-03-30T00:00:00"/>
    <s v="Focal NGO"/>
    <x v="0"/>
    <n v="0"/>
    <n v="0"/>
    <s v="No"/>
    <n v="3"/>
    <n v="0"/>
    <n v="20335"/>
    <n v="0.5"/>
    <n v="0.3"/>
    <n v="1"/>
    <n v="696"/>
    <n v="1"/>
    <n v="696"/>
    <n v="1"/>
    <n v="696"/>
    <x v="0"/>
    <n v="0"/>
    <n v="0"/>
    <n v="0"/>
    <n v="45"/>
    <n v="348"/>
    <n v="1"/>
    <n v="696"/>
    <m/>
    <n v="113"/>
    <n v="10"/>
    <n v="24"/>
    <x v="0"/>
    <n v="0.97701149425287359"/>
    <n v="680"/>
    <n v="0.28735632183908044"/>
    <n v="200"/>
    <n v="0.68965517241379315"/>
    <n v="480.00000000000006"/>
    <n v="0"/>
    <n v="0.98"/>
    <n v="682.08"/>
    <n v="10.799999999999997"/>
    <n v="6"/>
    <s v="Separate, but not clearly perceived"/>
    <n v="0.86206896551724133"/>
    <n v="600"/>
    <n v="0.96"/>
    <n v="0.86"/>
    <n v="598.55999999999995"/>
    <n v="10"/>
    <n v="1"/>
    <n v="0"/>
    <n v="1"/>
    <s v="metta has a plan to construct 2 semi-permanent, overlapping in Hand Washing facilities between Metta and CESVI"/>
    <d v="2014-07-15T00:00:00"/>
    <s v="To be realised"/>
    <n v="153"/>
    <n v="6"/>
    <n v="150"/>
    <n v="0"/>
    <n v="0"/>
    <x v="3"/>
    <m/>
    <n v="0.75"/>
    <n v="522"/>
    <n v="2"/>
    <s v="Excellent coverage"/>
    <n v="0"/>
    <x v="0"/>
    <m/>
  </r>
  <r>
    <x v="6"/>
    <s v="MMR001CMP196"/>
    <x v="0"/>
    <x v="61"/>
    <n v="97.291820000000001"/>
    <n v="24.129059999999999"/>
    <x v="1"/>
    <x v="0"/>
    <n v="135"/>
    <n v="499"/>
    <n v="499"/>
    <x v="0"/>
    <m/>
    <s v="KBC"/>
    <x v="0"/>
    <x v="0"/>
    <s v="Gap"/>
    <s v="Not documented"/>
    <x v="1"/>
    <n v="0"/>
    <n v="0"/>
    <s v="No"/>
    <n v="0"/>
    <n v="0"/>
    <n v="0"/>
    <n v="0"/>
    <n v="0"/>
    <n v="0"/>
    <n v="0"/>
    <n v="0"/>
    <n v="0"/>
    <n v="0"/>
    <n v="0"/>
    <x v="1"/>
    <n v="0"/>
    <n v="0"/>
    <n v="1.2475000000000001"/>
    <n v="0"/>
    <n v="0"/>
    <n v="0"/>
    <n v="0"/>
    <s v="these IDPs are using nearest water sources "/>
    <n v="0"/>
    <n v="0"/>
    <n v="0"/>
    <x v="1"/>
    <n v="0"/>
    <n v="0"/>
    <n v="0"/>
    <n v="0"/>
    <n v="0"/>
    <n v="0"/>
    <n v="0"/>
    <n v="0"/>
    <n v="0"/>
    <n v="24.95"/>
    <n v="0"/>
    <s v="Not separated yet"/>
    <n v="0"/>
    <n v="0"/>
    <n v="4.99"/>
    <n v="0"/>
    <n v="0"/>
    <n v="0"/>
    <n v="0"/>
    <n v="4.99"/>
    <n v="0"/>
    <m/>
    <d v="2014-04-15T00:00:00"/>
    <s v="To be realised"/>
    <n v="20"/>
    <n v="0"/>
    <n v="135"/>
    <n v="0"/>
    <n v="0"/>
    <x v="12"/>
    <m/>
    <m/>
    <n v="0"/>
    <n v="0"/>
    <s v="No coverage"/>
    <n v="0"/>
    <x v="2"/>
    <m/>
  </r>
  <r>
    <x v="6"/>
    <s v="MMR001CMP228"/>
    <x v="5"/>
    <x v="62"/>
    <n v="97.577347000000003"/>
    <n v="23.836462999999998"/>
    <x v="0"/>
    <x v="0"/>
    <n v="121"/>
    <n v="549"/>
    <n v="549"/>
    <x v="0"/>
    <s v="ECHO"/>
    <s v="KMSS"/>
    <x v="6"/>
    <x v="1"/>
    <d v="2016-03-31T00:00:00"/>
    <s v="Focal NGO"/>
    <x v="0"/>
    <n v="0"/>
    <n v="0"/>
    <s v="No"/>
    <n v="0"/>
    <n v="0"/>
    <n v="27000"/>
    <n v="1"/>
    <n v="0"/>
    <n v="1"/>
    <n v="549"/>
    <n v="1"/>
    <n v="549"/>
    <n v="1"/>
    <n v="549"/>
    <x v="0"/>
    <n v="0"/>
    <n v="0"/>
    <n v="1.3725000000000001"/>
    <n v="0"/>
    <n v="549"/>
    <n v="1"/>
    <n v="549"/>
    <m/>
    <n v="49"/>
    <n v="12"/>
    <n v="4"/>
    <x v="0"/>
    <n v="0.58287795992714031"/>
    <n v="320.00000000000006"/>
    <n v="0.43715846994535523"/>
    <n v="240.00000000000003"/>
    <n v="0.14571948998178508"/>
    <n v="80.000000000000014"/>
    <n v="0"/>
    <n v="0.87"/>
    <n v="477.63"/>
    <n v="23.45"/>
    <n v="2"/>
    <s v="Separate, clearly perceived"/>
    <n v="0.36429872495446264"/>
    <n v="200"/>
    <n v="3.49"/>
    <n v="0.42"/>
    <n v="230.57999999999998"/>
    <n v="2"/>
    <n v="0.36429872495446264"/>
    <n v="3.49"/>
    <n v="1"/>
    <s v="Latrines need to desludging and renovation"/>
    <d v="2015-05-19T00:00:00"/>
    <d v="2016-05-18T00:00:00"/>
    <n v="121"/>
    <n v="12"/>
    <n v="0"/>
    <n v="1"/>
    <n v="549"/>
    <x v="7"/>
    <m/>
    <n v="0.5"/>
    <n v="274.5"/>
    <n v="3"/>
    <s v="Excellent coverage"/>
    <n v="0"/>
    <x v="1"/>
    <m/>
  </r>
  <r>
    <x v="7"/>
    <m/>
    <x v="6"/>
    <x v="63"/>
    <m/>
    <m/>
    <x v="1"/>
    <x v="1"/>
    <n v="100"/>
    <n v="446"/>
    <n v="446"/>
    <x v="0"/>
    <m/>
    <s v="KMSS"/>
    <x v="0"/>
    <x v="0"/>
    <d v="2015-12-31T00:00:00"/>
    <s v="Not documented"/>
    <x v="1"/>
    <n v="0"/>
    <n v="0"/>
    <s v="No"/>
    <n v="0"/>
    <n v="0"/>
    <n v="0"/>
    <n v="0"/>
    <n v="0"/>
    <n v="0"/>
    <n v="0"/>
    <n v="0"/>
    <n v="0"/>
    <n v="0"/>
    <n v="0"/>
    <x v="1"/>
    <n v="0"/>
    <n v="0"/>
    <n v="1.115"/>
    <n v="0"/>
    <n v="0"/>
    <n v="0"/>
    <n v="0"/>
    <m/>
    <n v="12"/>
    <n v="0"/>
    <n v="0"/>
    <x v="3"/>
    <n v="0"/>
    <n v="0"/>
    <n v="0"/>
    <n v="0"/>
    <n v="0"/>
    <n v="0"/>
    <n v="0"/>
    <n v="0"/>
    <n v="0"/>
    <n v="22.3"/>
    <n v="0"/>
    <m/>
    <n v="0"/>
    <n v="0"/>
    <n v="4.46"/>
    <n v="0"/>
    <n v="0"/>
    <n v="0"/>
    <n v="0"/>
    <n v="4.46"/>
    <n v="0"/>
    <s v="no plan for hand washing space"/>
    <m/>
    <s v="To be realised"/>
    <n v="0"/>
    <n v="0"/>
    <n v="100"/>
    <n v="0"/>
    <n v="0"/>
    <x v="6"/>
    <s v="SCI will distribute HK "/>
    <n v="0"/>
    <n v="0"/>
    <n v="0"/>
    <s v="No coverage"/>
    <n v="0"/>
    <x v="1"/>
    <m/>
  </r>
  <r>
    <x v="7"/>
    <s v="MMR015CMP009"/>
    <x v="6"/>
    <x v="64"/>
    <n v="97.127340000000004"/>
    <n v="23.24954"/>
    <x v="0"/>
    <x v="0"/>
    <n v="37"/>
    <n v="157"/>
    <n v="157"/>
    <x v="1"/>
    <s v="FCA/HIDA/WHH"/>
    <s v="KBC"/>
    <x v="2"/>
    <x v="1"/>
    <d v="2016-03-31T00:00:00"/>
    <s v="Focal NGO"/>
    <x v="0"/>
    <n v="0"/>
    <n v="0"/>
    <s v="No"/>
    <n v="0"/>
    <n v="0"/>
    <n v="7000"/>
    <n v="1"/>
    <n v="0"/>
    <n v="1"/>
    <n v="157"/>
    <n v="1"/>
    <n v="157"/>
    <n v="1"/>
    <n v="157"/>
    <x v="0"/>
    <n v="0"/>
    <n v="0"/>
    <n v="0.39250000000000002"/>
    <n v="0"/>
    <n v="157"/>
    <n v="1"/>
    <n v="157"/>
    <m/>
    <n v="9"/>
    <n v="18"/>
    <n v="0"/>
    <x v="1"/>
    <n v="1"/>
    <n v="157"/>
    <n v="1"/>
    <n v="157"/>
    <n v="0"/>
    <n v="0"/>
    <n v="2"/>
    <n v="1"/>
    <m/>
    <m/>
    <n v="5"/>
    <m/>
    <n v="1"/>
    <n v="157"/>
    <n v="0"/>
    <n v="1"/>
    <n v="157"/>
    <n v="1"/>
    <n v="0.63694267515923564"/>
    <n v="0.57000000000000006"/>
    <n v="0.8"/>
    <m/>
    <d v="2015-05-01T00:00:00"/>
    <d v="2016-04-30T00:00:00"/>
    <n v="38"/>
    <n v="5"/>
    <n v="0"/>
    <n v="1"/>
    <n v="157"/>
    <x v="7"/>
    <m/>
    <n v="0"/>
    <m/>
    <n v="0"/>
    <s v="No coverage"/>
    <n v="0"/>
    <x v="1"/>
    <m/>
  </r>
  <r>
    <x v="7"/>
    <s v="MMR015CMP209"/>
    <x v="6"/>
    <x v="65"/>
    <n v="97.123440000000002"/>
    <n v="23.24568"/>
    <x v="0"/>
    <x v="0"/>
    <n v="31"/>
    <n v="184"/>
    <n v="184"/>
    <x v="1"/>
    <s v="Trocaires"/>
    <s v="KMSS"/>
    <x v="4"/>
    <x v="1"/>
    <d v="2016-03-31T00:00:00"/>
    <s v="Focal NGO"/>
    <x v="0"/>
    <n v="0"/>
    <n v="0"/>
    <s v="No"/>
    <n v="0"/>
    <n v="0"/>
    <n v="28800"/>
    <n v="0.8"/>
    <n v="0"/>
    <n v="1"/>
    <n v="184"/>
    <n v="1"/>
    <n v="184"/>
    <n v="1"/>
    <n v="184"/>
    <x v="0"/>
    <n v="0"/>
    <n v="0"/>
    <n v="0.46"/>
    <n v="0"/>
    <n v="147.20000000000002"/>
    <n v="1"/>
    <n v="184"/>
    <s v="KMSS have a plan to distrbute CWF filter"/>
    <n v="4"/>
    <n v="6"/>
    <n v="4"/>
    <x v="1"/>
    <n v="1"/>
    <n v="184"/>
    <n v="0.56521739130434789"/>
    <n v="104.00000000000001"/>
    <n v="0.43478260869565216"/>
    <n v="80"/>
    <n v="2"/>
    <n v="1"/>
    <n v="184"/>
    <n v="7.1999999999999993"/>
    <n v="2"/>
    <s v="Separate, clearly perceived"/>
    <n v="1"/>
    <n v="184"/>
    <n v="0"/>
    <n v="1"/>
    <n v="184"/>
    <n v="0"/>
    <n v="0"/>
    <n v="1.84"/>
    <n v="0"/>
    <s v="no plan for hand washing space"/>
    <d v="2012-10-01T00:00:00"/>
    <s v="To be realised"/>
    <n v="31"/>
    <n v="3"/>
    <n v="31"/>
    <n v="0"/>
    <n v="0"/>
    <x v="13"/>
    <s v=" KMSS will distribute refill Hygiene kit until december 2015"/>
    <n v="0"/>
    <n v="0"/>
    <n v="2"/>
    <s v="Excellent coverage"/>
    <n v="0"/>
    <x v="0"/>
    <m/>
  </r>
  <r>
    <x v="8"/>
    <s v="MMR001CMP078"/>
    <x v="7"/>
    <x v="66"/>
    <n v="96.922619999999995"/>
    <n v="25.305669999999999"/>
    <x v="0"/>
    <x v="0"/>
    <n v="13"/>
    <n v="50"/>
    <n v="50"/>
    <x v="1"/>
    <s v="CIDA/ADRA"/>
    <s v="KBC"/>
    <x v="5"/>
    <x v="1"/>
    <d v="2016-02-29T00:00:00"/>
    <s v="Focal NGO"/>
    <x v="0"/>
    <n v="0"/>
    <n v="0"/>
    <s v="No"/>
    <n v="0"/>
    <n v="2"/>
    <n v="3600"/>
    <n v="0"/>
    <n v="1"/>
    <n v="1"/>
    <n v="50"/>
    <n v="1"/>
    <n v="50"/>
    <n v="1"/>
    <n v="50"/>
    <x v="0"/>
    <n v="0"/>
    <n v="0"/>
    <n v="0"/>
    <n v="13"/>
    <n v="0"/>
    <n v="1"/>
    <n v="50"/>
    <s v="water source cleaning activitiy had conducted which affected by flood in this camp"/>
    <n v="0"/>
    <n v="0"/>
    <n v="6"/>
    <x v="0"/>
    <n v="1"/>
    <n v="50"/>
    <n v="0"/>
    <n v="0"/>
    <n v="1"/>
    <n v="50"/>
    <n v="0"/>
    <n v="1"/>
    <n v="50"/>
    <n v="0"/>
    <n v="2"/>
    <s v="Separate, clearly perceived"/>
    <n v="1"/>
    <n v="50"/>
    <n v="0"/>
    <n v="1"/>
    <n v="50"/>
    <n v="0"/>
    <n v="0"/>
    <n v="0.5"/>
    <n v="0"/>
    <s v="old 6 Hand washing had already out of used."/>
    <d v="2015-02-18T00:00:00"/>
    <d v="2016-02-18T00:00:00"/>
    <n v="17"/>
    <n v="4"/>
    <n v="0"/>
    <n v="1"/>
    <n v="50"/>
    <x v="2"/>
    <s v="KBC has only 1 time basic HK distribution and no plan of refill HK with ADRA fund until to Feb 16.  "/>
    <n v="1"/>
    <n v="50"/>
    <n v="2"/>
    <s v="Excellent coverage"/>
    <n v="0"/>
    <x v="1"/>
    <m/>
  </r>
  <r>
    <x v="8"/>
    <s v="MMR001CMP237"/>
    <x v="7"/>
    <x v="67"/>
    <n v="96.94135"/>
    <n v="25.294460000000001"/>
    <x v="0"/>
    <x v="0"/>
    <n v="15"/>
    <n v="34"/>
    <n v="23"/>
    <x v="1"/>
    <s v="DFID/Trocaires"/>
    <s v="KMSS"/>
    <x v="4"/>
    <x v="1"/>
    <d v="2016-02-29T00:00:00"/>
    <s v="Focal NGO"/>
    <x v="0"/>
    <n v="0"/>
    <n v="0"/>
    <s v="No"/>
    <n v="0"/>
    <n v="1"/>
    <n v="0"/>
    <n v="0"/>
    <n v="0"/>
    <n v="1"/>
    <n v="23"/>
    <n v="1"/>
    <n v="23"/>
    <n v="1"/>
    <n v="23"/>
    <x v="0"/>
    <n v="0"/>
    <n v="0"/>
    <n v="0"/>
    <n v="0"/>
    <n v="0"/>
    <n v="1"/>
    <n v="23"/>
    <m/>
    <n v="0"/>
    <n v="2"/>
    <n v="0"/>
    <x v="3"/>
    <n v="1"/>
    <n v="23"/>
    <n v="1"/>
    <n v="23"/>
    <n v="0"/>
    <n v="0"/>
    <n v="0"/>
    <n v="1"/>
    <n v="23"/>
    <n v="1.1499999999999999"/>
    <n v="0"/>
    <s v="Not separated yet"/>
    <n v="0"/>
    <n v="0"/>
    <n v="0.34"/>
    <n v="0"/>
    <n v="0"/>
    <n v="0"/>
    <n v="0"/>
    <n v="0.34"/>
    <n v="0"/>
    <s v="current 2 emergency latrines are funitioned but not safe, it need to upgrade to semi-permannent"/>
    <m/>
    <s v="To be realised"/>
    <n v="0"/>
    <n v="0"/>
    <n v="15"/>
    <n v="0"/>
    <n v="0"/>
    <x v="6"/>
    <m/>
    <n v="0"/>
    <n v="0"/>
    <n v="0"/>
    <s v="No coverage"/>
    <n v="0"/>
    <x v="1"/>
    <s v="previous, oxfam had constructed 6 temporary incinerator but those were out of used now. "/>
  </r>
  <r>
    <x v="8"/>
    <s v="MMR001CMP077"/>
    <x v="7"/>
    <x v="68"/>
    <n v="96.942279999999997"/>
    <n v="25.296579999999999"/>
    <x v="0"/>
    <x v="0"/>
    <n v="13"/>
    <n v="56"/>
    <n v="56"/>
    <x v="1"/>
    <s v="CIDA/ADRA"/>
    <s v="KBC"/>
    <x v="5"/>
    <x v="1"/>
    <d v="2015-12-31T00:00:00"/>
    <s v="Focal NGO"/>
    <x v="0"/>
    <n v="0"/>
    <n v="0"/>
    <s v="No"/>
    <n v="0"/>
    <n v="2"/>
    <n v="3600"/>
    <n v="0"/>
    <n v="1"/>
    <n v="1"/>
    <n v="56"/>
    <n v="1"/>
    <n v="56"/>
    <n v="1"/>
    <n v="56"/>
    <x v="0"/>
    <n v="0"/>
    <n v="0"/>
    <n v="0"/>
    <n v="13"/>
    <n v="0"/>
    <n v="1"/>
    <n v="56"/>
    <s v="water source cleaning activitiy had conducted which affected by flood in this camp"/>
    <n v="11"/>
    <n v="0"/>
    <n v="4"/>
    <x v="0"/>
    <n v="1"/>
    <n v="56"/>
    <n v="0"/>
    <n v="0"/>
    <n v="1"/>
    <n v="56"/>
    <n v="0"/>
    <n v="1"/>
    <n v="56"/>
    <n v="0"/>
    <n v="2"/>
    <s v="Not separated yet"/>
    <n v="1"/>
    <n v="56"/>
    <n v="0"/>
    <n v="1"/>
    <n v="56"/>
    <n v="0"/>
    <n v="0"/>
    <n v="0.56000000000000005"/>
    <n v="0"/>
    <s v="old 3 Hand washing had already out of used."/>
    <d v="2015-02-18T00:00:00"/>
    <d v="2016-02-18T00:00:00"/>
    <n v="12"/>
    <n v="4"/>
    <n v="1"/>
    <n v="0.92307692307692313"/>
    <n v="51.692307692307693"/>
    <x v="2"/>
    <s v="KBC has only 1 time basic HK distribution and no plan of refill HK with ADRA fund until to Feb 16.  "/>
    <n v="1"/>
    <n v="56"/>
    <n v="2"/>
    <s v="Excellent coverage"/>
    <n v="0"/>
    <x v="1"/>
    <m/>
  </r>
  <r>
    <x v="8"/>
    <s v="MMR001CMP079"/>
    <x v="7"/>
    <x v="69"/>
    <n v="96.948740000000001"/>
    <n v="25.30442"/>
    <x v="0"/>
    <x v="0"/>
    <n v="11"/>
    <n v="36"/>
    <n v="36"/>
    <x v="1"/>
    <s v="CIDA/ADRA"/>
    <s v="KBC"/>
    <x v="5"/>
    <x v="1"/>
    <d v="2015-12-31T00:00:00"/>
    <s v="Focal NGO"/>
    <x v="0"/>
    <n v="0"/>
    <n v="0"/>
    <s v="No"/>
    <n v="1"/>
    <n v="2"/>
    <n v="3600"/>
    <n v="0"/>
    <n v="1"/>
    <n v="1"/>
    <n v="36"/>
    <n v="1"/>
    <n v="36"/>
    <n v="1"/>
    <n v="36"/>
    <x v="0"/>
    <n v="0"/>
    <n v="0"/>
    <n v="0"/>
    <n v="11"/>
    <n v="0"/>
    <n v="1"/>
    <n v="36"/>
    <s v="water source cleaning activitiy had conducted which affected by flood in this camp"/>
    <n v="62"/>
    <n v="0"/>
    <n v="3"/>
    <x v="0"/>
    <n v="1"/>
    <n v="36"/>
    <n v="0"/>
    <n v="0"/>
    <n v="1"/>
    <n v="36"/>
    <n v="0"/>
    <n v="1"/>
    <n v="36"/>
    <n v="0"/>
    <n v="2"/>
    <s v="Separate, clearly perceived"/>
    <n v="1"/>
    <n v="36"/>
    <n v="0"/>
    <n v="1"/>
    <n v="36"/>
    <n v="1"/>
    <n v="1"/>
    <n v="0"/>
    <n v="1"/>
    <m/>
    <d v="2015-02-18T00:00:00"/>
    <d v="2016-02-18T00:00:00"/>
    <n v="15"/>
    <n v="4"/>
    <n v="0"/>
    <n v="1"/>
    <n v="36"/>
    <x v="2"/>
    <s v="KBC has only 1 time basic HK distribution and no plan of refill HK with ADRA fund until to Feb 16.  "/>
    <n v="1"/>
    <n v="36"/>
    <n v="2"/>
    <s v="Excellent coverage"/>
    <n v="0"/>
    <x v="1"/>
    <m/>
  </r>
  <r>
    <x v="8"/>
    <s v="MMR001CMP236"/>
    <x v="7"/>
    <x v="70"/>
    <m/>
    <m/>
    <x v="1"/>
    <x v="0"/>
    <n v="20"/>
    <n v="82"/>
    <n v="82"/>
    <x v="1"/>
    <s v="CIDA/ADRA"/>
    <m/>
    <x v="5"/>
    <x v="1"/>
    <d v="2016-05-31T00:00:00"/>
    <s v="Focal NGO"/>
    <x v="0"/>
    <n v="0"/>
    <n v="0"/>
    <s v="No"/>
    <n v="0"/>
    <n v="1"/>
    <n v="0"/>
    <n v="0"/>
    <n v="0"/>
    <n v="1"/>
    <n v="82"/>
    <n v="1"/>
    <n v="82"/>
    <n v="1"/>
    <n v="82"/>
    <x v="0"/>
    <n v="0"/>
    <n v="0"/>
    <n v="0"/>
    <n v="0"/>
    <n v="0"/>
    <n v="1"/>
    <n v="82"/>
    <m/>
    <n v="70"/>
    <n v="20"/>
    <n v="0"/>
    <x v="3"/>
    <n v="1"/>
    <n v="82"/>
    <n v="1"/>
    <n v="82"/>
    <n v="0"/>
    <n v="0"/>
    <n v="0"/>
    <n v="1"/>
    <n v="82"/>
    <n v="4.0999999999999996"/>
    <n v="0"/>
    <s v="Not separated yet"/>
    <n v="0"/>
    <n v="0"/>
    <n v="0.82"/>
    <n v="0"/>
    <n v="0"/>
    <n v="0"/>
    <n v="0"/>
    <n v="0.82"/>
    <n v="0"/>
    <m/>
    <m/>
    <s v="To be realised"/>
    <n v="0"/>
    <n v="0"/>
    <n v="20"/>
    <n v="0"/>
    <n v="0"/>
    <x v="6"/>
    <s v="KBC has only 1 time basic HK distribution and no plan of refill HK with ADRA fund until to Feb 16.  "/>
    <n v="1"/>
    <n v="82"/>
    <n v="1"/>
    <s v="Excellent coverage"/>
    <n v="0"/>
    <x v="1"/>
    <m/>
  </r>
  <r>
    <x v="8"/>
    <s v="MMR001CMP235"/>
    <x v="7"/>
    <x v="71"/>
    <m/>
    <m/>
    <x v="1"/>
    <x v="0"/>
    <n v="24"/>
    <n v="83"/>
    <n v="83"/>
    <x v="1"/>
    <s v="CIDA/ADRA"/>
    <m/>
    <x v="5"/>
    <x v="1"/>
    <d v="2016-02-29T00:00:00"/>
    <s v="Focal NGO"/>
    <x v="0"/>
    <n v="0"/>
    <n v="0"/>
    <s v="No"/>
    <n v="0"/>
    <n v="1"/>
    <n v="0"/>
    <n v="0"/>
    <n v="0"/>
    <n v="1"/>
    <n v="83"/>
    <n v="1"/>
    <n v="83"/>
    <n v="1"/>
    <n v="83"/>
    <x v="0"/>
    <n v="0"/>
    <n v="0"/>
    <n v="0"/>
    <n v="0"/>
    <n v="0"/>
    <n v="1"/>
    <n v="83"/>
    <m/>
    <n v="0"/>
    <n v="24"/>
    <n v="0"/>
    <x v="1"/>
    <n v="1"/>
    <n v="83"/>
    <n v="1"/>
    <n v="83"/>
    <n v="0"/>
    <n v="0"/>
    <n v="0"/>
    <n v="1"/>
    <n v="83"/>
    <n v="4.1500000000000004"/>
    <n v="0"/>
    <s v="Not separated yet"/>
    <n v="0"/>
    <n v="0"/>
    <n v="0.83"/>
    <n v="0"/>
    <n v="0"/>
    <n v="0"/>
    <n v="0"/>
    <n v="0.83"/>
    <n v="0"/>
    <m/>
    <m/>
    <s v="To be realised"/>
    <n v="0"/>
    <n v="0"/>
    <n v="24"/>
    <n v="0"/>
    <n v="0"/>
    <x v="6"/>
    <s v="KBC has only 1 time basic HK distribution and no plan of refill HK with ADRA fund until to Feb 16.  "/>
    <n v="1"/>
    <n v="83"/>
    <n v="1"/>
    <s v="Excellent coverage"/>
    <n v="0"/>
    <x v="1"/>
    <m/>
  </r>
  <r>
    <x v="9"/>
    <s v="MMR001CMP152"/>
    <x v="7"/>
    <x v="72"/>
    <n v="96.364949999999993"/>
    <n v="24.998349999999999"/>
    <x v="0"/>
    <x v="0"/>
    <n v="19"/>
    <n v="85"/>
    <n v="85"/>
    <x v="1"/>
    <s v="CIDA/ADRA"/>
    <s v="KBC"/>
    <x v="5"/>
    <x v="1"/>
    <d v="2016-02-29T00:00:00"/>
    <s v="Focal NGO"/>
    <x v="0"/>
    <n v="0"/>
    <n v="0"/>
    <s v="No"/>
    <n v="0"/>
    <n v="1"/>
    <n v="7200"/>
    <n v="0"/>
    <n v="1"/>
    <n v="1"/>
    <n v="85"/>
    <n v="1"/>
    <n v="85"/>
    <n v="1"/>
    <n v="85"/>
    <x v="0"/>
    <n v="0"/>
    <n v="0"/>
    <n v="0"/>
    <n v="19"/>
    <n v="0"/>
    <n v="1"/>
    <n v="85"/>
    <m/>
    <n v="0"/>
    <n v="0"/>
    <n v="5"/>
    <x v="0"/>
    <n v="1"/>
    <n v="85"/>
    <n v="0"/>
    <n v="0"/>
    <n v="1"/>
    <n v="85"/>
    <n v="0"/>
    <n v="1"/>
    <n v="85"/>
    <n v="0"/>
    <n v="2"/>
    <s v="Separate, clearly perceived"/>
    <n v="1"/>
    <n v="85"/>
    <n v="0"/>
    <n v="1"/>
    <n v="85"/>
    <n v="0"/>
    <n v="0"/>
    <n v="0.85"/>
    <n v="0"/>
    <s v="land issue for more latrine and bathing space construction. old 3 Hand washing had already out of used."/>
    <d v="2015-02-18T00:00:00"/>
    <d v="2016-02-18T00:00:00"/>
    <n v="19"/>
    <n v="4"/>
    <n v="0"/>
    <n v="1"/>
    <n v="85"/>
    <x v="2"/>
    <s v="KBC has only 1 time basic HK distribution and no plan of refill HK with ADRA fund until to Feb 16.  "/>
    <n v="1"/>
    <n v="85"/>
    <n v="2"/>
    <s v="Excellent coverage"/>
    <n v="0"/>
    <x v="1"/>
    <m/>
  </r>
  <r>
    <x v="9"/>
    <s v="MMR001CMP080"/>
    <x v="7"/>
    <x v="73"/>
    <n v="96.367059999999995"/>
    <n v="24.764800000000001"/>
    <x v="0"/>
    <x v="0"/>
    <n v="12"/>
    <n v="51"/>
    <n v="51"/>
    <x v="1"/>
    <s v="DFID/Trocaires"/>
    <s v="KMSS"/>
    <x v="4"/>
    <x v="1"/>
    <d v="2016-02-29T00:00:00"/>
    <s v="Focal NGO"/>
    <x v="0"/>
    <n v="0"/>
    <n v="0"/>
    <s v="No"/>
    <n v="1"/>
    <n v="0"/>
    <n v="3000"/>
    <n v="0"/>
    <n v="0"/>
    <n v="1"/>
    <n v="51"/>
    <n v="1"/>
    <n v="51"/>
    <n v="1"/>
    <n v="51"/>
    <x v="0"/>
    <n v="0"/>
    <n v="0"/>
    <n v="0"/>
    <n v="0"/>
    <n v="0"/>
    <n v="1"/>
    <n v="51"/>
    <m/>
    <n v="0"/>
    <n v="0"/>
    <n v="3"/>
    <x v="3"/>
    <n v="1"/>
    <n v="51"/>
    <n v="0"/>
    <n v="0"/>
    <n v="1"/>
    <n v="51"/>
    <n v="0"/>
    <n v="1"/>
    <n v="51"/>
    <n v="0"/>
    <n v="2"/>
    <s v="Separate, clearly perceived"/>
    <n v="1"/>
    <n v="51"/>
    <n v="0"/>
    <n v="1"/>
    <n v="51"/>
    <n v="1"/>
    <n v="1"/>
    <n v="0"/>
    <n v="1"/>
    <s v="need to renovate the curretn bating spaces (not have enough side wall and roofs)"/>
    <d v="2014-06-27T00:00:00"/>
    <s v="To be realised"/>
    <n v="12"/>
    <n v="2"/>
    <n v="12"/>
    <n v="0"/>
    <n v="0"/>
    <x v="5"/>
    <m/>
    <n v="0.8"/>
    <n v="40.800000000000004"/>
    <n v="4"/>
    <s v="Excellent coverage"/>
    <n v="0"/>
    <x v="1"/>
    <m/>
  </r>
  <r>
    <x v="10"/>
    <s v="MMR001CMP056"/>
    <x v="0"/>
    <x v="74"/>
    <n v="97.347049999999996"/>
    <n v="24.255870000000002"/>
    <x v="0"/>
    <x v="0"/>
    <n v="141"/>
    <n v="625"/>
    <n v="625"/>
    <x v="0"/>
    <s v="HIDA, WHH"/>
    <s v="KBC"/>
    <x v="2"/>
    <x v="1"/>
    <d v="2016-03-30T00:00:00"/>
    <s v="Focal NGO"/>
    <x v="0"/>
    <n v="0"/>
    <n v="0"/>
    <s v="No"/>
    <n v="1"/>
    <n v="1"/>
    <n v="9555"/>
    <n v="0.1"/>
    <n v="0.68"/>
    <n v="1"/>
    <n v="625"/>
    <n v="1"/>
    <n v="625"/>
    <n v="1"/>
    <n v="625"/>
    <x v="0"/>
    <n v="0"/>
    <n v="0"/>
    <n v="0"/>
    <n v="95.88000000000001"/>
    <n v="62.5"/>
    <n v="1"/>
    <n v="625"/>
    <m/>
    <n v="4"/>
    <n v="14"/>
    <n v="16"/>
    <x v="1"/>
    <n v="0.96"/>
    <n v="600"/>
    <n v="0.44799999999999995"/>
    <n v="279.99999999999994"/>
    <n v="0.51200000000000001"/>
    <n v="320"/>
    <n v="0"/>
    <n v="0.96"/>
    <n v="600"/>
    <n v="15.25"/>
    <n v="4"/>
    <s v="Separate, but not clearly perceived"/>
    <n v="0.64"/>
    <n v="400"/>
    <n v="2.25"/>
    <n v="0.64"/>
    <n v="400"/>
    <n v="15"/>
    <n v="1"/>
    <n v="0"/>
    <n v="1"/>
    <s v="land not available for more latrines construciton "/>
    <d v="2014-05-12T00:00:00"/>
    <s v="To be realised"/>
    <n v="143"/>
    <n v="6"/>
    <n v="141"/>
    <n v="0"/>
    <n v="0"/>
    <x v="1"/>
    <m/>
    <n v="0.8"/>
    <n v="500"/>
    <n v="1"/>
    <s v="Good coverage"/>
    <n v="0"/>
    <x v="0"/>
    <s v="1 temporary incinerator had already out of used"/>
  </r>
  <r>
    <x v="10"/>
    <s v="MMR001CMP123"/>
    <x v="4"/>
    <x v="75"/>
    <n v="97.537099999999995"/>
    <n v="24.461033"/>
    <x v="0"/>
    <x v="1"/>
    <n v="117"/>
    <n v="620"/>
    <n v="620"/>
    <x v="0"/>
    <s v="DFID/Trocaires"/>
    <s v="IRRC"/>
    <x v="4"/>
    <x v="1"/>
    <d v="2016-03-30T00:00:00"/>
    <s v="Focal NGO"/>
    <x v="0"/>
    <n v="0"/>
    <n v="0"/>
    <s v="No"/>
    <n v="0"/>
    <n v="0"/>
    <n v="14568"/>
    <n v="0"/>
    <n v="1"/>
    <n v="1"/>
    <n v="620"/>
    <n v="1"/>
    <n v="620"/>
    <n v="1"/>
    <n v="620"/>
    <x v="0"/>
    <n v="0"/>
    <n v="0"/>
    <n v="1.55"/>
    <n v="117"/>
    <n v="0"/>
    <n v="1"/>
    <n v="620"/>
    <s v="have a plan to renovate current GFS"/>
    <n v="573"/>
    <n v="60"/>
    <n v="37"/>
    <x v="2"/>
    <n v="1"/>
    <n v="620"/>
    <n v="0"/>
    <n v="0"/>
    <n v="1"/>
    <n v="620"/>
    <n v="0"/>
    <n v="1"/>
    <n v="620"/>
    <n v="0"/>
    <n v="4"/>
    <s v="Separate, clearly perceived"/>
    <n v="0.64516129032258063"/>
    <n v="400"/>
    <n v="2.2000000000000002"/>
    <n v="0.66"/>
    <n v="409.20000000000005"/>
    <n v="7"/>
    <n v="1"/>
    <n v="0"/>
    <n v="1"/>
    <m/>
    <d v="2015-03-02T00:00:00"/>
    <d v="2016-03-01T00:00:00"/>
    <n v="117"/>
    <n v="3"/>
    <n v="0"/>
    <n v="1"/>
    <n v="620"/>
    <x v="11"/>
    <s v="have a plan to distribute the basic hygiene kit in Oct 2015"/>
    <n v="0.8"/>
    <n v="496"/>
    <n v="4"/>
    <s v="Excellent coverage"/>
    <n v="0"/>
    <x v="0"/>
    <m/>
  </r>
  <r>
    <x v="10"/>
    <s v="MMR001CMP122"/>
    <x v="8"/>
    <x v="76"/>
    <n v="97.573166999999998"/>
    <n v="24.661466999999998"/>
    <x v="0"/>
    <x v="1"/>
    <n v="479"/>
    <n v="2288"/>
    <n v="2288"/>
    <x v="3"/>
    <s v="Welthungerhilfe"/>
    <s v="KMSS"/>
    <x v="2"/>
    <x v="1"/>
    <d v="2016-02-29T00:00:00"/>
    <s v="Focal NGO"/>
    <x v="0"/>
    <n v="0"/>
    <n v="0"/>
    <s v="No"/>
    <n v="3"/>
    <n v="0"/>
    <n v="34155"/>
    <n v="0"/>
    <n v="1"/>
    <n v="1"/>
    <n v="2288"/>
    <n v="1"/>
    <n v="2288"/>
    <n v="1"/>
    <n v="2288"/>
    <x v="0"/>
    <n v="0"/>
    <n v="0"/>
    <n v="2.7199999999999998"/>
    <n v="479"/>
    <n v="0"/>
    <n v="1"/>
    <n v="2288"/>
    <m/>
    <n v="0"/>
    <n v="70"/>
    <n v="148"/>
    <x v="1"/>
    <n v="1"/>
    <n v="2288"/>
    <n v="0"/>
    <n v="0"/>
    <n v="1"/>
    <n v="2288"/>
    <n v="0"/>
    <n v="1"/>
    <n v="2288"/>
    <n v="0"/>
    <n v="6"/>
    <s v="Not separated yet"/>
    <n v="0.26223776223776224"/>
    <n v="600"/>
    <n v="16.88"/>
    <n v="0.26"/>
    <n v="594.88"/>
    <n v="28"/>
    <n v="1"/>
    <n v="0"/>
    <n v="1"/>
    <m/>
    <d v="2013-10-12T00:00:00"/>
    <s v="To be realised"/>
    <n v="479"/>
    <n v="19"/>
    <n v="479"/>
    <n v="0"/>
    <n v="0"/>
    <x v="14"/>
    <s v="Metta has distributing refill HK distribution until to May 2016"/>
    <n v="0.5"/>
    <n v="1144"/>
    <n v="2"/>
    <s v="Low coverage"/>
    <n v="0"/>
    <x v="1"/>
    <m/>
  </r>
  <r>
    <x v="10"/>
    <s v="MMR001CMP121"/>
    <x v="8"/>
    <x v="77"/>
    <n v="97.568282999999994"/>
    <n v="24.688167"/>
    <x v="0"/>
    <x v="1"/>
    <n v="1548"/>
    <n v="7247"/>
    <n v="7247"/>
    <x v="4"/>
    <s v="UNICEF"/>
    <s v="KMSS"/>
    <x v="0"/>
    <x v="0"/>
    <s v="Gap"/>
    <s v="Focal NGO"/>
    <x v="0"/>
    <n v="0"/>
    <n v="0"/>
    <s v="No"/>
    <n v="5"/>
    <n v="0"/>
    <n v="97500"/>
    <n v="0"/>
    <n v="0.5"/>
    <n v="1"/>
    <n v="7247"/>
    <n v="1"/>
    <n v="7247"/>
    <n v="1"/>
    <n v="7247"/>
    <x v="0"/>
    <n v="0"/>
    <n v="0"/>
    <n v="13.1175"/>
    <n v="774"/>
    <n v="0"/>
    <n v="1"/>
    <n v="7247"/>
    <m/>
    <n v="24"/>
    <n v="25"/>
    <n v="465"/>
    <x v="0"/>
    <n v="1"/>
    <n v="7247"/>
    <n v="0"/>
    <n v="0"/>
    <n v="1"/>
    <n v="7247"/>
    <n v="0"/>
    <n v="1"/>
    <n v="7247"/>
    <n v="0"/>
    <n v="56"/>
    <s v="Not separated yet"/>
    <n v="0.77273354491513735"/>
    <n v="5600"/>
    <n v="16.47"/>
    <n v="0.77"/>
    <n v="5580.1900000000005"/>
    <n v="104"/>
    <n v="1"/>
    <n v="0"/>
    <n v="1"/>
    <s v="land not available for latrines and bathing construciton"/>
    <d v="2013-10-10T00:00:00"/>
    <s v="To be realised"/>
    <n v="1646"/>
    <n v="6"/>
    <n v="1548"/>
    <n v="0"/>
    <n v="0"/>
    <x v="12"/>
    <m/>
    <m/>
    <n v="0"/>
    <n v="17"/>
    <s v="Excellent coverage"/>
    <n v="0"/>
    <x v="0"/>
    <m/>
  </r>
  <r>
    <x v="10"/>
    <s v="MMR001CMP056"/>
    <x v="0"/>
    <x v="78"/>
    <n v="97.346310000000003"/>
    <n v="24.253630000000001"/>
    <x v="0"/>
    <x v="0"/>
    <n v="18"/>
    <n v="113"/>
    <n v="113"/>
    <x v="1"/>
    <s v="HIDA, WHH"/>
    <s v="KBC"/>
    <x v="2"/>
    <x v="1"/>
    <d v="2016-03-30T00:00:00"/>
    <s v="Focal NGO"/>
    <x v="0"/>
    <n v="0"/>
    <n v="0"/>
    <s v="No"/>
    <n v="1"/>
    <n v="0"/>
    <n v="2000"/>
    <n v="0"/>
    <n v="1"/>
    <n v="1"/>
    <n v="113"/>
    <n v="1"/>
    <n v="113"/>
    <n v="1"/>
    <n v="113"/>
    <x v="0"/>
    <n v="0"/>
    <n v="0"/>
    <n v="0"/>
    <n v="18"/>
    <n v="0"/>
    <n v="1"/>
    <n v="113"/>
    <m/>
    <n v="0"/>
    <n v="2"/>
    <n v="6"/>
    <x v="1"/>
    <n v="1"/>
    <n v="113"/>
    <n v="0"/>
    <n v="0"/>
    <n v="1"/>
    <n v="113"/>
    <n v="0"/>
    <n v="1"/>
    <n v="113"/>
    <n v="0"/>
    <n v="2"/>
    <s v="Not separated yet"/>
    <n v="1"/>
    <n v="113"/>
    <n v="0"/>
    <n v="1"/>
    <n v="113"/>
    <n v="3"/>
    <n v="1"/>
    <n v="0"/>
    <n v="1"/>
    <m/>
    <d v="2014-05-12T00:00:00"/>
    <s v="To be realised"/>
    <n v="23"/>
    <n v="6"/>
    <n v="18"/>
    <n v="0"/>
    <n v="0"/>
    <x v="1"/>
    <m/>
    <n v="0.75"/>
    <n v="84.75"/>
    <n v="1"/>
    <s v="Excellent coverage"/>
    <n v="0"/>
    <x v="0"/>
    <m/>
  </r>
  <r>
    <x v="10"/>
    <s v="MMR001CMP056"/>
    <x v="0"/>
    <x v="79"/>
    <n v="97.359300000000005"/>
    <n v="24.267040000000001"/>
    <x v="0"/>
    <x v="0"/>
    <n v="7"/>
    <n v="39"/>
    <n v="39"/>
    <x v="1"/>
    <s v="HIDA, WHH"/>
    <s v="KBC"/>
    <x v="2"/>
    <x v="1"/>
    <d v="2016-03-30T00:00:00"/>
    <s v="Focal NGO"/>
    <x v="0"/>
    <n v="0"/>
    <n v="0"/>
    <s v="No"/>
    <n v="0"/>
    <n v="0"/>
    <n v="1080"/>
    <n v="0"/>
    <n v="0.8"/>
    <n v="1"/>
    <n v="39"/>
    <n v="1"/>
    <n v="39"/>
    <n v="1"/>
    <n v="39"/>
    <x v="0"/>
    <n v="0"/>
    <n v="0"/>
    <n v="9.7500000000000003E-2"/>
    <n v="5.6000000000000005"/>
    <n v="0"/>
    <n v="1"/>
    <n v="39"/>
    <m/>
    <n v="16"/>
    <n v="2"/>
    <n v="1"/>
    <x v="1"/>
    <n v="1"/>
    <n v="39"/>
    <n v="0.48717948717948723"/>
    <n v="19"/>
    <n v="0.51282051282051277"/>
    <n v="20"/>
    <n v="0"/>
    <n v="1"/>
    <n v="39"/>
    <n v="0.95"/>
    <n v="1"/>
    <s v="Not separated yet"/>
    <n v="1"/>
    <n v="39"/>
    <n v="0"/>
    <n v="1"/>
    <n v="39"/>
    <n v="1"/>
    <n v="1"/>
    <n v="0"/>
    <n v="1"/>
    <m/>
    <d v="2014-05-09T00:00:00"/>
    <s v="To be realised"/>
    <n v="7"/>
    <n v="6"/>
    <n v="7"/>
    <n v="0"/>
    <n v="0"/>
    <x v="1"/>
    <m/>
    <n v="0.85"/>
    <n v="33.15"/>
    <n v="1"/>
    <s v="Excellent coverage"/>
    <n v="0"/>
    <x v="0"/>
    <m/>
  </r>
  <r>
    <x v="10"/>
    <s v="MMR001CMP200"/>
    <x v="0"/>
    <x v="80"/>
    <n v="97.193340000000006"/>
    <n v="24.230450000000001"/>
    <x v="1"/>
    <x v="0"/>
    <n v="4"/>
    <n v="26"/>
    <n v="26"/>
    <x v="1"/>
    <m/>
    <m/>
    <x v="0"/>
    <x v="0"/>
    <m/>
    <s v="Not documented"/>
    <x v="1"/>
    <n v="0"/>
    <n v="0"/>
    <s v="No"/>
    <n v="0"/>
    <n v="0"/>
    <n v="0"/>
    <n v="0"/>
    <n v="0"/>
    <n v="0"/>
    <n v="0"/>
    <n v="0"/>
    <n v="0"/>
    <n v="0"/>
    <n v="0"/>
    <x v="1"/>
    <n v="0"/>
    <n v="0"/>
    <n v="6.5000000000000002E-2"/>
    <n v="0"/>
    <n v="0"/>
    <n v="0"/>
    <n v="0"/>
    <m/>
    <n v="60"/>
    <n v="0"/>
    <n v="0"/>
    <x v="1"/>
    <n v="0"/>
    <n v="0"/>
    <n v="0"/>
    <n v="0"/>
    <n v="0"/>
    <n v="0"/>
    <n v="0"/>
    <n v="0"/>
    <n v="0"/>
    <n v="1.3"/>
    <n v="0"/>
    <s v="Not separated yet"/>
    <n v="0"/>
    <n v="0"/>
    <n v="0.26"/>
    <n v="0"/>
    <n v="0"/>
    <n v="0"/>
    <n v="0"/>
    <n v="0.26"/>
    <n v="0"/>
    <m/>
    <m/>
    <s v="To be realised"/>
    <n v="0"/>
    <n v="0"/>
    <n v="4"/>
    <n v="0"/>
    <n v="0"/>
    <x v="6"/>
    <m/>
    <n v="0"/>
    <n v="0"/>
    <n v="0"/>
    <s v="No coverage"/>
    <n v="0"/>
    <x v="2"/>
    <m/>
  </r>
  <r>
    <x v="10"/>
    <s v="MMR001CMP071"/>
    <x v="4"/>
    <x v="81"/>
    <n v="97.718582999999995"/>
    <n v="24.200972"/>
    <x v="0"/>
    <x v="0"/>
    <n v="30"/>
    <n v="182"/>
    <n v="128"/>
    <x v="1"/>
    <s v="UNICEF"/>
    <s v="KBC"/>
    <x v="0"/>
    <x v="0"/>
    <s v="Gap"/>
    <s v="Focal NGO"/>
    <x v="0"/>
    <n v="0"/>
    <n v="0"/>
    <s v="No"/>
    <n v="1"/>
    <n v="0"/>
    <n v="3000"/>
    <n v="0"/>
    <n v="1"/>
    <n v="1"/>
    <n v="128"/>
    <n v="1"/>
    <n v="128"/>
    <n v="1"/>
    <n v="128"/>
    <x v="0"/>
    <n v="0"/>
    <n v="0"/>
    <n v="0"/>
    <n v="30"/>
    <n v="0"/>
    <n v="1"/>
    <n v="128"/>
    <m/>
    <n v="12"/>
    <n v="0"/>
    <n v="13"/>
    <x v="2"/>
    <n v="1"/>
    <n v="128"/>
    <n v="0"/>
    <n v="0"/>
    <n v="1"/>
    <n v="128"/>
    <n v="0"/>
    <n v="1"/>
    <n v="128"/>
    <n v="0"/>
    <n v="2"/>
    <s v="Separate, clearly perceived"/>
    <n v="1"/>
    <n v="128"/>
    <n v="0"/>
    <n v="1"/>
    <n v="128"/>
    <n v="6"/>
    <n v="1"/>
    <n v="0"/>
    <n v="1"/>
    <m/>
    <d v="2014-06-04T00:00:00"/>
    <s v="To be realised"/>
    <n v="29"/>
    <n v="6"/>
    <n v="30"/>
    <n v="0"/>
    <n v="0"/>
    <x v="0"/>
    <m/>
    <m/>
    <n v="0"/>
    <n v="1"/>
    <s v="Excellent coverage"/>
    <n v="0"/>
    <x v="0"/>
    <m/>
  </r>
  <r>
    <x v="10"/>
    <s v="MMR001CMP069"/>
    <x v="4"/>
    <x v="82"/>
    <n v="97.724566999999993"/>
    <n v="24.205417000000001"/>
    <x v="0"/>
    <x v="0"/>
    <n v="69"/>
    <n v="369"/>
    <n v="107"/>
    <x v="0"/>
    <s v="UNICEF"/>
    <s v="KMSS"/>
    <x v="0"/>
    <x v="0"/>
    <s v="Gap"/>
    <s v="Focal NGO"/>
    <x v="0"/>
    <n v="0"/>
    <n v="0"/>
    <s v="No"/>
    <n v="0"/>
    <n v="0"/>
    <n v="25200"/>
    <n v="0"/>
    <n v="1"/>
    <n v="1"/>
    <n v="107"/>
    <n v="1"/>
    <n v="107"/>
    <n v="1"/>
    <n v="107"/>
    <x v="0"/>
    <n v="0"/>
    <n v="0"/>
    <n v="0.26750000000000002"/>
    <n v="69"/>
    <n v="0"/>
    <n v="1"/>
    <n v="107"/>
    <s v="1 DTW in this camp"/>
    <n v="2"/>
    <n v="8"/>
    <n v="10"/>
    <x v="1"/>
    <n v="1"/>
    <n v="107"/>
    <n v="0"/>
    <n v="0"/>
    <n v="1"/>
    <n v="107"/>
    <n v="0"/>
    <n v="1"/>
    <n v="107"/>
    <n v="0"/>
    <n v="2"/>
    <s v="Not separated yet"/>
    <n v="1"/>
    <n v="107"/>
    <n v="1.69"/>
    <n v="1"/>
    <n v="107"/>
    <n v="7"/>
    <n v="1"/>
    <n v="0"/>
    <n v="1"/>
    <m/>
    <d v="2014-06-04T00:00:00"/>
    <s v="To be realised"/>
    <n v="55"/>
    <n v="6"/>
    <n v="69"/>
    <n v="0"/>
    <n v="0"/>
    <x v="0"/>
    <m/>
    <m/>
    <n v="0"/>
    <n v="3"/>
    <s v="Excellent coverage"/>
    <n v="0"/>
    <x v="0"/>
    <m/>
  </r>
  <r>
    <x v="10"/>
    <s v="MMR001CMP070"/>
    <x v="4"/>
    <x v="83"/>
    <n v="97.717133000000004"/>
    <n v="24.200433"/>
    <x v="0"/>
    <x v="0"/>
    <n v="74"/>
    <n v="412"/>
    <n v="412"/>
    <x v="0"/>
    <s v="UNICEF"/>
    <s v="KBC"/>
    <x v="0"/>
    <x v="0"/>
    <s v="Gap"/>
    <s v="Focal NGO"/>
    <x v="0"/>
    <n v="0"/>
    <n v="0"/>
    <s v="No"/>
    <n v="1"/>
    <n v="0"/>
    <n v="8400"/>
    <n v="0"/>
    <n v="1"/>
    <n v="1"/>
    <n v="412"/>
    <n v="1"/>
    <n v="412"/>
    <n v="1"/>
    <n v="412"/>
    <x v="0"/>
    <n v="0"/>
    <n v="0"/>
    <n v="3.0000000000000027E-2"/>
    <n v="74"/>
    <n v="0"/>
    <n v="1"/>
    <n v="412"/>
    <s v="1 DTW in this camp"/>
    <n v="8"/>
    <n v="0"/>
    <n v="12"/>
    <x v="0"/>
    <n v="0.58252427184466016"/>
    <n v="239.99999999999997"/>
    <n v="0"/>
    <n v="0"/>
    <n v="0.58252427184466016"/>
    <n v="239.99999999999997"/>
    <n v="0"/>
    <n v="0.57999999999999996"/>
    <n v="238.95999999999998"/>
    <n v="8.6000000000000014"/>
    <n v="1"/>
    <s v="Not separated yet"/>
    <n v="0.24271844660194175"/>
    <n v="100"/>
    <n v="3.12"/>
    <n v="0.24"/>
    <n v="98.88"/>
    <n v="4"/>
    <n v="0.970873786407767"/>
    <n v="0.12000000000000011"/>
    <n v="0.97"/>
    <s v="land not available for latrines construciton"/>
    <d v="2014-06-06T00:00:00"/>
    <s v="To be realised"/>
    <n v="113"/>
    <n v="6"/>
    <n v="74"/>
    <n v="0"/>
    <n v="0"/>
    <x v="0"/>
    <m/>
    <m/>
    <n v="0"/>
    <n v="4"/>
    <s v="Excellent coverage"/>
    <n v="0"/>
    <x v="0"/>
    <m/>
  </r>
  <r>
    <x v="10"/>
    <s v="MMR001CMP070"/>
    <x v="4"/>
    <x v="84"/>
    <n v="97.715400000000002"/>
    <n v="24.20083"/>
    <x v="0"/>
    <x v="0"/>
    <n v="40"/>
    <n v="220"/>
    <n v="220"/>
    <x v="1"/>
    <s v="UNICEF"/>
    <s v="KBC"/>
    <x v="0"/>
    <x v="0"/>
    <s v="Gap"/>
    <s v="Focal NGO"/>
    <x v="0"/>
    <n v="0"/>
    <n v="0"/>
    <s v="No"/>
    <n v="1"/>
    <n v="0"/>
    <n v="4000"/>
    <n v="0"/>
    <n v="1"/>
    <n v="1"/>
    <n v="220"/>
    <n v="1"/>
    <n v="220"/>
    <n v="1"/>
    <n v="220"/>
    <x v="0"/>
    <n v="0"/>
    <n v="0"/>
    <n v="0"/>
    <n v="40"/>
    <n v="0"/>
    <n v="1"/>
    <n v="220"/>
    <m/>
    <n v="0"/>
    <n v="0"/>
    <n v="10"/>
    <x v="0"/>
    <n v="0.90909090909090906"/>
    <n v="200"/>
    <n v="0"/>
    <n v="0"/>
    <n v="0.90909090909090906"/>
    <n v="200"/>
    <n v="0"/>
    <n v="0.91"/>
    <n v="200.20000000000002"/>
    <n v="1"/>
    <n v="1"/>
    <s v="Not separated yet"/>
    <n v="0.45454545454545453"/>
    <n v="100"/>
    <n v="1.2000000000000002"/>
    <n v="0.45"/>
    <n v="99"/>
    <n v="4"/>
    <n v="1"/>
    <n v="0"/>
    <n v="1"/>
    <m/>
    <d v="2014-06-06T00:00:00"/>
    <s v="To be realised"/>
    <n v="35"/>
    <n v="6"/>
    <n v="40"/>
    <n v="0"/>
    <n v="0"/>
    <x v="0"/>
    <m/>
    <m/>
    <n v="0"/>
    <n v="1"/>
    <s v="Excellent coverage"/>
    <n v="0"/>
    <x v="0"/>
    <m/>
  </r>
  <r>
    <x v="10"/>
    <s v="MMR001CMP070"/>
    <x v="4"/>
    <x v="85"/>
    <n v="97.716260000000005"/>
    <n v="24.20411"/>
    <x v="0"/>
    <x v="0"/>
    <n v="21"/>
    <n v="115"/>
    <n v="115"/>
    <x v="1"/>
    <s v="UNICEF"/>
    <s v="KBC"/>
    <x v="0"/>
    <x v="0"/>
    <s v="Gap"/>
    <s v="Focal NGO"/>
    <x v="0"/>
    <n v="0"/>
    <n v="0"/>
    <s v="No"/>
    <n v="1"/>
    <n v="0"/>
    <n v="1500"/>
    <n v="0"/>
    <n v="1"/>
    <n v="1"/>
    <n v="115"/>
    <n v="1"/>
    <n v="115"/>
    <n v="1"/>
    <n v="115"/>
    <x v="0"/>
    <n v="0"/>
    <n v="0"/>
    <n v="0"/>
    <n v="21"/>
    <n v="0"/>
    <n v="1"/>
    <n v="115"/>
    <m/>
    <n v="34"/>
    <n v="2"/>
    <n v="4"/>
    <x v="0"/>
    <n v="1"/>
    <n v="115"/>
    <n v="0.30434782608695654"/>
    <n v="35"/>
    <n v="0.69565217391304346"/>
    <n v="80"/>
    <n v="0"/>
    <n v="1"/>
    <n v="115"/>
    <n v="1.75"/>
    <n v="1"/>
    <s v="Not separated yet"/>
    <n v="0.86956521739130432"/>
    <n v="100"/>
    <n v="0.14999999999999991"/>
    <n v="0.87"/>
    <n v="100.05"/>
    <n v="2"/>
    <n v="1"/>
    <n v="0"/>
    <n v="1"/>
    <m/>
    <d v="2014-06-06T00:00:00"/>
    <s v="To be realised"/>
    <n v="22"/>
    <n v="6"/>
    <n v="21"/>
    <n v="0"/>
    <n v="0"/>
    <x v="0"/>
    <m/>
    <m/>
    <n v="0"/>
    <n v="1"/>
    <s v="Excellent coverage"/>
    <n v="0"/>
    <x v="0"/>
    <m/>
  </r>
  <r>
    <x v="10"/>
    <s v="MMR001CMP070"/>
    <x v="4"/>
    <x v="86"/>
    <n v="97.714839999999995"/>
    <n v="24.20757"/>
    <x v="0"/>
    <x v="0"/>
    <n v="52"/>
    <n v="248"/>
    <n v="248"/>
    <x v="0"/>
    <s v="UNICEF"/>
    <s v="KBC"/>
    <x v="0"/>
    <x v="0"/>
    <s v="Gap"/>
    <s v="Focal NGO"/>
    <x v="0"/>
    <n v="0"/>
    <n v="0"/>
    <s v="No"/>
    <n v="1"/>
    <n v="0"/>
    <n v="4000"/>
    <n v="0"/>
    <n v="1"/>
    <n v="1"/>
    <n v="248"/>
    <n v="1"/>
    <n v="248"/>
    <n v="1"/>
    <n v="248"/>
    <x v="0"/>
    <n v="0"/>
    <n v="0"/>
    <n v="0"/>
    <n v="52"/>
    <n v="0"/>
    <n v="1"/>
    <n v="248"/>
    <m/>
    <n v="30"/>
    <n v="0"/>
    <n v="10"/>
    <x v="1"/>
    <n v="0.80645161290322576"/>
    <n v="200"/>
    <n v="0"/>
    <n v="0"/>
    <n v="0.80645161290322576"/>
    <n v="200"/>
    <m/>
    <n v="0.81"/>
    <n v="200.88000000000002"/>
    <n v="2.4000000000000004"/>
    <n v="2"/>
    <s v="Not separated yet"/>
    <n v="0.80645161290322576"/>
    <n v="200"/>
    <n v="0.48"/>
    <n v="0.81"/>
    <n v="200.88000000000002"/>
    <n v="2"/>
    <n v="0.80645161290322576"/>
    <n v="0.48"/>
    <n v="0.84"/>
    <m/>
    <d v="2014-06-06T00:00:00"/>
    <s v="To be realised"/>
    <n v="47"/>
    <n v="6"/>
    <n v="52"/>
    <n v="0"/>
    <n v="0"/>
    <x v="0"/>
    <m/>
    <m/>
    <n v="0"/>
    <n v="1"/>
    <s v="Excellent coverage"/>
    <n v="0"/>
    <x v="0"/>
    <m/>
  </r>
  <r>
    <x v="10"/>
    <s v="MMR001CMP072"/>
    <x v="4"/>
    <x v="87"/>
    <n v="97.724483000000006"/>
    <n v="24.205417000000001"/>
    <x v="0"/>
    <x v="0"/>
    <n v="50"/>
    <n v="295"/>
    <n v="295"/>
    <x v="1"/>
    <s v="UNICEF"/>
    <s v="KBC"/>
    <x v="0"/>
    <x v="0"/>
    <s v="Gap"/>
    <s v="Focal NGO"/>
    <x v="0"/>
    <n v="0"/>
    <n v="0"/>
    <s v="No"/>
    <n v="2"/>
    <n v="0"/>
    <n v="3000"/>
    <n v="0"/>
    <n v="1"/>
    <n v="1"/>
    <n v="295"/>
    <n v="1"/>
    <n v="295"/>
    <n v="1"/>
    <n v="295"/>
    <x v="0"/>
    <n v="0"/>
    <n v="0"/>
    <n v="0"/>
    <n v="50"/>
    <n v="0"/>
    <n v="1"/>
    <n v="295"/>
    <m/>
    <n v="2"/>
    <n v="10"/>
    <n v="12"/>
    <x v="1"/>
    <n v="1"/>
    <n v="295"/>
    <n v="0.18644067796610164"/>
    <n v="54.999999999999986"/>
    <n v="0.81355932203389836"/>
    <n v="240.00000000000003"/>
    <n v="0"/>
    <n v="1"/>
    <n v="295"/>
    <n v="2.75"/>
    <n v="3"/>
    <s v="Separate, clearly perceived"/>
    <n v="1"/>
    <n v="295"/>
    <n v="0"/>
    <n v="1"/>
    <n v="295"/>
    <n v="6"/>
    <n v="1"/>
    <n v="0"/>
    <n v="1"/>
    <m/>
    <d v="2014-06-05T00:00:00"/>
    <s v="To be realised"/>
    <n v="48"/>
    <n v="6"/>
    <n v="50"/>
    <n v="0"/>
    <n v="0"/>
    <x v="0"/>
    <m/>
    <m/>
    <n v="0"/>
    <n v="2"/>
    <s v="Excellent coverage"/>
    <n v="0"/>
    <x v="0"/>
    <m/>
  </r>
  <r>
    <x v="10"/>
    <s v="MMR001CMP069"/>
    <x v="4"/>
    <x v="88"/>
    <n v="97.724000000000004"/>
    <n v="24.204999999999998"/>
    <x v="2"/>
    <x v="0"/>
    <n v="40"/>
    <n v="136"/>
    <n v="136"/>
    <x v="1"/>
    <s v="UNICEF"/>
    <s v="KMSS"/>
    <x v="1"/>
    <x v="1"/>
    <m/>
    <s v="Focal NGO"/>
    <x v="0"/>
    <n v="0"/>
    <n v="0"/>
    <s v="No"/>
    <n v="2"/>
    <n v="1"/>
    <n v="2720"/>
    <n v="0"/>
    <n v="0"/>
    <n v="1"/>
    <n v="136"/>
    <n v="1"/>
    <n v="136"/>
    <n v="1"/>
    <n v="136"/>
    <x v="0"/>
    <n v="0"/>
    <n v="0"/>
    <n v="0"/>
    <n v="0"/>
    <n v="0"/>
    <n v="1"/>
    <n v="136"/>
    <m/>
    <n v="28"/>
    <n v="9"/>
    <n v="0"/>
    <x v="1"/>
    <n v="1"/>
    <n v="136"/>
    <n v="1"/>
    <n v="136"/>
    <n v="0"/>
    <n v="0"/>
    <n v="0"/>
    <n v="1"/>
    <n v="136"/>
    <n v="6.8"/>
    <n v="1"/>
    <s v="Not separated yet"/>
    <n v="0.73529411764705888"/>
    <n v="100"/>
    <n v="0.3600000000000001"/>
    <n v="0.74"/>
    <n v="100.64"/>
    <n v="0"/>
    <n v="0"/>
    <n v="1.36"/>
    <n v="0"/>
    <m/>
    <d v="2013-11-06T00:00:00"/>
    <s v="To be realised"/>
    <n v="5"/>
    <n v="6"/>
    <n v="40"/>
    <n v="0"/>
    <n v="0"/>
    <x v="15"/>
    <s v="SI will take role of focal from this October 15"/>
    <n v="0"/>
    <n v="0"/>
    <n v="0"/>
    <s v="No coverage"/>
    <n v="0"/>
    <x v="2"/>
    <m/>
  </r>
  <r>
    <x v="10"/>
    <s v="MMR001CMP073"/>
    <x v="4"/>
    <x v="89"/>
    <n v="97.710864000000001"/>
    <n v="24.207332999999998"/>
    <x v="0"/>
    <x v="0"/>
    <n v="48"/>
    <n v="285"/>
    <n v="285"/>
    <x v="1"/>
    <s v="UNICEF"/>
    <s v="KBC"/>
    <x v="0"/>
    <x v="0"/>
    <s v="Gap"/>
    <s v="Focal NGO"/>
    <x v="0"/>
    <n v="0"/>
    <n v="0"/>
    <s v="No"/>
    <n v="2"/>
    <n v="0"/>
    <n v="3000"/>
    <n v="0"/>
    <n v="1"/>
    <n v="1"/>
    <n v="285"/>
    <n v="1"/>
    <n v="285"/>
    <n v="1"/>
    <n v="285"/>
    <x v="0"/>
    <n v="0"/>
    <n v="0"/>
    <n v="0"/>
    <n v="48"/>
    <n v="0"/>
    <n v="1"/>
    <n v="285"/>
    <m/>
    <n v="1"/>
    <n v="0"/>
    <n v="24"/>
    <x v="1"/>
    <n v="1"/>
    <n v="285"/>
    <n v="0"/>
    <n v="0"/>
    <n v="1"/>
    <n v="285"/>
    <n v="0"/>
    <n v="1"/>
    <n v="285"/>
    <n v="0"/>
    <n v="3"/>
    <s v="Separate, clearly perceived"/>
    <n v="1"/>
    <n v="285"/>
    <n v="0"/>
    <n v="1"/>
    <n v="285"/>
    <n v="9"/>
    <n v="1"/>
    <n v="0"/>
    <n v="1"/>
    <m/>
    <d v="2014-06-05T00:00:00"/>
    <s v="To be realised"/>
    <n v="33"/>
    <n v="6"/>
    <n v="48"/>
    <n v="0"/>
    <n v="0"/>
    <x v="0"/>
    <m/>
    <m/>
    <n v="0"/>
    <n v="1"/>
    <s v="Excellent coverage"/>
    <n v="0"/>
    <x v="0"/>
    <m/>
  </r>
  <r>
    <x v="10"/>
    <s v="MMR001CMP064"/>
    <x v="0"/>
    <x v="90"/>
    <n v="97.242360000000005"/>
    <n v="24.264130000000002"/>
    <x v="1"/>
    <x v="0"/>
    <n v="2"/>
    <n v="9"/>
    <n v="9"/>
    <x v="1"/>
    <m/>
    <m/>
    <x v="0"/>
    <x v="0"/>
    <m/>
    <s v="Not documented"/>
    <x v="1"/>
    <n v="0"/>
    <n v="0"/>
    <s v="No"/>
    <n v="0"/>
    <n v="0"/>
    <n v="0"/>
    <n v="0"/>
    <n v="0"/>
    <n v="0"/>
    <n v="0"/>
    <n v="0"/>
    <n v="0"/>
    <n v="0"/>
    <n v="0"/>
    <x v="1"/>
    <n v="0"/>
    <n v="0"/>
    <n v="2.2499999999999999E-2"/>
    <n v="0"/>
    <n v="0"/>
    <n v="0"/>
    <n v="0"/>
    <m/>
    <n v="6"/>
    <n v="0"/>
    <n v="0"/>
    <x v="1"/>
    <n v="0"/>
    <n v="0"/>
    <n v="0"/>
    <n v="0"/>
    <n v="0"/>
    <n v="0"/>
    <n v="0"/>
    <n v="0"/>
    <n v="0"/>
    <n v="0.45"/>
    <n v="0"/>
    <s v="Not separated yet"/>
    <n v="0"/>
    <n v="0"/>
    <n v="0.09"/>
    <n v="0"/>
    <n v="0"/>
    <n v="0"/>
    <n v="0"/>
    <n v="0.09"/>
    <n v="0"/>
    <m/>
    <m/>
    <s v="To be realised"/>
    <n v="0"/>
    <n v="0"/>
    <n v="2"/>
    <n v="0"/>
    <n v="0"/>
    <x v="6"/>
    <m/>
    <n v="0"/>
    <n v="0"/>
    <n v="0"/>
    <s v="No coverage"/>
    <n v="0"/>
    <x v="2"/>
    <m/>
  </r>
  <r>
    <x v="10"/>
    <s v="MMR001CMP062"/>
    <x v="0"/>
    <x v="91"/>
    <n v="97.325019999999995"/>
    <n v="24.245100000000001"/>
    <x v="0"/>
    <x v="0"/>
    <n v="259"/>
    <n v="1134"/>
    <n v="1079"/>
    <x v="3"/>
    <s v="HIDA, WHH"/>
    <s v="KMSS"/>
    <x v="2"/>
    <x v="1"/>
    <d v="2016-03-30T00:00:00"/>
    <s v="Focal NGO"/>
    <x v="0"/>
    <n v="0"/>
    <n v="0"/>
    <s v="No"/>
    <n v="1"/>
    <n v="0"/>
    <n v="52740"/>
    <n v="0.2"/>
    <n v="0.01"/>
    <n v="1"/>
    <n v="1079"/>
    <n v="1"/>
    <n v="1079"/>
    <n v="1"/>
    <n v="1079"/>
    <x v="0"/>
    <n v="0"/>
    <n v="0"/>
    <n v="1.6974999999999998"/>
    <n v="2.59"/>
    <n v="215.8"/>
    <n v="1"/>
    <n v="1079"/>
    <s v="Metta had implemented Bio sand filter as a pilot project"/>
    <n v="15"/>
    <n v="2"/>
    <n v="52"/>
    <x v="2"/>
    <n v="1"/>
    <n v="1079"/>
    <n v="3.6144578313253017E-2"/>
    <n v="39.000000000000007"/>
    <n v="0.96385542168674698"/>
    <n v="1040"/>
    <n v="2"/>
    <n v="1"/>
    <n v="1079"/>
    <n v="3.9500000000000028"/>
    <n v="7"/>
    <s v="Separate, but not clearly perceived"/>
    <n v="0.64874884151992585"/>
    <n v="700"/>
    <n v="4.34"/>
    <n v="0.65"/>
    <n v="701.35"/>
    <n v="15"/>
    <n v="1"/>
    <n v="0"/>
    <n v="1"/>
    <s v="overlapping in Hand Washing facilities between Metta and CESVI"/>
    <d v="2014-05-09T00:00:00"/>
    <s v="To be realised"/>
    <n v="153"/>
    <n v="6"/>
    <n v="259"/>
    <n v="0"/>
    <n v="0"/>
    <x v="1"/>
    <m/>
    <n v="0.85"/>
    <n v="917.15"/>
    <n v="2"/>
    <s v="Good coverage"/>
    <n v="0"/>
    <x v="0"/>
    <m/>
  </r>
  <r>
    <x v="10"/>
    <s v="MMR001CMP056"/>
    <x v="0"/>
    <x v="92"/>
    <n v="97.337649999999996"/>
    <n v="24.242049999999999"/>
    <x v="0"/>
    <x v="0"/>
    <n v="75"/>
    <n v="406"/>
    <n v="406"/>
    <x v="0"/>
    <s v="UNICEF"/>
    <s v="KBC"/>
    <x v="0"/>
    <x v="0"/>
    <s v="Gap"/>
    <s v="Focal NGO"/>
    <x v="0"/>
    <n v="0"/>
    <n v="0"/>
    <s v="No"/>
    <n v="0"/>
    <n v="0"/>
    <n v="7200"/>
    <n v="1"/>
    <n v="1"/>
    <n v="1"/>
    <n v="406"/>
    <n v="1"/>
    <n v="406"/>
    <n v="1"/>
    <n v="406"/>
    <x v="0"/>
    <n v="0"/>
    <n v="0"/>
    <n v="1.0149999999999999"/>
    <n v="75"/>
    <n v="406"/>
    <n v="1"/>
    <n v="406"/>
    <s v="1 DTW in this camp"/>
    <n v="33"/>
    <n v="0"/>
    <n v="18"/>
    <x v="2"/>
    <n v="0.88669950738916259"/>
    <n v="360"/>
    <n v="0"/>
    <n v="0"/>
    <n v="0.88669950738916259"/>
    <n v="360"/>
    <n v="0"/>
    <n v="0.89"/>
    <n v="361.34000000000003"/>
    <n v="2.3000000000000007"/>
    <n v="3"/>
    <s v="Separate, clearly perceived"/>
    <n v="0.73891625615763545"/>
    <n v="300"/>
    <n v="1.0599999999999996"/>
    <n v="0.74"/>
    <n v="300.44"/>
    <n v="6"/>
    <n v="1"/>
    <n v="0"/>
    <n v="1"/>
    <m/>
    <d v="2014-04-16T00:00:00"/>
    <s v="To be realised"/>
    <n v="9"/>
    <n v="6"/>
    <n v="75"/>
    <n v="0"/>
    <n v="0"/>
    <x v="16"/>
    <m/>
    <m/>
    <n v="0"/>
    <n v="3"/>
    <s v="Excellent coverage"/>
    <n v="0"/>
    <x v="0"/>
    <m/>
  </r>
  <r>
    <x v="10"/>
    <s v="MMR001CMP063"/>
    <x v="0"/>
    <x v="93"/>
    <n v="97.321659999999994"/>
    <n v="24.41"/>
    <x v="1"/>
    <x v="0"/>
    <n v="28"/>
    <n v="136"/>
    <n v="136"/>
    <x v="1"/>
    <m/>
    <m/>
    <x v="0"/>
    <x v="0"/>
    <m/>
    <s v="Not documented"/>
    <x v="1"/>
    <n v="0"/>
    <n v="0"/>
    <s v="No"/>
    <n v="0"/>
    <n v="0"/>
    <n v="0"/>
    <n v="0"/>
    <n v="0"/>
    <n v="0"/>
    <n v="0"/>
    <n v="0"/>
    <n v="0"/>
    <n v="0"/>
    <n v="0"/>
    <x v="1"/>
    <n v="0"/>
    <n v="0"/>
    <n v="0.34"/>
    <n v="0"/>
    <n v="0"/>
    <n v="0"/>
    <n v="0"/>
    <m/>
    <n v="14"/>
    <n v="0"/>
    <n v="0"/>
    <x v="1"/>
    <n v="0"/>
    <n v="0"/>
    <n v="0"/>
    <n v="0"/>
    <n v="0"/>
    <n v="0"/>
    <n v="0"/>
    <n v="0"/>
    <n v="0"/>
    <n v="6.8"/>
    <n v="0"/>
    <s v="Not separated yet"/>
    <n v="0"/>
    <n v="0"/>
    <n v="1.36"/>
    <n v="0"/>
    <n v="0"/>
    <n v="0"/>
    <n v="0"/>
    <n v="1.36"/>
    <n v="0"/>
    <m/>
    <m/>
    <s v="To be realised"/>
    <n v="0"/>
    <n v="0"/>
    <n v="28"/>
    <n v="0"/>
    <n v="0"/>
    <x v="6"/>
    <m/>
    <n v="0"/>
    <n v="0"/>
    <n v="0"/>
    <s v="No coverage"/>
    <n v="0"/>
    <x v="2"/>
    <m/>
  </r>
  <r>
    <x v="10"/>
    <s v="MMR001CMP058"/>
    <x v="0"/>
    <x v="94"/>
    <n v="97.346940000000004"/>
    <n v="24.251860000000001"/>
    <x v="0"/>
    <x v="0"/>
    <n v="4"/>
    <n v="17"/>
    <n v="17"/>
    <x v="1"/>
    <s v="HIDA, WHH"/>
    <s v="Shalom"/>
    <x v="2"/>
    <x v="1"/>
    <d v="2016-03-30T00:00:00"/>
    <s v="Focal NGO"/>
    <x v="0"/>
    <n v="0"/>
    <n v="0"/>
    <s v="No"/>
    <n v="2"/>
    <n v="0"/>
    <n v="720"/>
    <n v="0"/>
    <n v="0.5"/>
    <n v="1"/>
    <n v="17"/>
    <n v="1"/>
    <n v="17"/>
    <n v="1"/>
    <n v="17"/>
    <x v="0"/>
    <n v="0"/>
    <n v="0"/>
    <n v="0"/>
    <n v="2"/>
    <n v="0"/>
    <n v="1"/>
    <n v="17"/>
    <m/>
    <n v="2"/>
    <n v="0"/>
    <n v="5"/>
    <x v="3"/>
    <n v="1"/>
    <n v="17"/>
    <n v="0"/>
    <n v="0"/>
    <n v="1"/>
    <n v="17"/>
    <n v="0"/>
    <n v="1"/>
    <n v="17"/>
    <n v="0"/>
    <n v="2"/>
    <s v="Separate, clearly perceived"/>
    <n v="1"/>
    <n v="17"/>
    <n v="0"/>
    <n v="1"/>
    <n v="17"/>
    <n v="1"/>
    <n v="1"/>
    <n v="0"/>
    <n v="1"/>
    <m/>
    <d v="2014-05-12T00:00:00"/>
    <s v="To be realised"/>
    <n v="4"/>
    <n v="6"/>
    <n v="4"/>
    <n v="0"/>
    <n v="0"/>
    <x v="1"/>
    <m/>
    <n v="0.8"/>
    <n v="13.600000000000001"/>
    <n v="1"/>
    <s v="Excellent coverage"/>
    <n v="0"/>
    <x v="0"/>
    <m/>
  </r>
  <r>
    <x v="10"/>
    <s v="MMR001CMP056"/>
    <x v="0"/>
    <x v="95"/>
    <n v="97.344359999999995"/>
    <n v="24.250689999999999"/>
    <x v="0"/>
    <x v="0"/>
    <n v="182"/>
    <n v="739"/>
    <n v="727"/>
    <x v="0"/>
    <s v="HIDA, WHH"/>
    <s v="KBC"/>
    <x v="2"/>
    <x v="1"/>
    <d v="2016-03-30T00:00:00"/>
    <s v="Focal NGO"/>
    <x v="0"/>
    <n v="0"/>
    <n v="0"/>
    <s v="No"/>
    <n v="1"/>
    <n v="0"/>
    <n v="15020"/>
    <n v="0.1"/>
    <n v="0.01"/>
    <n v="1"/>
    <n v="727"/>
    <n v="1"/>
    <n v="727"/>
    <n v="1"/>
    <n v="727"/>
    <x v="0"/>
    <n v="0"/>
    <n v="0"/>
    <n v="0.81749999999999989"/>
    <n v="1.82"/>
    <n v="72.7"/>
    <n v="1"/>
    <n v="727"/>
    <s v="Metta had implemented Bio sand filter as a pilot project, land not available to construct the latrines"/>
    <n v="2"/>
    <n v="13"/>
    <n v="10"/>
    <x v="0"/>
    <n v="0.6327372764786795"/>
    <n v="460"/>
    <n v="0.35763411279229712"/>
    <n v="260"/>
    <n v="0.27510316368638238"/>
    <n v="200"/>
    <n v="0"/>
    <n v="0.63"/>
    <n v="458.01"/>
    <n v="26.35"/>
    <n v="4"/>
    <s v="Separate, clearly perceived"/>
    <n v="0.55020632737276476"/>
    <n v="400"/>
    <n v="3.3899999999999997"/>
    <n v="0.55000000000000004"/>
    <n v="399.85"/>
    <n v="6"/>
    <n v="0.82530949105914719"/>
    <n v="1.3899999999999997"/>
    <n v="0.83"/>
    <s v="land not available for more latrines construciton "/>
    <d v="2014-05-09T00:00:00"/>
    <s v="To be realised"/>
    <n v="209"/>
    <n v="6"/>
    <n v="182"/>
    <n v="0"/>
    <n v="0"/>
    <x v="1"/>
    <m/>
    <n v="0.75"/>
    <n v="545.25"/>
    <n v="1"/>
    <s v="Good coverage"/>
    <n v="0"/>
    <x v="1"/>
    <m/>
  </r>
  <r>
    <x v="10"/>
    <s v="MMR001CMP197"/>
    <x v="0"/>
    <x v="96"/>
    <n v="97.344350000000006"/>
    <n v="24.25067"/>
    <x v="1"/>
    <x v="0"/>
    <n v="394"/>
    <n v="1504"/>
    <n v="1504"/>
    <x v="3"/>
    <s v="ECHO"/>
    <m/>
    <x v="0"/>
    <x v="0"/>
    <s v="Gap"/>
    <s v="Focal NGO"/>
    <x v="0"/>
    <n v="0"/>
    <n v="0"/>
    <s v="No"/>
    <n v="150"/>
    <n v="63"/>
    <n v="0"/>
    <n v="0"/>
    <n v="0"/>
    <n v="1"/>
    <n v="1504"/>
    <n v="1"/>
    <n v="1504"/>
    <n v="1"/>
    <n v="1504"/>
    <x v="0"/>
    <n v="0"/>
    <n v="0"/>
    <n v="0"/>
    <n v="0"/>
    <n v="0"/>
    <n v="1"/>
    <n v="1504"/>
    <s v="CESVI implement WASH activities such HP and HK distribution and renovation of WASH facilities in this host families"/>
    <n v="14"/>
    <n v="276"/>
    <n v="9"/>
    <x v="2"/>
    <n v="1"/>
    <n v="1504"/>
    <n v="0.88031914893617025"/>
    <n v="1324"/>
    <n v="0.11968085106382979"/>
    <n v="180"/>
    <n v="0"/>
    <n v="1"/>
    <n v="1504"/>
    <n v="66.2"/>
    <n v="213"/>
    <s v="Not separated yet"/>
    <n v="1"/>
    <n v="1504"/>
    <n v="0"/>
    <n v="1"/>
    <n v="1504"/>
    <n v="0"/>
    <n v="0"/>
    <n v="15.04"/>
    <n v="0"/>
    <m/>
    <d v="2014-12-19T00:00:00"/>
    <d v="2015-12-19T00:00:00"/>
    <n v="334"/>
    <n v="0"/>
    <n v="60"/>
    <n v="0.84771573604060912"/>
    <n v="1274.9644670050761"/>
    <x v="0"/>
    <m/>
    <m/>
    <n v="0"/>
    <n v="4"/>
    <s v="Excellent coverage"/>
    <n v="0"/>
    <x v="0"/>
    <m/>
  </r>
  <r>
    <x v="10"/>
    <s v="MMR001CMP061"/>
    <x v="0"/>
    <x v="97"/>
    <n v="97.406239999999997"/>
    <n v="24.40457"/>
    <x v="1"/>
    <x v="0"/>
    <n v="13"/>
    <n v="53"/>
    <n v="53"/>
    <x v="1"/>
    <m/>
    <m/>
    <x v="0"/>
    <x v="0"/>
    <m/>
    <s v="Not documented"/>
    <x v="1"/>
    <n v="0"/>
    <n v="0"/>
    <s v="No"/>
    <n v="0"/>
    <n v="0"/>
    <n v="0"/>
    <n v="0"/>
    <n v="0"/>
    <n v="0"/>
    <n v="0"/>
    <n v="0"/>
    <n v="0"/>
    <n v="0"/>
    <n v="0"/>
    <x v="1"/>
    <n v="0"/>
    <n v="0"/>
    <n v="0.13250000000000001"/>
    <n v="0"/>
    <n v="0"/>
    <n v="0"/>
    <n v="0"/>
    <m/>
    <n v="23"/>
    <n v="0"/>
    <n v="0"/>
    <x v="1"/>
    <n v="0"/>
    <n v="0"/>
    <n v="0"/>
    <n v="0"/>
    <n v="0"/>
    <n v="0"/>
    <n v="0"/>
    <n v="0"/>
    <n v="0"/>
    <n v="2.65"/>
    <n v="0"/>
    <s v="Not separated yet"/>
    <n v="0"/>
    <n v="0"/>
    <n v="0.53"/>
    <n v="0"/>
    <n v="0"/>
    <n v="0"/>
    <n v="0"/>
    <n v="0.53"/>
    <n v="0"/>
    <m/>
    <m/>
    <s v="To be realised"/>
    <n v="0"/>
    <n v="0"/>
    <n v="13"/>
    <n v="0"/>
    <n v="0"/>
    <x v="6"/>
    <m/>
    <n v="0"/>
    <n v="0"/>
    <n v="0"/>
    <s v="No coverage"/>
    <n v="0"/>
    <x v="2"/>
    <m/>
  </r>
  <r>
    <x v="10"/>
    <s v="MMR001CMP131"/>
    <x v="4"/>
    <x v="98"/>
    <n v="97.669366999999994"/>
    <n v="24.378167000000001"/>
    <x v="0"/>
    <x v="1"/>
    <n v="369"/>
    <n v="1633"/>
    <n v="1633"/>
    <x v="3"/>
    <m/>
    <s v="KMSS"/>
    <x v="0"/>
    <x v="0"/>
    <s v="Gap"/>
    <s v="Focal NGO"/>
    <x v="0"/>
    <n v="0"/>
    <n v="0"/>
    <s v="No"/>
    <n v="0"/>
    <n v="0"/>
    <n v="216000"/>
    <n v="0"/>
    <n v="1"/>
    <n v="1"/>
    <n v="1633"/>
    <n v="1"/>
    <n v="1633"/>
    <n v="1"/>
    <n v="1633"/>
    <x v="0"/>
    <n v="0"/>
    <n v="0"/>
    <n v="4.0824999999999996"/>
    <n v="369"/>
    <n v="0"/>
    <n v="1"/>
    <n v="1633"/>
    <m/>
    <n v="0"/>
    <n v="50"/>
    <n v="54"/>
    <x v="1"/>
    <n v="1"/>
    <n v="1633"/>
    <n v="0.33864053888548684"/>
    <n v="553"/>
    <n v="0.66135946111451316"/>
    <n v="1080"/>
    <n v="18"/>
    <n v="1"/>
    <n v="1633"/>
    <n v="45.650000000000006"/>
    <n v="7"/>
    <s v="Not separated yet"/>
    <n v="0.42865890998162892"/>
    <n v="700"/>
    <n v="9.3299999999999983"/>
    <n v="0.43"/>
    <n v="702.18999999999994"/>
    <n v="10"/>
    <n v="0.61236987140232702"/>
    <n v="6.3299999999999983"/>
    <n v="0.61"/>
    <m/>
    <d v="2014-12-23T00:00:00"/>
    <d v="2015-12-23T00:00:00"/>
    <n v="378"/>
    <n v="0"/>
    <n v="0"/>
    <n v="1"/>
    <n v="1633"/>
    <x v="3"/>
    <m/>
    <m/>
    <n v="0"/>
    <n v="13"/>
    <s v="Excellent coverage"/>
    <n v="0"/>
    <x v="1"/>
    <m/>
  </r>
  <r>
    <x v="10"/>
    <s v="MMR001CMP059"/>
    <x v="0"/>
    <x v="99"/>
    <n v="97.347740000000002"/>
    <n v="24.253769999999999"/>
    <x v="0"/>
    <x v="0"/>
    <n v="25"/>
    <n v="92"/>
    <n v="92"/>
    <x v="1"/>
    <s v="UNICEF"/>
    <s v="Shalom"/>
    <x v="0"/>
    <x v="0"/>
    <s v="Gap"/>
    <s v="Focal NGO"/>
    <x v="0"/>
    <n v="0"/>
    <n v="0"/>
    <s v="No"/>
    <n v="0"/>
    <n v="0"/>
    <n v="1800"/>
    <n v="0"/>
    <n v="1"/>
    <n v="1"/>
    <n v="92"/>
    <n v="1"/>
    <n v="92"/>
    <n v="1"/>
    <n v="92"/>
    <x v="0"/>
    <n v="0"/>
    <n v="0"/>
    <n v="0.23"/>
    <n v="25"/>
    <n v="0"/>
    <n v="1"/>
    <n v="92"/>
    <m/>
    <n v="0"/>
    <n v="1"/>
    <n v="3"/>
    <x v="1"/>
    <n v="0.86956521739130432"/>
    <n v="80"/>
    <n v="0.21739130434782605"/>
    <n v="19.999999999999996"/>
    <n v="0.65217391304347827"/>
    <n v="60"/>
    <n v="0"/>
    <n v="0.87"/>
    <n v="80.040000000000006"/>
    <n v="1.5999999999999996"/>
    <n v="1"/>
    <s v="Not separated yet"/>
    <n v="1"/>
    <n v="92"/>
    <n v="0"/>
    <n v="1"/>
    <n v="92"/>
    <n v="2"/>
    <n v="1"/>
    <n v="0"/>
    <n v="1"/>
    <m/>
    <d v="2014-05-26T00:00:00"/>
    <s v="To be realised"/>
    <n v="23"/>
    <n v="6"/>
    <n v="25"/>
    <n v="0"/>
    <n v="0"/>
    <x v="0"/>
    <m/>
    <m/>
    <n v="0"/>
    <n v="1"/>
    <s v="Excellent coverage"/>
    <n v="0"/>
    <x v="0"/>
    <m/>
  </r>
  <r>
    <x v="10"/>
    <s v="MMR001CMP126"/>
    <x v="4"/>
    <x v="100"/>
    <n v="97.755750000000006"/>
    <n v="24.273479999999999"/>
    <x v="0"/>
    <x v="1"/>
    <n v="297"/>
    <n v="1342"/>
    <n v="1342"/>
    <x v="3"/>
    <m/>
    <s v="KMSS"/>
    <x v="0"/>
    <x v="0"/>
    <s v="Gap"/>
    <s v="Focal NGO"/>
    <x v="0"/>
    <n v="0"/>
    <n v="0"/>
    <s v="No"/>
    <n v="0"/>
    <n v="0"/>
    <n v="99540"/>
    <n v="0"/>
    <n v="0.5"/>
    <n v="1"/>
    <n v="1342"/>
    <n v="1"/>
    <n v="1342"/>
    <n v="1"/>
    <n v="1342"/>
    <x v="0"/>
    <n v="0"/>
    <n v="0"/>
    <n v="3.355"/>
    <n v="148.5"/>
    <n v="0"/>
    <n v="1"/>
    <n v="1342"/>
    <m/>
    <n v="88"/>
    <n v="0"/>
    <n v="70"/>
    <x v="1"/>
    <n v="1"/>
    <n v="1342"/>
    <n v="0"/>
    <n v="0"/>
    <n v="1"/>
    <n v="1342"/>
    <n v="0"/>
    <n v="1"/>
    <n v="1342"/>
    <n v="0"/>
    <n v="2"/>
    <s v="Separate, but not clearly perceived"/>
    <n v="0.14903129657228018"/>
    <n v="200"/>
    <n v="11.42"/>
    <n v="0.15"/>
    <n v="201.29999999999998"/>
    <n v="53"/>
    <n v="1"/>
    <n v="0"/>
    <n v="1"/>
    <m/>
    <d v="2014-12-23T00:00:00"/>
    <d v="2015-12-23T00:00:00"/>
    <n v="322"/>
    <n v="3"/>
    <n v="0"/>
    <n v="1"/>
    <n v="1342"/>
    <x v="10"/>
    <m/>
    <m/>
    <n v="0"/>
    <n v="4"/>
    <s v="Excellent coverage"/>
    <n v="0"/>
    <x v="1"/>
    <m/>
  </r>
  <r>
    <x v="10"/>
    <s v="MMR001CMP126"/>
    <x v="4"/>
    <x v="101"/>
    <n v="97.754009999999994"/>
    <n v="24.275549999999999"/>
    <x v="0"/>
    <x v="1"/>
    <n v="58"/>
    <n v="251"/>
    <n v="251"/>
    <x v="0"/>
    <m/>
    <s v="KMSS"/>
    <x v="0"/>
    <x v="0"/>
    <s v="Gap"/>
    <s v="Focal NGO"/>
    <x v="0"/>
    <n v="0"/>
    <n v="0"/>
    <s v="No"/>
    <n v="0"/>
    <n v="0"/>
    <n v="8640"/>
    <n v="0"/>
    <n v="0"/>
    <n v="1"/>
    <n v="251"/>
    <n v="1"/>
    <n v="251"/>
    <n v="1"/>
    <n v="251"/>
    <x v="0"/>
    <n v="0"/>
    <n v="0"/>
    <n v="0.62749999999999995"/>
    <n v="0"/>
    <n v="0"/>
    <n v="1"/>
    <n v="251"/>
    <m/>
    <n v="63"/>
    <n v="0"/>
    <n v="27"/>
    <x v="1"/>
    <n v="1"/>
    <n v="251"/>
    <n v="0"/>
    <n v="0"/>
    <n v="1"/>
    <n v="251"/>
    <n v="0"/>
    <n v="1"/>
    <n v="251"/>
    <n v="0"/>
    <n v="3"/>
    <s v="Not separated yet"/>
    <n v="1"/>
    <n v="251"/>
    <n v="0"/>
    <n v="1"/>
    <n v="251"/>
    <n v="18"/>
    <n v="1"/>
    <n v="0"/>
    <n v="1"/>
    <m/>
    <d v="2014-12-23T00:00:00"/>
    <d v="2015-12-23T00:00:00"/>
    <n v="58"/>
    <n v="0"/>
    <n v="0"/>
    <n v="1"/>
    <n v="251"/>
    <x v="3"/>
    <m/>
    <m/>
    <n v="0"/>
    <n v="9"/>
    <s v="Excellent coverage"/>
    <n v="0"/>
    <x v="1"/>
    <m/>
  </r>
  <r>
    <x v="10"/>
    <s v="MMR001CMP126"/>
    <x v="4"/>
    <x v="102"/>
    <n v="97.751050000000006"/>
    <n v="24.279910000000001"/>
    <x v="0"/>
    <x v="1"/>
    <n v="128"/>
    <n v="538"/>
    <n v="538"/>
    <x v="0"/>
    <m/>
    <s v="KMSS"/>
    <x v="0"/>
    <x v="0"/>
    <s v="Gap"/>
    <s v="Focal NGO"/>
    <x v="0"/>
    <n v="0"/>
    <n v="0"/>
    <s v="No"/>
    <n v="0"/>
    <n v="0"/>
    <n v="94000"/>
    <n v="0"/>
    <n v="0.5"/>
    <n v="1"/>
    <n v="538"/>
    <n v="1"/>
    <n v="538"/>
    <n v="1"/>
    <n v="538"/>
    <x v="0"/>
    <n v="0"/>
    <n v="0"/>
    <n v="1.345"/>
    <n v="64"/>
    <n v="0"/>
    <n v="1"/>
    <n v="538"/>
    <m/>
    <n v="0"/>
    <n v="10"/>
    <n v="30"/>
    <x v="1"/>
    <n v="1"/>
    <n v="538"/>
    <n v="0"/>
    <n v="0"/>
    <n v="1"/>
    <n v="538"/>
    <n v="0"/>
    <n v="1"/>
    <n v="538"/>
    <n v="0"/>
    <n v="4"/>
    <s v="Separate, but not clearly perceived"/>
    <n v="0.74349442379182151"/>
    <n v="400"/>
    <n v="1.38"/>
    <n v="0.74"/>
    <n v="398.12"/>
    <n v="16"/>
    <n v="1"/>
    <n v="0"/>
    <n v="1"/>
    <m/>
    <d v="2014-12-23T00:00:00"/>
    <d v="2015-12-23T00:00:00"/>
    <n v="228"/>
    <n v="0"/>
    <n v="0"/>
    <n v="1"/>
    <n v="538"/>
    <x v="3"/>
    <m/>
    <m/>
    <n v="0"/>
    <n v="14"/>
    <s v="Excellent coverage"/>
    <n v="0"/>
    <x v="1"/>
    <m/>
  </r>
  <r>
    <x v="10"/>
    <s v="MMR001CMP126"/>
    <x v="4"/>
    <x v="103"/>
    <n v="97.740570000000005"/>
    <n v="24.266819999999999"/>
    <x v="2"/>
    <x v="1"/>
    <n v="0"/>
    <n v="333"/>
    <n v="333"/>
    <x v="1"/>
    <m/>
    <s v="KMSS"/>
    <x v="0"/>
    <x v="0"/>
    <s v="Gap"/>
    <s v="Focal NGO"/>
    <x v="0"/>
    <n v="0"/>
    <n v="0"/>
    <s v="No"/>
    <n v="0"/>
    <n v="0"/>
    <n v="8640"/>
    <n v="0"/>
    <n v="0"/>
    <n v="1"/>
    <n v="333"/>
    <n v="1"/>
    <n v="333"/>
    <n v="1"/>
    <n v="333"/>
    <x v="0"/>
    <n v="0"/>
    <n v="0"/>
    <n v="0.83250000000000002"/>
    <n v="0"/>
    <n v="0"/>
    <n v="1"/>
    <n v="333"/>
    <m/>
    <n v="50"/>
    <n v="0"/>
    <n v="27"/>
    <x v="3"/>
    <n v="1"/>
    <n v="333"/>
    <n v="0"/>
    <n v="0"/>
    <n v="1"/>
    <n v="333"/>
    <n v="0"/>
    <n v="1"/>
    <n v="333"/>
    <n v="0"/>
    <n v="4"/>
    <s v="Separate, but not clearly perceived"/>
    <n v="1"/>
    <n v="333"/>
    <n v="0"/>
    <n v="1"/>
    <n v="333"/>
    <n v="4"/>
    <n v="1"/>
    <n v="0"/>
    <n v="1"/>
    <m/>
    <d v="2014-12-23T00:00:00"/>
    <d v="2015-12-23T00:00:00"/>
    <n v="0"/>
    <n v="0"/>
    <n v="0"/>
    <n v="1"/>
    <n v="333"/>
    <x v="3"/>
    <m/>
    <m/>
    <n v="0"/>
    <n v="2"/>
    <s v="Excellent coverage"/>
    <n v="0"/>
    <x v="2"/>
    <m/>
  </r>
  <r>
    <x v="10"/>
    <s v="MMR001CMP126"/>
    <x v="4"/>
    <x v="104"/>
    <n v="97.758769999999998"/>
    <n v="24.255469999999999"/>
    <x v="2"/>
    <x v="1"/>
    <n v="0"/>
    <n v="506"/>
    <n v="506"/>
    <x v="1"/>
    <m/>
    <s v="KMSS"/>
    <x v="0"/>
    <x v="0"/>
    <s v="Gap"/>
    <s v="Focal NGO"/>
    <x v="0"/>
    <n v="0"/>
    <n v="0"/>
    <s v="No"/>
    <n v="0"/>
    <n v="0"/>
    <n v="24300"/>
    <n v="0"/>
    <n v="0"/>
    <n v="1"/>
    <n v="506"/>
    <n v="1"/>
    <n v="506"/>
    <n v="1"/>
    <n v="506"/>
    <x v="0"/>
    <n v="0"/>
    <n v="0"/>
    <n v="1.2649999999999999"/>
    <n v="0"/>
    <n v="0"/>
    <n v="1"/>
    <n v="506"/>
    <m/>
    <n v="84"/>
    <n v="6"/>
    <n v="16"/>
    <x v="1"/>
    <n v="0.86956521739130432"/>
    <n v="440"/>
    <n v="0.23715415019762842"/>
    <n v="119.99999999999999"/>
    <n v="0.6324110671936759"/>
    <n v="320"/>
    <n v="0"/>
    <n v="0.873"/>
    <n v="441.738"/>
    <n v="9.3000000000000007"/>
    <n v="1"/>
    <s v="Separate, clearly perceived"/>
    <n v="0.19762845849802371"/>
    <n v="100"/>
    <n v="4.0599999999999996"/>
    <n v="0.28999999999999998"/>
    <n v="146.73999999999998"/>
    <n v="2"/>
    <n v="0.39525691699604742"/>
    <n v="3.0599999999999996"/>
    <n v="0.4"/>
    <m/>
    <d v="2014-12-23T00:00:00"/>
    <d v="2015-12-23T00:00:00"/>
    <n v="0"/>
    <n v="0"/>
    <n v="0"/>
    <n v="1"/>
    <n v="506"/>
    <x v="3"/>
    <m/>
    <m/>
    <n v="0"/>
    <n v="2"/>
    <s v="Excellent coverage"/>
    <n v="0"/>
    <x v="1"/>
    <m/>
  </r>
  <r>
    <x v="10"/>
    <s v="MMR001CMP126"/>
    <x v="4"/>
    <x v="105"/>
    <n v="97.758769999999998"/>
    <n v="24.255469999999999"/>
    <x v="1"/>
    <x v="1"/>
    <n v="78"/>
    <n v="326"/>
    <n v="326"/>
    <x v="0"/>
    <m/>
    <s v="KMSS"/>
    <x v="0"/>
    <x v="0"/>
    <s v="Gap"/>
    <s v="Focal NGO"/>
    <x v="0"/>
    <n v="0"/>
    <n v="0"/>
    <s v="No"/>
    <n v="0"/>
    <n v="0"/>
    <n v="10631"/>
    <n v="0"/>
    <n v="0"/>
    <n v="1"/>
    <n v="326"/>
    <n v="1"/>
    <n v="326"/>
    <n v="1"/>
    <n v="326"/>
    <x v="0"/>
    <n v="0"/>
    <n v="0"/>
    <n v="0.81499999999999995"/>
    <n v="0"/>
    <n v="0"/>
    <n v="1"/>
    <n v="326"/>
    <m/>
    <n v="10"/>
    <n v="78"/>
    <n v="0"/>
    <x v="1"/>
    <n v="1"/>
    <n v="326"/>
    <n v="1"/>
    <n v="326"/>
    <n v="0"/>
    <n v="0"/>
    <n v="0"/>
    <n v="1"/>
    <n v="326"/>
    <n v="16.3"/>
    <n v="0"/>
    <s v="Not separated yet"/>
    <n v="0"/>
    <n v="0"/>
    <n v="3.26"/>
    <n v="0"/>
    <n v="0"/>
    <n v="0"/>
    <n v="0"/>
    <n v="3.26"/>
    <n v="0"/>
    <m/>
    <d v="2014-12-23T00:00:00"/>
    <d v="2015-12-23T00:00:00"/>
    <n v="78"/>
    <n v="0"/>
    <n v="0"/>
    <n v="1"/>
    <n v="326"/>
    <x v="3"/>
    <m/>
    <m/>
    <n v="0"/>
    <n v="0"/>
    <s v="No coverage"/>
    <n v="0"/>
    <x v="2"/>
    <m/>
  </r>
  <r>
    <x v="10"/>
    <s v="MMR001CMP126"/>
    <x v="4"/>
    <x v="106"/>
    <n v="97.755750000000006"/>
    <n v="24.273479999999999"/>
    <x v="2"/>
    <x v="1"/>
    <n v="0"/>
    <n v="211"/>
    <n v="211"/>
    <x v="1"/>
    <m/>
    <s v="KMSS"/>
    <x v="0"/>
    <x v="0"/>
    <s v="Gap"/>
    <s v="Focal NGO"/>
    <x v="0"/>
    <n v="0"/>
    <n v="0"/>
    <s v="No"/>
    <n v="0"/>
    <n v="0"/>
    <n v="9000"/>
    <n v="0"/>
    <n v="0"/>
    <n v="1"/>
    <n v="211"/>
    <n v="1"/>
    <n v="211"/>
    <n v="1"/>
    <n v="211"/>
    <x v="0"/>
    <n v="0"/>
    <n v="0"/>
    <n v="0.52749999999999997"/>
    <n v="0"/>
    <n v="0"/>
    <n v="1"/>
    <n v="211"/>
    <m/>
    <n v="0"/>
    <n v="6"/>
    <n v="0"/>
    <x v="1"/>
    <n v="0.56872037914691942"/>
    <n v="120"/>
    <n v="0.56872037914691942"/>
    <n v="120"/>
    <n v="0"/>
    <n v="0"/>
    <n v="0"/>
    <n v="0.57299999999999995"/>
    <n v="120.90299999999999"/>
    <n v="10.55"/>
    <n v="2"/>
    <s v="Separate, clearly perceived"/>
    <n v="0.94786729857819907"/>
    <n v="200"/>
    <n v="0.10999999999999988"/>
    <n v="0.95"/>
    <n v="200.45"/>
    <n v="0"/>
    <n v="0"/>
    <n v="2.11"/>
    <n v="0"/>
    <m/>
    <d v="2014-12-23T00:00:00"/>
    <d v="2015-12-23T00:00:00"/>
    <n v="0"/>
    <n v="0"/>
    <n v="0"/>
    <n v="1"/>
    <n v="211"/>
    <x v="3"/>
    <m/>
    <m/>
    <n v="0"/>
    <n v="0"/>
    <s v="No coverage"/>
    <n v="0"/>
    <x v="1"/>
    <m/>
  </r>
  <r>
    <x v="10"/>
    <s v="MMR001CMP060"/>
    <x v="0"/>
    <x v="107"/>
    <n v="97.417240000000007"/>
    <n v="24.49184"/>
    <x v="1"/>
    <x v="0"/>
    <n v="10"/>
    <n v="38"/>
    <n v="38"/>
    <x v="1"/>
    <m/>
    <m/>
    <x v="0"/>
    <x v="0"/>
    <m/>
    <s v="Not documented"/>
    <x v="1"/>
    <n v="0"/>
    <n v="0"/>
    <s v="No"/>
    <n v="0"/>
    <n v="0"/>
    <n v="0"/>
    <n v="0"/>
    <n v="0"/>
    <n v="0"/>
    <n v="0"/>
    <n v="0"/>
    <n v="0"/>
    <n v="0"/>
    <n v="0"/>
    <x v="1"/>
    <n v="0"/>
    <n v="0"/>
    <n v="9.5000000000000001E-2"/>
    <n v="0"/>
    <n v="0"/>
    <n v="0"/>
    <n v="0"/>
    <m/>
    <n v="78"/>
    <n v="0"/>
    <n v="0"/>
    <x v="1"/>
    <n v="0"/>
    <n v="0"/>
    <n v="0"/>
    <n v="0"/>
    <n v="0"/>
    <n v="0"/>
    <n v="0"/>
    <n v="0"/>
    <n v="0"/>
    <n v="1.9"/>
    <n v="0"/>
    <s v="Not separated yet"/>
    <n v="0"/>
    <n v="0"/>
    <n v="0.38"/>
    <n v="0"/>
    <n v="0"/>
    <n v="0"/>
    <n v="0"/>
    <n v="0.38"/>
    <n v="0"/>
    <m/>
    <m/>
    <s v="To be realised"/>
    <n v="0"/>
    <n v="0"/>
    <n v="10"/>
    <n v="0"/>
    <n v="0"/>
    <x v="6"/>
    <m/>
    <n v="0"/>
    <n v="0"/>
    <n v="0"/>
    <s v="No coverage"/>
    <n v="0"/>
    <x v="2"/>
    <m/>
  </r>
  <r>
    <x v="11"/>
    <s v="MMR015CMP213"/>
    <x v="5"/>
    <x v="108"/>
    <n v="97.909217999999996"/>
    <n v="24.005448999999999"/>
    <x v="0"/>
    <x v="0"/>
    <n v="61"/>
    <n v="250"/>
    <n v="250"/>
    <x v="0"/>
    <s v="FCA/HIDA/WHH"/>
    <s v="KBC"/>
    <x v="2"/>
    <x v="1"/>
    <d v="2015-12-31T00:00:00"/>
    <s v="Focal NGO"/>
    <x v="0"/>
    <n v="0"/>
    <n v="0"/>
    <s v="No"/>
    <n v="0"/>
    <n v="0"/>
    <n v="20000"/>
    <n v="1"/>
    <n v="1"/>
    <n v="1"/>
    <n v="250"/>
    <n v="1"/>
    <n v="250"/>
    <n v="1"/>
    <n v="250"/>
    <x v="0"/>
    <n v="0"/>
    <n v="0"/>
    <n v="0.625"/>
    <n v="61"/>
    <n v="250"/>
    <n v="1"/>
    <n v="250"/>
    <m/>
    <n v="81"/>
    <n v="10"/>
    <n v="0"/>
    <x v="0"/>
    <n v="0.8"/>
    <n v="200"/>
    <n v="0.8"/>
    <n v="200"/>
    <n v="0"/>
    <n v="0"/>
    <n v="3"/>
    <n v="1"/>
    <n v="250"/>
    <n v="15.5"/>
    <n v="4"/>
    <s v="Separate, clearly perceived"/>
    <n v="1"/>
    <n v="250"/>
    <n v="0"/>
    <n v="1"/>
    <n v="250"/>
    <n v="2"/>
    <n v="0.8"/>
    <n v="0.5"/>
    <n v="0.8"/>
    <s v="No Plan for Semi permanent latrines construction"/>
    <d v="2015-05-11T00:00:00"/>
    <d v="2016-05-10T00:00:00"/>
    <n v="81"/>
    <n v="4"/>
    <n v="0"/>
    <n v="1"/>
    <n v="250"/>
    <x v="7"/>
    <m/>
    <n v="0.5"/>
    <n v="125"/>
    <n v="2"/>
    <s v="Excellent coverage"/>
    <n v="0"/>
    <x v="1"/>
    <m/>
  </r>
  <r>
    <x v="11"/>
    <s v="MMR015CMP216"/>
    <x v="5"/>
    <x v="109"/>
    <n v="97.911671100000007"/>
    <n v="24.006896999999999"/>
    <x v="0"/>
    <x v="0"/>
    <n v="31"/>
    <n v="127"/>
    <n v="127"/>
    <x v="1"/>
    <m/>
    <s v="KMSS"/>
    <x v="0"/>
    <x v="0"/>
    <d v="2016-03-31T00:00:00"/>
    <s v="Not documented"/>
    <x v="1"/>
    <n v="0"/>
    <n v="0"/>
    <s v="No"/>
    <n v="0"/>
    <n v="0"/>
    <n v="1000"/>
    <n v="0.6"/>
    <n v="0"/>
    <n v="0.52493438320209973"/>
    <n v="66.666666666666671"/>
    <n v="0.52493438320209973"/>
    <n v="66.666666666666671"/>
    <n v="0.52493438320209973"/>
    <n v="66.666666666666671"/>
    <x v="3"/>
    <n v="0"/>
    <n v="0"/>
    <n v="0.3175"/>
    <n v="0"/>
    <n v="76.2"/>
    <n v="1"/>
    <n v="127"/>
    <m/>
    <n v="2"/>
    <n v="7"/>
    <n v="0"/>
    <x v="3"/>
    <n v="1"/>
    <n v="127"/>
    <n v="1"/>
    <n v="127"/>
    <n v="0"/>
    <n v="0"/>
    <n v="2"/>
    <n v="1"/>
    <n v="127"/>
    <n v="8.35"/>
    <n v="2"/>
    <s v="Separate, clearly perceived"/>
    <n v="1"/>
    <n v="127"/>
    <n v="0"/>
    <n v="1"/>
    <n v="127"/>
    <n v="0"/>
    <n v="0"/>
    <n v="1.27"/>
    <n v="0"/>
    <s v="There need latrines upgrade or smie latrines constructioning , no plan for hand washing space"/>
    <d v="2014-05-17T00:00:00"/>
    <s v="To be realised"/>
    <n v="80"/>
    <n v="9"/>
    <n v="31"/>
    <n v="0"/>
    <n v="0"/>
    <x v="17"/>
    <m/>
    <n v="0.5"/>
    <n v="63.5"/>
    <n v="1"/>
    <s v="Excellent coverage"/>
    <n v="0"/>
    <x v="0"/>
    <m/>
  </r>
  <r>
    <x v="11"/>
    <s v="MMR015CMP139"/>
    <x v="5"/>
    <x v="110"/>
    <n v="98.132779999999997"/>
    <n v="23.951699999999999"/>
    <x v="0"/>
    <x v="0"/>
    <n v="9"/>
    <n v="44"/>
    <n v="44"/>
    <x v="1"/>
    <s v="FCA/HIDA/WHH"/>
    <s v="KBC"/>
    <x v="2"/>
    <x v="1"/>
    <d v="2016-03-31T00:00:00"/>
    <s v="Focal NGO"/>
    <x v="0"/>
    <n v="0"/>
    <n v="0"/>
    <s v="No"/>
    <n v="0"/>
    <n v="0"/>
    <n v="22500"/>
    <n v="1"/>
    <n v="0"/>
    <n v="1"/>
    <n v="44"/>
    <n v="1"/>
    <n v="44"/>
    <n v="1"/>
    <n v="44"/>
    <x v="0"/>
    <n v="0"/>
    <n v="0"/>
    <n v="0.11"/>
    <n v="0"/>
    <n v="44"/>
    <n v="1"/>
    <n v="44"/>
    <m/>
    <n v="0"/>
    <n v="3"/>
    <n v="0"/>
    <x v="3"/>
    <n v="1"/>
    <n v="44"/>
    <n v="1"/>
    <n v="44"/>
    <n v="0"/>
    <n v="0"/>
    <n v="0"/>
    <n v="1"/>
    <n v="44"/>
    <n v="2.2000000000000002"/>
    <n v="1"/>
    <s v="Not separated yet"/>
    <n v="1"/>
    <n v="44"/>
    <n v="0"/>
    <n v="1"/>
    <n v="44"/>
    <n v="0"/>
    <n v="0"/>
    <n v="0.44"/>
    <n v="0"/>
    <s v="no plan for hand washing space"/>
    <d v="2015-05-01T00:00:00"/>
    <d v="2016-04-30T00:00:00"/>
    <n v="10"/>
    <n v="10"/>
    <n v="0"/>
    <n v="1"/>
    <n v="44"/>
    <x v="7"/>
    <s v="Metta have 3 months refill distribution in July 15"/>
    <n v="0"/>
    <n v="0"/>
    <n v="0"/>
    <s v="No coverage"/>
    <n v="0"/>
    <x v="1"/>
    <m/>
  </r>
  <r>
    <x v="12"/>
    <s v="MMR001CMP012"/>
    <x v="9"/>
    <x v="111"/>
    <n v="97.385101000000006"/>
    <n v="25.399795999999998"/>
    <x v="0"/>
    <x v="0"/>
    <n v="6"/>
    <n v="27"/>
    <n v="27"/>
    <x v="1"/>
    <s v="CIDA/ADRA"/>
    <s v="KBC"/>
    <x v="5"/>
    <x v="1"/>
    <d v="2015-12-31T00:00:00"/>
    <s v="Focal NGO"/>
    <x v="0"/>
    <n v="0"/>
    <n v="0"/>
    <s v="No"/>
    <n v="0"/>
    <n v="1"/>
    <n v="0"/>
    <n v="0"/>
    <n v="1"/>
    <n v="1"/>
    <n v="27"/>
    <n v="1"/>
    <n v="27"/>
    <n v="1"/>
    <n v="27"/>
    <x v="0"/>
    <n v="0"/>
    <n v="0"/>
    <n v="0"/>
    <n v="6"/>
    <n v="0"/>
    <n v="1"/>
    <n v="27"/>
    <m/>
    <n v="27"/>
    <n v="0"/>
    <n v="1"/>
    <x v="0"/>
    <n v="0.7407407407407407"/>
    <n v="20"/>
    <n v="0"/>
    <n v="0"/>
    <n v="0.7407407407407407"/>
    <n v="20"/>
    <n v="0"/>
    <n v="0.75"/>
    <n v="20.25"/>
    <n v="0.35000000000000009"/>
    <n v="1"/>
    <s v="Not separated yet"/>
    <n v="1"/>
    <n v="27"/>
    <n v="0"/>
    <n v="1"/>
    <n v="27"/>
    <n v="0"/>
    <n v="0"/>
    <n v="0.27"/>
    <n v="0"/>
    <s v="old 2 Hand washing had already out of used."/>
    <d v="2015-02-18T00:00:00"/>
    <d v="2016-02-18T00:00:00"/>
    <n v="6"/>
    <n v="4"/>
    <n v="0"/>
    <n v="1"/>
    <n v="27"/>
    <x v="2"/>
    <s v="KBC has only 1 time basic HK distribution and no plan of refill HK with ADRA fund until to Feb 16.  "/>
    <n v="1"/>
    <n v="27"/>
    <n v="2"/>
    <s v="Excellent coverage"/>
    <n v="0"/>
    <x v="1"/>
    <m/>
  </r>
  <r>
    <x v="12"/>
    <s v="MMR001CMP010"/>
    <x v="9"/>
    <x v="112"/>
    <n v="97.383056999999994"/>
    <n v="25.395994000000002"/>
    <x v="0"/>
    <x v="0"/>
    <n v="6"/>
    <n v="35"/>
    <n v="35"/>
    <x v="1"/>
    <s v="CIDA/ADRA"/>
    <s v="KBC"/>
    <x v="5"/>
    <x v="1"/>
    <d v="2016-02-29T00:00:00"/>
    <s v="Focal NGO"/>
    <x v="0"/>
    <n v="0"/>
    <n v="0"/>
    <s v="No"/>
    <n v="0"/>
    <n v="1"/>
    <n v="0"/>
    <n v="0"/>
    <n v="1"/>
    <n v="1"/>
    <n v="35"/>
    <n v="1"/>
    <n v="35"/>
    <n v="1"/>
    <n v="35"/>
    <x v="0"/>
    <n v="0"/>
    <n v="0"/>
    <n v="0"/>
    <n v="6"/>
    <n v="0"/>
    <n v="1"/>
    <n v="35"/>
    <m/>
    <n v="0"/>
    <n v="0"/>
    <n v="3"/>
    <x v="0"/>
    <n v="1"/>
    <n v="35"/>
    <n v="0"/>
    <n v="0"/>
    <n v="1"/>
    <n v="35"/>
    <n v="0"/>
    <n v="1"/>
    <n v="35"/>
    <n v="0"/>
    <n v="1"/>
    <s v="Not separated yet"/>
    <n v="1"/>
    <n v="35"/>
    <n v="0"/>
    <n v="1"/>
    <n v="35"/>
    <n v="0"/>
    <n v="0"/>
    <n v="0.35"/>
    <n v="0"/>
    <s v="old 3 Hand washing had already out of used."/>
    <d v="2015-02-18T00:00:00"/>
    <d v="2016-02-18T00:00:00"/>
    <n v="6"/>
    <n v="4"/>
    <n v="0"/>
    <n v="1"/>
    <n v="35"/>
    <x v="2"/>
    <s v="KBC has only 1 time basic HK distribution and no plan of refill HK with ADRA fund until to Feb 16.  "/>
    <n v="1"/>
    <n v="35"/>
    <n v="2"/>
    <s v="Excellent coverage"/>
    <n v="0"/>
    <x v="1"/>
    <m/>
  </r>
  <r>
    <x v="12"/>
    <s v="MMR001CMP011"/>
    <x v="9"/>
    <x v="113"/>
    <n v="97.381195000000005"/>
    <n v="25.396363999999998"/>
    <x v="0"/>
    <x v="0"/>
    <n v="8"/>
    <n v="26"/>
    <n v="26"/>
    <x v="1"/>
    <s v="CIDA/ADRA"/>
    <s v="KBC"/>
    <x v="5"/>
    <x v="1"/>
    <d v="2015-12-31T00:00:00"/>
    <s v="Focal NGO"/>
    <x v="0"/>
    <n v="0"/>
    <n v="0"/>
    <s v="No"/>
    <n v="0"/>
    <n v="1"/>
    <n v="0"/>
    <n v="0"/>
    <n v="1"/>
    <n v="1"/>
    <n v="26"/>
    <n v="1"/>
    <n v="26"/>
    <n v="1"/>
    <n v="26"/>
    <x v="0"/>
    <n v="0"/>
    <n v="0"/>
    <n v="0"/>
    <n v="8"/>
    <n v="0"/>
    <n v="1"/>
    <n v="26"/>
    <m/>
    <n v="0"/>
    <n v="0"/>
    <n v="1"/>
    <x v="0"/>
    <n v="0.76923076923076927"/>
    <n v="20"/>
    <n v="0"/>
    <n v="0"/>
    <n v="0.76923076923076927"/>
    <n v="20"/>
    <n v="0"/>
    <n v="0.77"/>
    <n v="20.02"/>
    <n v="0.30000000000000004"/>
    <n v="1"/>
    <s v="Not separated yet"/>
    <n v="1"/>
    <n v="26"/>
    <n v="0"/>
    <n v="1"/>
    <n v="26"/>
    <n v="0"/>
    <n v="0"/>
    <n v="0.26"/>
    <n v="0"/>
    <s v="old 3 Hand washing had already out of used."/>
    <d v="2015-02-18T00:00:00"/>
    <d v="2016-02-18T00:00:00"/>
    <n v="8"/>
    <n v="4"/>
    <n v="0"/>
    <n v="1"/>
    <n v="26"/>
    <x v="2"/>
    <s v="KBC has only 1 time basic HK distribution and no plan of refill HK with ADRA fund until to Feb 16.  "/>
    <n v="1"/>
    <n v="26"/>
    <n v="2"/>
    <s v="Excellent coverage"/>
    <n v="0"/>
    <x v="1"/>
    <m/>
  </r>
  <r>
    <x v="12"/>
    <s v="MMR001CMP018"/>
    <x v="9"/>
    <x v="114"/>
    <n v="97.389778000000007"/>
    <n v="25.417733999999999"/>
    <x v="0"/>
    <x v="0"/>
    <n v="187"/>
    <n v="927"/>
    <n v="927"/>
    <x v="0"/>
    <s v="CIDA/ADRA"/>
    <s v="KBC"/>
    <x v="5"/>
    <x v="1"/>
    <d v="2016-02-29T00:00:00"/>
    <s v="Focal NGO"/>
    <x v="0"/>
    <n v="0"/>
    <n v="0"/>
    <s v="No"/>
    <n v="1"/>
    <n v="9"/>
    <n v="3000"/>
    <n v="0"/>
    <n v="1"/>
    <n v="1"/>
    <n v="927"/>
    <n v="1"/>
    <n v="927"/>
    <n v="1"/>
    <n v="927"/>
    <x v="0"/>
    <n v="0"/>
    <n v="0"/>
    <n v="0"/>
    <n v="187"/>
    <n v="0"/>
    <n v="1"/>
    <n v="927"/>
    <m/>
    <n v="0"/>
    <n v="0"/>
    <n v="51"/>
    <x v="0"/>
    <n v="1"/>
    <n v="927"/>
    <n v="0"/>
    <n v="0"/>
    <n v="1"/>
    <n v="927"/>
    <n v="0"/>
    <n v="1"/>
    <n v="927"/>
    <n v="0"/>
    <n v="4"/>
    <s v="Separate, but not clearly perceived"/>
    <n v="0.43149946062567424"/>
    <n v="400"/>
    <n v="5.27"/>
    <n v="0.43"/>
    <n v="398.61"/>
    <n v="0"/>
    <n v="0"/>
    <n v="9.27"/>
    <n v="0"/>
    <s v="old 3 Hand washing had already out of used."/>
    <d v="2015-02-18T00:00:00"/>
    <d v="2016-02-18T00:00:00"/>
    <n v="189"/>
    <n v="4"/>
    <n v="0"/>
    <n v="1"/>
    <n v="927"/>
    <x v="2"/>
    <s v="KBC has only 1 time basic HK distribution and no plan of refill HK with ADRA fund until to Feb 16.  "/>
    <n v="1"/>
    <n v="927"/>
    <n v="2"/>
    <s v="Excellent coverage"/>
    <n v="0"/>
    <x v="0"/>
    <m/>
  </r>
  <r>
    <x v="12"/>
    <s v="MMR001CMP019"/>
    <x v="9"/>
    <x v="115"/>
    <n v="97.373361000000003"/>
    <n v="25.403476999999999"/>
    <x v="0"/>
    <x v="0"/>
    <n v="106"/>
    <n v="468"/>
    <n v="468"/>
    <x v="0"/>
    <s v="DFID/Trocaires"/>
    <s v="KMSS"/>
    <x v="4"/>
    <x v="1"/>
    <d v="2016-02-29T00:00:00"/>
    <s v="Focal NGO"/>
    <x v="0"/>
    <n v="0"/>
    <n v="0"/>
    <s v="No"/>
    <n v="1"/>
    <n v="3"/>
    <n v="3000"/>
    <n v="0"/>
    <n v="1"/>
    <n v="1"/>
    <n v="468"/>
    <n v="1"/>
    <n v="468"/>
    <n v="1"/>
    <n v="468"/>
    <x v="0"/>
    <n v="0"/>
    <n v="0"/>
    <n v="0"/>
    <n v="106"/>
    <n v="0"/>
    <n v="1"/>
    <n v="468"/>
    <s v="the existing 1 well is not protect and not usually used and currently IDPs used GFS. KMSS have a plan to improve that GFS as Water storage tank construction. "/>
    <n v="0"/>
    <n v="0"/>
    <n v="20"/>
    <x v="0"/>
    <n v="0.85470085470085466"/>
    <n v="400"/>
    <n v="0"/>
    <n v="0"/>
    <n v="0.85470085470085466"/>
    <n v="400"/>
    <n v="0"/>
    <n v="0.86"/>
    <n v="402.48"/>
    <n v="3.3999999999999986"/>
    <n v="1"/>
    <s v="Not separated yet"/>
    <n v="0.21367521367521367"/>
    <n v="100"/>
    <n v="3.6799999999999997"/>
    <n v="1"/>
    <n v="468"/>
    <n v="4"/>
    <n v="0.85470085470085466"/>
    <n v="0.67999999999999972"/>
    <n v="0.85"/>
    <s v="Handwashing station ss not functioning. And also land limited for facilities construciton."/>
    <d v="2014-05-22T00:00:00"/>
    <s v="To be realised"/>
    <n v="106"/>
    <n v="2"/>
    <n v="106"/>
    <n v="0"/>
    <n v="0"/>
    <x v="9"/>
    <m/>
    <n v="0.8"/>
    <n v="374.40000000000003"/>
    <n v="4"/>
    <s v="Excellent coverage"/>
    <n v="0"/>
    <x v="1"/>
    <m/>
  </r>
  <r>
    <x v="12"/>
    <s v="MMR001CMP013"/>
    <x v="9"/>
    <x v="116"/>
    <n v="97.405120999999994"/>
    <n v="25.365891000000001"/>
    <x v="0"/>
    <x v="0"/>
    <n v="46"/>
    <n v="193"/>
    <n v="193"/>
    <x v="1"/>
    <s v="CIDA/ADRA"/>
    <s v="KBC"/>
    <x v="5"/>
    <x v="1"/>
    <d v="2016-02-29T00:00:00"/>
    <s v="Focal NGO"/>
    <x v="0"/>
    <n v="0"/>
    <n v="0"/>
    <s v="No"/>
    <n v="1"/>
    <n v="1"/>
    <n v="0"/>
    <n v="0"/>
    <n v="1"/>
    <n v="1"/>
    <n v="193"/>
    <n v="1"/>
    <n v="193"/>
    <n v="1"/>
    <n v="193"/>
    <x v="0"/>
    <n v="0"/>
    <n v="0"/>
    <n v="0"/>
    <n v="46"/>
    <n v="0"/>
    <n v="1"/>
    <n v="193"/>
    <m/>
    <n v="0"/>
    <n v="0"/>
    <n v="8"/>
    <x v="0"/>
    <n v="0.82901554404145072"/>
    <n v="160"/>
    <n v="0"/>
    <n v="0"/>
    <n v="0.82901554404145072"/>
    <n v="160"/>
    <n v="0"/>
    <n v="0.83"/>
    <n v="160.19"/>
    <n v="1.6500000000000004"/>
    <n v="2"/>
    <s v="Not separated yet"/>
    <n v="1"/>
    <n v="193"/>
    <n v="0"/>
    <n v="0.43"/>
    <n v="82.99"/>
    <n v="0"/>
    <n v="0"/>
    <n v="1.93"/>
    <n v="0"/>
    <s v="Land limited to construct more latrines and WASH facilities, old 3 Hand washing had already out of used."/>
    <d v="2015-02-18T00:00:00"/>
    <d v="2016-02-18T00:00:00"/>
    <n v="44"/>
    <n v="4"/>
    <n v="2"/>
    <n v="0.95652173913043481"/>
    <n v="184.60869565217391"/>
    <x v="2"/>
    <s v="KBC has only 1 time basic HK distribution and no plan of refill HK with ADRA fund until to Feb 16.  "/>
    <n v="1"/>
    <n v="193"/>
    <n v="2"/>
    <s v="Excellent coverage"/>
    <n v="0"/>
    <x v="0"/>
    <m/>
  </r>
  <r>
    <x v="12"/>
    <s v="MMR001CMP147"/>
    <x v="9"/>
    <x v="117"/>
    <m/>
    <m/>
    <x v="0"/>
    <x v="1"/>
    <n v="19"/>
    <n v="68"/>
    <n v="68"/>
    <x v="1"/>
    <s v="DFID/Trocaires"/>
    <s v="KMSS"/>
    <x v="4"/>
    <x v="1"/>
    <d v="2016-02-29T00:00:00"/>
    <s v="Focal NGO"/>
    <x v="0"/>
    <n v="0"/>
    <n v="0"/>
    <s v="No"/>
    <n v="0"/>
    <n v="0"/>
    <n v="1500"/>
    <n v="0"/>
    <n v="0"/>
    <n v="1"/>
    <n v="68"/>
    <n v="1"/>
    <n v="68"/>
    <n v="1"/>
    <n v="68"/>
    <x v="0"/>
    <n v="0"/>
    <n v="0"/>
    <n v="0.17"/>
    <n v="0"/>
    <n v="0"/>
    <n v="1"/>
    <n v="68"/>
    <m/>
    <n v="0"/>
    <n v="0"/>
    <n v="3"/>
    <x v="1"/>
    <n v="0.88235294117647056"/>
    <n v="60"/>
    <n v="0"/>
    <n v="0"/>
    <n v="0.88235294117647056"/>
    <n v="60"/>
    <n v="0"/>
    <n v="0.89"/>
    <n v="60.52"/>
    <n v="0.39999999999999991"/>
    <n v="0"/>
    <s v="Not separated yet"/>
    <n v="0"/>
    <n v="0"/>
    <n v="0.68"/>
    <n v="0.21"/>
    <n v="14.28"/>
    <n v="0"/>
    <n v="0"/>
    <n v="0.68"/>
    <n v="0"/>
    <s v="Every IDPs HH used individual bathing spaces. "/>
    <m/>
    <s v="To be realised"/>
    <n v="0"/>
    <n v="0"/>
    <n v="19"/>
    <n v="0"/>
    <n v="0"/>
    <x v="6"/>
    <m/>
    <n v="0.8"/>
    <n v="54.400000000000006"/>
    <n v="4"/>
    <s v="Excellent coverage"/>
    <n v="0"/>
    <x v="1"/>
    <m/>
  </r>
  <r>
    <x v="12"/>
    <s v="MMR001CMP015"/>
    <x v="9"/>
    <x v="118"/>
    <n v="97.409317000000001"/>
    <n v="25.362189999999998"/>
    <x v="0"/>
    <x v="0"/>
    <n v="97"/>
    <n v="513"/>
    <n v="328"/>
    <x v="0"/>
    <s v="CIDA/ADRA"/>
    <s v="KBC"/>
    <x v="0"/>
    <x v="0"/>
    <s v="Gap"/>
    <s v="Focal NGO"/>
    <x v="0"/>
    <n v="0"/>
    <n v="0"/>
    <s v="No"/>
    <n v="1"/>
    <n v="0"/>
    <n v="0"/>
    <n v="0"/>
    <n v="1"/>
    <n v="1"/>
    <n v="328"/>
    <n v="1"/>
    <n v="328"/>
    <n v="1"/>
    <n v="328"/>
    <x v="0"/>
    <n v="0"/>
    <n v="0"/>
    <n v="0"/>
    <n v="97"/>
    <n v="0"/>
    <n v="1"/>
    <n v="328"/>
    <m/>
    <n v="0"/>
    <n v="0"/>
    <n v="10"/>
    <x v="0"/>
    <n v="0.6097560975609756"/>
    <n v="200"/>
    <n v="0"/>
    <n v="0"/>
    <n v="0.6097560975609756"/>
    <n v="200"/>
    <n v="0"/>
    <n v="0.61"/>
    <n v="200.07999999999998"/>
    <n v="6.3999999999999986"/>
    <n v="1"/>
    <s v="Not separated yet"/>
    <n v="0.3048780487804878"/>
    <n v="100"/>
    <n v="4.13"/>
    <n v="0.3"/>
    <n v="98.399999999999991"/>
    <n v="0"/>
    <n v="0"/>
    <n v="5.13"/>
    <n v="0"/>
    <s v="Land limited to construct more latrines and WASH facilities, old 3 Hand washing had already out of used."/>
    <d v="2015-02-18T00:00:00"/>
    <d v="2016-02-18T00:00:00"/>
    <n v="105"/>
    <n v="4"/>
    <n v="0"/>
    <n v="1"/>
    <n v="328"/>
    <x v="2"/>
    <s v="KBC has only 1 time basic HK distribution and no plan of refill HK with ADRA fund until to Feb 16.  "/>
    <m/>
    <n v="0"/>
    <n v="2"/>
    <s v="Excellent coverage"/>
    <n v="0"/>
    <x v="1"/>
    <m/>
  </r>
  <r>
    <x v="12"/>
    <s v="MMR001CMP014"/>
    <x v="9"/>
    <x v="119"/>
    <n v="97.408919999999995"/>
    <n v="25.355983999999999"/>
    <x v="0"/>
    <x v="0"/>
    <n v="146"/>
    <n v="693"/>
    <n v="462"/>
    <x v="0"/>
    <s v="CIDA/ADRA"/>
    <s v="KBC"/>
    <x v="0"/>
    <x v="0"/>
    <s v="Gap"/>
    <s v="Focal NGO"/>
    <x v="0"/>
    <n v="0"/>
    <n v="0"/>
    <s v="No"/>
    <n v="0"/>
    <n v="3"/>
    <n v="5600"/>
    <n v="0"/>
    <n v="1"/>
    <n v="1"/>
    <n v="462"/>
    <n v="1"/>
    <n v="462"/>
    <n v="1"/>
    <n v="462"/>
    <x v="0"/>
    <n v="0"/>
    <n v="0"/>
    <n v="0"/>
    <n v="146"/>
    <n v="0"/>
    <n v="1"/>
    <n v="462"/>
    <m/>
    <n v="2"/>
    <n v="0"/>
    <n v="34"/>
    <x v="0"/>
    <n v="1"/>
    <n v="462"/>
    <n v="0"/>
    <n v="0"/>
    <n v="1"/>
    <n v="462"/>
    <n v="0"/>
    <n v="1"/>
    <n v="462"/>
    <n v="0"/>
    <n v="3"/>
    <s v="Separate, clearly perceived"/>
    <n v="0.64935064935064934"/>
    <n v="300"/>
    <n v="3.9299999999999997"/>
    <n v="0.65"/>
    <n v="300.3"/>
    <n v="0"/>
    <n v="0"/>
    <n v="6.93"/>
    <n v="0"/>
    <s v="land limited to construct more latrines, old 9 Hand washing had already out of used"/>
    <d v="2015-02-18T00:00:00"/>
    <d v="2016-02-18T00:00:00"/>
    <n v="143"/>
    <n v="4"/>
    <n v="3"/>
    <n v="0.97945205479452058"/>
    <n v="452.50684931506851"/>
    <x v="2"/>
    <s v="KBC has only 1 time basic HK distribution and no plan of refill HK with ADRA fund until to Feb 16.  "/>
    <m/>
    <n v="0"/>
    <n v="2"/>
    <s v="Excellent coverage"/>
    <n v="0"/>
    <x v="1"/>
    <m/>
  </r>
  <r>
    <x v="12"/>
    <s v="MMR001CMP016"/>
    <x v="9"/>
    <x v="120"/>
    <n v="97.411606000000006"/>
    <n v="25.360475999999998"/>
    <x v="0"/>
    <x v="0"/>
    <n v="73"/>
    <n v="318"/>
    <n v="318"/>
    <x v="0"/>
    <s v="CIDA/ADRA"/>
    <s v="KBC"/>
    <x v="5"/>
    <x v="1"/>
    <d v="2015-12-31T00:00:00"/>
    <s v="Focal NGO"/>
    <x v="0"/>
    <n v="0"/>
    <n v="0"/>
    <s v="No"/>
    <n v="1"/>
    <n v="1"/>
    <n v="1600"/>
    <n v="0"/>
    <n v="1"/>
    <n v="1"/>
    <n v="318"/>
    <n v="1"/>
    <n v="318"/>
    <n v="1"/>
    <n v="318"/>
    <x v="0"/>
    <n v="0"/>
    <n v="0"/>
    <n v="0"/>
    <n v="73"/>
    <n v="0"/>
    <n v="1"/>
    <n v="318"/>
    <m/>
    <n v="33"/>
    <n v="0"/>
    <n v="12"/>
    <x v="0"/>
    <n v="0.75471698113207553"/>
    <n v="240.00000000000003"/>
    <n v="0"/>
    <n v="0"/>
    <n v="0.75471698113207553"/>
    <n v="240.00000000000003"/>
    <n v="0"/>
    <n v="0.75"/>
    <n v="238.5"/>
    <n v="3.9000000000000004"/>
    <n v="2"/>
    <s v="Not separated yet"/>
    <n v="0.62893081761006286"/>
    <n v="200"/>
    <n v="1.1800000000000002"/>
    <n v="0.63"/>
    <n v="200.34"/>
    <n v="0"/>
    <n v="0"/>
    <n v="3.18"/>
    <n v="0"/>
    <s v="due to IDPs used individual bathing spaces, no need to construct more, old 3 Hand washing had already out of used"/>
    <d v="2015-02-18T00:00:00"/>
    <d v="2016-02-18T00:00:00"/>
    <n v="71"/>
    <n v="4"/>
    <n v="2"/>
    <n v="0.9726027397260274"/>
    <n v="309.28767123287673"/>
    <x v="2"/>
    <s v="KBC has only 1 time basic HK distribution and no plan of refill HK with ADRA fund until to Feb 16.  "/>
    <n v="1"/>
    <n v="318"/>
    <n v="2"/>
    <s v="Excellent coverage"/>
    <n v="0"/>
    <x v="1"/>
    <m/>
  </r>
  <r>
    <x v="12"/>
    <s v="MMR001CMP008"/>
    <x v="9"/>
    <x v="121"/>
    <n v="97.418694000000002"/>
    <n v="25.428910999999999"/>
    <x v="0"/>
    <x v="0"/>
    <n v="83"/>
    <n v="368"/>
    <n v="368"/>
    <x v="0"/>
    <s v="CIDA/ADRA"/>
    <s v="KBC"/>
    <x v="5"/>
    <x v="1"/>
    <d v="2016-02-29T00:00:00"/>
    <s v="Focal NGO"/>
    <x v="0"/>
    <n v="0"/>
    <n v="0"/>
    <s v="No"/>
    <n v="2"/>
    <n v="0"/>
    <n v="1000"/>
    <n v="0"/>
    <n v="1"/>
    <n v="1"/>
    <n v="368"/>
    <n v="1"/>
    <n v="368"/>
    <n v="1"/>
    <n v="368"/>
    <x v="0"/>
    <n v="0"/>
    <n v="0"/>
    <n v="0"/>
    <n v="83"/>
    <n v="0"/>
    <n v="1"/>
    <n v="368"/>
    <m/>
    <n v="0"/>
    <n v="0"/>
    <n v="24"/>
    <x v="0"/>
    <n v="1"/>
    <n v="368"/>
    <n v="0"/>
    <n v="0"/>
    <n v="1"/>
    <n v="368"/>
    <n v="0"/>
    <n v="1"/>
    <n v="368"/>
    <n v="0"/>
    <n v="2"/>
    <s v="Not separated yet"/>
    <n v="0.54347826086956519"/>
    <n v="200"/>
    <n v="1.6800000000000002"/>
    <n v="0.54"/>
    <n v="198.72000000000003"/>
    <n v="0"/>
    <n v="0"/>
    <n v="3.68"/>
    <n v="0"/>
    <s v="old 12 Hand washing had already out of used"/>
    <d v="2015-02-18T00:00:00"/>
    <d v="2016-02-18T00:00:00"/>
    <n v="87"/>
    <n v="4"/>
    <n v="0"/>
    <n v="1"/>
    <n v="368"/>
    <x v="2"/>
    <s v="KBC has only 1 time basic HK distribution and no plan of refill HK with ADRA fund until to Feb 16.  "/>
    <n v="1"/>
    <n v="368"/>
    <n v="2"/>
    <s v="Excellent coverage"/>
    <n v="0"/>
    <x v="0"/>
    <s v="1 temporary incinerator has been out of used"/>
  </r>
  <r>
    <x v="12"/>
    <s v="MMR001CMP020"/>
    <x v="9"/>
    <x v="122"/>
    <n v="97.284729999999996"/>
    <n v="25.374020000000002"/>
    <x v="0"/>
    <x v="0"/>
    <n v="22"/>
    <n v="103"/>
    <n v="103"/>
    <x v="1"/>
    <s v="AusAid/OXFAM"/>
    <s v="Shalom"/>
    <x v="3"/>
    <x v="1"/>
    <d v="2015-12-31T00:00:00"/>
    <s v="Focal NGO"/>
    <x v="0"/>
    <n v="0"/>
    <n v="0"/>
    <s v="No"/>
    <n v="1"/>
    <n v="1"/>
    <n v="3000"/>
    <n v="0"/>
    <n v="0"/>
    <n v="1"/>
    <n v="103"/>
    <n v="1"/>
    <n v="103"/>
    <n v="1"/>
    <n v="103"/>
    <x v="0"/>
    <n v="0"/>
    <n v="0"/>
    <n v="0"/>
    <n v="0"/>
    <n v="0"/>
    <n v="1"/>
    <n v="103"/>
    <m/>
    <n v="10"/>
    <n v="2"/>
    <n v="5"/>
    <x v="0"/>
    <n v="1"/>
    <n v="103"/>
    <n v="2.9126213592232997E-2"/>
    <n v="2.9999999999999987"/>
    <n v="0.970873786407767"/>
    <n v="100"/>
    <n v="0"/>
    <n v="1"/>
    <n v="103"/>
    <n v="0.15000000000000036"/>
    <n v="2"/>
    <s v="Latrine shared by families , not separated"/>
    <n v="1"/>
    <n v="103"/>
    <n v="0"/>
    <n v="1"/>
    <n v="103"/>
    <n v="2"/>
    <n v="1"/>
    <n v="0"/>
    <n v="1"/>
    <m/>
    <d v="2015-02-13T00:00:00"/>
    <d v="2016-02-13T00:00:00"/>
    <n v="22"/>
    <n v="5"/>
    <n v="0"/>
    <n v="1"/>
    <n v="103"/>
    <x v="2"/>
    <m/>
    <n v="1"/>
    <n v="103"/>
    <n v="2"/>
    <s v="Excellent coverage"/>
    <n v="0"/>
    <x v="0"/>
    <m/>
  </r>
  <r>
    <x v="12"/>
    <s v="MMR001CMP021"/>
    <x v="9"/>
    <x v="123"/>
    <n v="97.291079999999994"/>
    <n v="25.371179999999999"/>
    <x v="0"/>
    <x v="0"/>
    <n v="14"/>
    <n v="72"/>
    <n v="72"/>
    <x v="1"/>
    <s v="AusAid/OXFAM"/>
    <s v="Shalom"/>
    <x v="3"/>
    <x v="1"/>
    <d v="2016-02-29T00:00:00"/>
    <s v="Focal NGO"/>
    <x v="0"/>
    <n v="0"/>
    <n v="0"/>
    <s v="No"/>
    <n v="1"/>
    <n v="0"/>
    <n v="3000"/>
    <n v="0"/>
    <n v="0"/>
    <n v="1"/>
    <n v="72"/>
    <n v="1"/>
    <n v="72"/>
    <n v="1"/>
    <n v="72"/>
    <x v="0"/>
    <n v="0"/>
    <n v="0"/>
    <n v="0"/>
    <n v="0"/>
    <n v="0"/>
    <n v="1"/>
    <n v="72"/>
    <m/>
    <n v="0"/>
    <n v="0"/>
    <n v="5"/>
    <x v="0"/>
    <n v="1"/>
    <n v="72"/>
    <n v="0"/>
    <n v="0"/>
    <n v="1"/>
    <n v="72"/>
    <n v="0"/>
    <n v="1"/>
    <n v="72"/>
    <n v="0"/>
    <n v="2"/>
    <s v="Separate, clearly perceived"/>
    <n v="1"/>
    <n v="72"/>
    <n v="0"/>
    <n v="1"/>
    <n v="72"/>
    <n v="1"/>
    <n v="1"/>
    <n v="0"/>
    <n v="1"/>
    <m/>
    <d v="2015-02-13T00:00:00"/>
    <d v="2016-02-13T00:00:00"/>
    <n v="14"/>
    <n v="5"/>
    <n v="0"/>
    <n v="1"/>
    <n v="72"/>
    <x v="2"/>
    <m/>
    <n v="1"/>
    <n v="72"/>
    <n v="2"/>
    <s v="Excellent coverage"/>
    <n v="0"/>
    <x v="0"/>
    <m/>
  </r>
  <r>
    <x v="12"/>
    <s v="MMR001CMP024"/>
    <x v="9"/>
    <x v="124"/>
    <n v="97.359380000000002"/>
    <n v="25.411770000000001"/>
    <x v="0"/>
    <x v="0"/>
    <n v="72"/>
    <n v="308"/>
    <n v="308"/>
    <x v="0"/>
    <s v="DFID/Trocaires"/>
    <s v="KMSS"/>
    <x v="0"/>
    <x v="0"/>
    <s v="Gap"/>
    <s v="Focal NGO"/>
    <x v="0"/>
    <n v="0"/>
    <n v="0"/>
    <s v="No"/>
    <n v="0"/>
    <n v="4"/>
    <n v="8000"/>
    <n v="0"/>
    <n v="1"/>
    <n v="1"/>
    <n v="308"/>
    <n v="1"/>
    <n v="308"/>
    <n v="1"/>
    <n v="308"/>
    <x v="0"/>
    <n v="0"/>
    <n v="0"/>
    <n v="0"/>
    <n v="72"/>
    <n v="0"/>
    <n v="1"/>
    <n v="308"/>
    <s v="1 hand dug well have to renovate bcoz of broken apron and lining. "/>
    <n v="0"/>
    <n v="17"/>
    <n v="6"/>
    <x v="3"/>
    <n v="1"/>
    <n v="308"/>
    <n v="0.61038961038961037"/>
    <n v="188"/>
    <n v="0.38961038961038963"/>
    <n v="120"/>
    <n v="0"/>
    <n v="1"/>
    <n v="308"/>
    <n v="9.4"/>
    <n v="3"/>
    <s v="Separate, clearly perceived"/>
    <n v="0.97402597402597402"/>
    <n v="300"/>
    <n v="8.0000000000000071E-2"/>
    <n v="1"/>
    <n v="308"/>
    <n v="4"/>
    <n v="1"/>
    <n v="0"/>
    <n v="1"/>
    <s v="Now, People washed their hands at bathing spaces and the existing HWS haven't functioned."/>
    <d v="2014-05-22T00:00:00"/>
    <s v="To be realised"/>
    <n v="72"/>
    <n v="2"/>
    <n v="72"/>
    <n v="0"/>
    <n v="0"/>
    <x v="9"/>
    <m/>
    <m/>
    <n v="0"/>
    <n v="4"/>
    <s v="Excellent coverage"/>
    <n v="0"/>
    <x v="1"/>
    <m/>
  </r>
  <r>
    <x v="12"/>
    <s v="MMR001CMP002"/>
    <x v="9"/>
    <x v="125"/>
    <n v="97.394547000000003"/>
    <n v="25.422194000000001"/>
    <x v="0"/>
    <x v="0"/>
    <n v="55"/>
    <n v="221"/>
    <n v="221"/>
    <x v="0"/>
    <s v="CIDA/ADRA"/>
    <s v="KBC"/>
    <x v="5"/>
    <x v="1"/>
    <d v="2016-02-29T00:00:00"/>
    <s v="Focal NGO"/>
    <x v="0"/>
    <n v="0"/>
    <n v="0"/>
    <s v="No"/>
    <n v="2"/>
    <n v="2"/>
    <n v="0"/>
    <n v="0"/>
    <n v="1"/>
    <n v="1"/>
    <n v="221"/>
    <n v="1"/>
    <n v="221"/>
    <n v="1"/>
    <n v="221"/>
    <x v="0"/>
    <n v="0"/>
    <n v="0"/>
    <n v="0"/>
    <n v="55"/>
    <n v="0"/>
    <n v="1"/>
    <n v="221"/>
    <m/>
    <n v="0"/>
    <n v="0"/>
    <n v="8"/>
    <x v="0"/>
    <n v="0.72398190045248867"/>
    <n v="160"/>
    <n v="0"/>
    <n v="0"/>
    <n v="0.72398190045248867"/>
    <n v="160"/>
    <n v="0"/>
    <n v="0.72"/>
    <n v="159.12"/>
    <n v="3.0500000000000007"/>
    <n v="2"/>
    <s v="Separate, clearly perceived"/>
    <n v="0.90497737556561086"/>
    <n v="200"/>
    <n v="0.20999999999999996"/>
    <n v="0.9"/>
    <n v="198.9"/>
    <n v="0"/>
    <n v="0"/>
    <n v="2.21"/>
    <n v="0"/>
    <s v="land limited to construct more sanitation facilities and old 6 Hand washing had already out of used"/>
    <d v="2015-02-18T00:00:00"/>
    <d v="2016-02-18T00:00:00"/>
    <n v="55"/>
    <n v="4"/>
    <n v="0"/>
    <n v="1"/>
    <n v="221"/>
    <x v="2"/>
    <s v="KBC has only 1 time basic HK distribution and no plan of refill HK with ADRA fund until to Feb 16.  "/>
    <n v="1"/>
    <n v="221"/>
    <n v="2"/>
    <s v="Excellent coverage"/>
    <n v="0"/>
    <x v="0"/>
    <m/>
  </r>
  <r>
    <x v="12"/>
    <s v="MMR001CMP162"/>
    <x v="9"/>
    <x v="126"/>
    <n v="97.4345"/>
    <n v="25.493819999999999"/>
    <x v="0"/>
    <x v="0"/>
    <n v="28"/>
    <n v="176"/>
    <n v="176"/>
    <x v="1"/>
    <s v="DFID/Trocaires"/>
    <s v="KMSS"/>
    <x v="4"/>
    <x v="1"/>
    <d v="2016-02-29T00:00:00"/>
    <s v="Focal NGO"/>
    <x v="0"/>
    <n v="0"/>
    <n v="0"/>
    <s v="No"/>
    <n v="1"/>
    <n v="1"/>
    <n v="3000"/>
    <n v="0"/>
    <n v="1"/>
    <n v="1"/>
    <n v="176"/>
    <n v="1"/>
    <n v="176"/>
    <n v="1"/>
    <n v="176"/>
    <x v="0"/>
    <n v="0"/>
    <n v="0"/>
    <n v="0"/>
    <n v="28"/>
    <n v="0"/>
    <n v="1"/>
    <n v="176"/>
    <m/>
    <n v="0"/>
    <n v="0"/>
    <n v="10"/>
    <x v="0"/>
    <n v="1"/>
    <n v="176"/>
    <n v="0"/>
    <n v="0"/>
    <n v="1"/>
    <n v="176"/>
    <n v="0"/>
    <n v="1"/>
    <n v="176"/>
    <n v="0"/>
    <n v="2"/>
    <s v="Separate, clearly perceived"/>
    <n v="1"/>
    <n v="176"/>
    <n v="0"/>
    <n v="1"/>
    <n v="176"/>
    <n v="3"/>
    <n v="1"/>
    <n v="0"/>
    <n v="1"/>
    <s v="have a plan to construct 4 latrines with current project"/>
    <d v="2014-05-22T00:00:00"/>
    <s v="To be realised"/>
    <n v="28"/>
    <n v="2"/>
    <n v="28"/>
    <n v="0"/>
    <n v="0"/>
    <x v="9"/>
    <m/>
    <n v="0.8"/>
    <n v="140.80000000000001"/>
    <n v="4"/>
    <s v="Excellent coverage"/>
    <n v="0"/>
    <x v="1"/>
    <m/>
  </r>
  <r>
    <x v="12"/>
    <s v="MMR001CMP006"/>
    <x v="9"/>
    <x v="127"/>
    <n v="97.399628000000007"/>
    <n v="25.412313000000001"/>
    <x v="0"/>
    <x v="0"/>
    <n v="95"/>
    <n v="398"/>
    <n v="398"/>
    <x v="0"/>
    <s v="CIDA/ADRA"/>
    <s v="KBC"/>
    <x v="0"/>
    <x v="0"/>
    <s v="Gap"/>
    <s v="Focal NGO"/>
    <x v="0"/>
    <n v="0"/>
    <n v="0"/>
    <s v="No"/>
    <n v="2"/>
    <n v="1"/>
    <n v="3000"/>
    <n v="0"/>
    <n v="1"/>
    <n v="1"/>
    <n v="398"/>
    <n v="1"/>
    <n v="398"/>
    <n v="1"/>
    <n v="398"/>
    <x v="0"/>
    <n v="0"/>
    <n v="0"/>
    <n v="0"/>
    <n v="95"/>
    <n v="0"/>
    <n v="1"/>
    <n v="398"/>
    <m/>
    <n v="0"/>
    <n v="0"/>
    <n v="15"/>
    <x v="0"/>
    <n v="0.75376884422110557"/>
    <n v="300"/>
    <n v="0"/>
    <n v="0"/>
    <n v="0.75376884422110557"/>
    <n v="300"/>
    <n v="0"/>
    <n v="0.75"/>
    <n v="298.5"/>
    <n v="4.8999999999999986"/>
    <n v="2"/>
    <s v="Not separated yet"/>
    <n v="0.50251256281407031"/>
    <n v="199.99999999999997"/>
    <n v="1.98"/>
    <n v="0.5"/>
    <n v="199"/>
    <n v="0"/>
    <n v="0"/>
    <n v="3.98"/>
    <n v="0"/>
    <s v="Land limited to construct more latrines and WASH facilities, old 12 Hand washing had already out of used."/>
    <d v="2015-02-18T00:00:00"/>
    <d v="2016-02-18T00:00:00"/>
    <n v="100"/>
    <n v="4"/>
    <n v="0"/>
    <n v="1"/>
    <n v="398"/>
    <x v="2"/>
    <s v="KBC has only 1 time basic HK distribution and no plan of refill HK with ADRA fund until to Feb 16.  "/>
    <m/>
    <n v="0"/>
    <n v="2"/>
    <s v="Excellent coverage"/>
    <n v="0"/>
    <x v="0"/>
    <m/>
  </r>
  <r>
    <x v="12"/>
    <s v="MMR001CMP007"/>
    <x v="9"/>
    <x v="128"/>
    <n v="97.418004999999994"/>
    <n v="25.423817"/>
    <x v="0"/>
    <x v="0"/>
    <n v="28"/>
    <n v="130"/>
    <n v="130"/>
    <x v="1"/>
    <s v="AusAid/OXFAM"/>
    <s v="Shalom"/>
    <x v="0"/>
    <x v="0"/>
    <s v="Gap"/>
    <s v="Focal NGO"/>
    <x v="0"/>
    <n v="0"/>
    <n v="0"/>
    <s v="No"/>
    <n v="2"/>
    <n v="0"/>
    <n v="0"/>
    <n v="0"/>
    <n v="0"/>
    <n v="1"/>
    <n v="130"/>
    <n v="1"/>
    <n v="130"/>
    <n v="1"/>
    <n v="130"/>
    <x v="0"/>
    <n v="0"/>
    <n v="0"/>
    <n v="0"/>
    <n v="0"/>
    <n v="0"/>
    <n v="1"/>
    <n v="130"/>
    <m/>
    <n v="16"/>
    <n v="0"/>
    <n v="7"/>
    <x v="0"/>
    <n v="1"/>
    <n v="130"/>
    <n v="0"/>
    <n v="0"/>
    <n v="1"/>
    <n v="130"/>
    <n v="0"/>
    <n v="1"/>
    <n v="130"/>
    <n v="0"/>
    <n v="2"/>
    <s v="Separate, clearly perceived"/>
    <n v="1"/>
    <n v="130"/>
    <n v="0"/>
    <n v="1"/>
    <n v="130"/>
    <n v="3"/>
    <n v="1"/>
    <n v="0"/>
    <n v="1"/>
    <m/>
    <d v="2015-02-13T00:00:00"/>
    <d v="2016-02-13T00:00:00"/>
    <n v="40"/>
    <n v="5"/>
    <n v="0"/>
    <n v="1"/>
    <n v="130"/>
    <x v="2"/>
    <m/>
    <m/>
    <n v="0"/>
    <n v="2"/>
    <s v="Excellent coverage"/>
    <n v="0"/>
    <x v="1"/>
    <m/>
  </r>
  <r>
    <x v="12"/>
    <s v="MMR001CMP009"/>
    <x v="9"/>
    <x v="129"/>
    <n v="97.419403000000003"/>
    <n v="25.440928"/>
    <x v="0"/>
    <x v="0"/>
    <n v="78"/>
    <n v="418"/>
    <n v="418"/>
    <x v="0"/>
    <s v="CIDA/ADRA"/>
    <s v="KBC"/>
    <x v="0"/>
    <x v="0"/>
    <s v="Gap"/>
    <s v="Focal NGO"/>
    <x v="0"/>
    <n v="0"/>
    <n v="0"/>
    <s v="No"/>
    <n v="2"/>
    <n v="0"/>
    <n v="2000"/>
    <n v="0"/>
    <n v="1"/>
    <n v="1"/>
    <n v="418"/>
    <n v="1"/>
    <n v="418"/>
    <n v="1"/>
    <n v="418"/>
    <x v="0"/>
    <n v="0"/>
    <n v="0"/>
    <n v="0"/>
    <n v="78"/>
    <n v="0"/>
    <n v="1"/>
    <n v="418"/>
    <m/>
    <n v="0"/>
    <n v="0"/>
    <n v="16"/>
    <x v="0"/>
    <n v="0.76555023923444976"/>
    <n v="320"/>
    <n v="0"/>
    <n v="0"/>
    <n v="0.76555023923444976"/>
    <n v="320"/>
    <n v="0"/>
    <n v="0.77"/>
    <n v="321.86"/>
    <n v="4.8999999999999986"/>
    <n v="2"/>
    <s v="Not separated yet"/>
    <n v="0.4784688995215311"/>
    <n v="200"/>
    <n v="2.1799999999999997"/>
    <n v="0.48"/>
    <n v="200.64"/>
    <n v="0"/>
    <n v="0"/>
    <n v="4.18"/>
    <n v="0"/>
    <s v="Land limited to construct more sanitation facilities and old 6 Hand washing had already out of used"/>
    <d v="2015-02-18T00:00:00"/>
    <d v="2016-02-18T00:00:00"/>
    <n v="83"/>
    <n v="4"/>
    <n v="0"/>
    <n v="1"/>
    <n v="418"/>
    <x v="2"/>
    <s v="KBC has only 1 time basic HK distribution and no plan of refill HK with ADRA fund until to Feb 16.  "/>
    <m/>
    <n v="0"/>
    <n v="2"/>
    <s v="Excellent coverage"/>
    <n v="0"/>
    <x v="0"/>
    <m/>
  </r>
  <r>
    <x v="12"/>
    <s v="MMR001CMP023"/>
    <x v="9"/>
    <x v="130"/>
    <n v="97.387370000000004"/>
    <n v="25.42595"/>
    <x v="0"/>
    <x v="0"/>
    <n v="51"/>
    <n v="242"/>
    <n v="242"/>
    <x v="0"/>
    <s v="AusAid/OXFAM"/>
    <s v="Shalom"/>
    <x v="3"/>
    <x v="1"/>
    <d v="2016-02-29T00:00:00"/>
    <s v="Focal NGO"/>
    <x v="0"/>
    <n v="0"/>
    <n v="0"/>
    <s v="No"/>
    <n v="1"/>
    <n v="2"/>
    <n v="0"/>
    <n v="0"/>
    <n v="0"/>
    <n v="1"/>
    <n v="242"/>
    <n v="1"/>
    <n v="242"/>
    <n v="1"/>
    <n v="242"/>
    <x v="0"/>
    <n v="0"/>
    <n v="0"/>
    <n v="0"/>
    <n v="0"/>
    <n v="0"/>
    <n v="1"/>
    <n v="242"/>
    <m/>
    <n v="0"/>
    <n v="2"/>
    <n v="8"/>
    <x v="0"/>
    <n v="0.82644628099173556"/>
    <n v="200"/>
    <n v="0.16528925619834711"/>
    <n v="40"/>
    <n v="0.66115702479338845"/>
    <n v="160"/>
    <n v="0"/>
    <n v="1"/>
    <n v="242"/>
    <n v="4.0999999999999996"/>
    <n v="2"/>
    <s v="Not separated yet"/>
    <n v="0.82644628099173556"/>
    <n v="200"/>
    <n v="0.41999999999999993"/>
    <n v="1"/>
    <n v="242"/>
    <n v="2"/>
    <n v="0.82644628099173556"/>
    <n v="0.41999999999999993"/>
    <n v="1"/>
    <s v="shalom has a plan to construct 4 semi-permanent and 2 bathing spaces"/>
    <d v="2015-02-13T00:00:00"/>
    <d v="2016-02-13T00:00:00"/>
    <n v="34"/>
    <n v="5"/>
    <n v="17"/>
    <n v="0.66666666666666663"/>
    <n v="161.33333333333331"/>
    <x v="2"/>
    <m/>
    <n v="1"/>
    <n v="242"/>
    <n v="1"/>
    <s v="Excellent coverage"/>
    <n v="0"/>
    <x v="1"/>
    <m/>
  </r>
  <r>
    <x v="12"/>
    <s v="MMR001CMP001"/>
    <x v="9"/>
    <x v="131"/>
    <n v="97.386718999999999"/>
    <n v="25.415482000000001"/>
    <x v="0"/>
    <x v="0"/>
    <n v="64"/>
    <n v="316"/>
    <n v="316"/>
    <x v="0"/>
    <s v="CIDA/ADRA"/>
    <s v="KBC"/>
    <x v="5"/>
    <x v="1"/>
    <d v="2016-02-29T00:00:00"/>
    <s v="Focal NGO"/>
    <x v="0"/>
    <n v="0"/>
    <n v="0"/>
    <s v="No"/>
    <n v="0"/>
    <n v="3"/>
    <n v="1000"/>
    <n v="0"/>
    <n v="1"/>
    <n v="1"/>
    <n v="316"/>
    <n v="1"/>
    <n v="316"/>
    <n v="1"/>
    <n v="316"/>
    <x v="0"/>
    <n v="0"/>
    <n v="0"/>
    <n v="0"/>
    <n v="64"/>
    <n v="0"/>
    <n v="1"/>
    <n v="316"/>
    <m/>
    <n v="0"/>
    <n v="0"/>
    <n v="11"/>
    <x v="3"/>
    <n v="0.69620253164556967"/>
    <n v="220.00000000000003"/>
    <n v="0"/>
    <n v="0"/>
    <n v="0.69620253164556967"/>
    <n v="220.00000000000003"/>
    <n v="0"/>
    <n v="0.7"/>
    <n v="221.2"/>
    <n v="4.8000000000000007"/>
    <n v="2"/>
    <s v="Separate, but not clearly perceived"/>
    <n v="0.63291139240506333"/>
    <n v="200"/>
    <n v="1.1600000000000001"/>
    <n v="0.63"/>
    <n v="199.08"/>
    <n v="0"/>
    <n v="0"/>
    <n v="3.16"/>
    <n v="0"/>
    <s v="Land limited to construct more sanitation facilities and old 1 Hand washing had already out of used"/>
    <d v="2015-02-18T00:00:00"/>
    <d v="2016-02-18T00:00:00"/>
    <n v="87"/>
    <n v="4"/>
    <n v="0"/>
    <n v="1"/>
    <n v="316"/>
    <x v="2"/>
    <s v="KBC has only 1 time basic HK distribution and no plan of refill HK with ADRA fund until to Feb 16.  "/>
    <n v="1"/>
    <n v="316"/>
    <n v="2"/>
    <s v="Excellent coverage"/>
    <n v="0"/>
    <x v="0"/>
    <m/>
  </r>
  <r>
    <x v="12"/>
    <s v="MMR001CMP023"/>
    <x v="9"/>
    <x v="132"/>
    <n v="97.388400000000004"/>
    <n v="25.40982"/>
    <x v="0"/>
    <x v="0"/>
    <n v="17"/>
    <n v="96"/>
    <n v="96"/>
    <x v="1"/>
    <s v="AusAid/OXFAM"/>
    <s v="Shalom"/>
    <x v="0"/>
    <x v="0"/>
    <s v="Gap"/>
    <s v="Focal NGO"/>
    <x v="0"/>
    <n v="0"/>
    <n v="0"/>
    <s v="No"/>
    <n v="1"/>
    <n v="1"/>
    <n v="2000"/>
    <n v="0"/>
    <n v="0"/>
    <n v="1"/>
    <n v="96"/>
    <n v="1"/>
    <n v="96"/>
    <n v="1"/>
    <n v="96"/>
    <x v="0"/>
    <n v="0"/>
    <n v="0"/>
    <n v="0"/>
    <n v="0"/>
    <n v="0"/>
    <n v="1"/>
    <n v="96"/>
    <m/>
    <n v="0"/>
    <n v="4"/>
    <n v="6"/>
    <x v="0"/>
    <n v="1"/>
    <n v="96"/>
    <n v="0"/>
    <n v="0"/>
    <n v="1"/>
    <n v="96"/>
    <n v="0"/>
    <n v="1"/>
    <n v="96"/>
    <n v="0"/>
    <n v="1"/>
    <s v="Separate, clearly perceived"/>
    <n v="1"/>
    <n v="96"/>
    <n v="0"/>
    <n v="1"/>
    <n v="96"/>
    <n v="2"/>
    <n v="1"/>
    <n v="0"/>
    <n v="1"/>
    <m/>
    <d v="2015-02-13T00:00:00"/>
    <d v="2016-02-13T00:00:00"/>
    <n v="35"/>
    <n v="5"/>
    <n v="0"/>
    <n v="1"/>
    <n v="96"/>
    <x v="2"/>
    <m/>
    <m/>
    <n v="0"/>
    <n v="1"/>
    <s v="Excellent coverage"/>
    <n v="0"/>
    <x v="0"/>
    <s v="1 temporary incinerator has been out of used"/>
  </r>
  <r>
    <x v="12"/>
    <s v="MMR001CMP004"/>
    <x v="9"/>
    <x v="133"/>
    <n v="97.379272"/>
    <n v="25.401074999999999"/>
    <x v="0"/>
    <x v="0"/>
    <n v="12"/>
    <n v="57"/>
    <n v="57"/>
    <x v="1"/>
    <s v="AusAid/OXFAM"/>
    <s v="Shalom"/>
    <x v="3"/>
    <x v="1"/>
    <s v="Gap"/>
    <s v="Focal NGO"/>
    <x v="0"/>
    <n v="0"/>
    <n v="0"/>
    <s v="No"/>
    <n v="0"/>
    <n v="1"/>
    <n v="3600"/>
    <n v="0"/>
    <n v="0"/>
    <n v="1"/>
    <n v="57"/>
    <n v="1"/>
    <n v="57"/>
    <n v="1"/>
    <n v="57"/>
    <x v="0"/>
    <n v="0"/>
    <n v="0"/>
    <n v="0"/>
    <n v="0"/>
    <n v="0"/>
    <n v="1"/>
    <n v="57"/>
    <m/>
    <n v="14"/>
    <n v="0"/>
    <n v="2"/>
    <x v="0"/>
    <n v="0.70175438596491224"/>
    <n v="40"/>
    <n v="0"/>
    <n v="0"/>
    <n v="0.70175438596491224"/>
    <n v="40"/>
    <n v="0"/>
    <n v="1"/>
    <n v="57"/>
    <n v="0.85000000000000009"/>
    <n v="1"/>
    <s v="Separate, clearly perceived"/>
    <n v="1"/>
    <n v="57"/>
    <n v="0"/>
    <n v="1"/>
    <n v="57"/>
    <n v="1"/>
    <n v="1"/>
    <n v="0"/>
    <n v="1"/>
    <s v="shalom has a plan to construct 1 semi-permanent"/>
    <d v="2015-02-13T00:00:00"/>
    <d v="2016-02-13T00:00:00"/>
    <n v="7"/>
    <n v="5"/>
    <n v="5"/>
    <n v="0.58333333333333337"/>
    <n v="33.25"/>
    <x v="2"/>
    <m/>
    <m/>
    <n v="0"/>
    <n v="1"/>
    <s v="Excellent coverage"/>
    <n v="0"/>
    <x v="1"/>
    <m/>
  </r>
  <r>
    <x v="12"/>
    <s v="MMR001CMP003"/>
    <x v="9"/>
    <x v="134"/>
    <n v="97.377662999999998"/>
    <n v="25.404752999999999"/>
    <x v="0"/>
    <x v="0"/>
    <n v="30"/>
    <n v="151"/>
    <n v="151"/>
    <x v="1"/>
    <s v="CIDA/ADRA"/>
    <s v="KBC"/>
    <x v="5"/>
    <x v="1"/>
    <d v="2016-02-29T00:00:00"/>
    <s v="Focal NGO"/>
    <x v="0"/>
    <n v="0"/>
    <n v="0"/>
    <s v="No"/>
    <n v="0"/>
    <n v="2"/>
    <n v="2000"/>
    <n v="0"/>
    <n v="1"/>
    <n v="1"/>
    <n v="151"/>
    <n v="1"/>
    <n v="151"/>
    <n v="1"/>
    <n v="151"/>
    <x v="0"/>
    <n v="0"/>
    <n v="0"/>
    <n v="0"/>
    <n v="30"/>
    <n v="0"/>
    <n v="1"/>
    <n v="151"/>
    <m/>
    <n v="6"/>
    <n v="0"/>
    <n v="7"/>
    <x v="3"/>
    <n v="0.92715231788079466"/>
    <n v="140"/>
    <n v="0"/>
    <n v="0"/>
    <n v="0.92715231788079466"/>
    <n v="140"/>
    <n v="0"/>
    <n v="0.93"/>
    <n v="140.43"/>
    <n v="0.54999999999999982"/>
    <n v="2"/>
    <s v="Not separated yet"/>
    <n v="1"/>
    <n v="151"/>
    <n v="0"/>
    <n v="1"/>
    <n v="151"/>
    <n v="0"/>
    <n v="0"/>
    <n v="1.51"/>
    <n v="0"/>
    <s v="old 4 Hand washing had already out of used"/>
    <d v="2015-02-18T00:00:00"/>
    <d v="2016-02-18T00:00:00"/>
    <n v="31"/>
    <n v="4"/>
    <n v="0"/>
    <n v="1"/>
    <n v="151"/>
    <x v="2"/>
    <s v="KBC has only 1 time basic HK distribution and no plan of refill HK with ADRA fund until to Feb 16.  "/>
    <n v="1"/>
    <n v="151"/>
    <n v="2"/>
    <s v="Excellent coverage"/>
    <n v="0"/>
    <x v="1"/>
    <m/>
  </r>
  <r>
    <x v="12"/>
    <s v="MMR001CMP005"/>
    <x v="9"/>
    <x v="135"/>
    <n v="97.382192000000003"/>
    <n v="25.404015000000001"/>
    <x v="0"/>
    <x v="0"/>
    <n v="34"/>
    <n v="178"/>
    <n v="178"/>
    <x v="1"/>
    <s v="CIDA/ADRA"/>
    <s v="KBC"/>
    <x v="5"/>
    <x v="1"/>
    <d v="2015-12-31T00:00:00"/>
    <s v="Focal NGO"/>
    <x v="0"/>
    <n v="0"/>
    <n v="0"/>
    <s v="No"/>
    <n v="0"/>
    <n v="2"/>
    <n v="0"/>
    <n v="0"/>
    <n v="1"/>
    <n v="1"/>
    <n v="178"/>
    <n v="1"/>
    <n v="178"/>
    <n v="1"/>
    <n v="178"/>
    <x v="0"/>
    <n v="0"/>
    <n v="0"/>
    <n v="0"/>
    <n v="34"/>
    <n v="0"/>
    <n v="1"/>
    <n v="178"/>
    <s v="SCI constructed 1 chlorine treated station."/>
    <n v="115"/>
    <n v="0"/>
    <n v="8"/>
    <x v="0"/>
    <n v="0.898876404494382"/>
    <n v="160"/>
    <n v="0"/>
    <n v="0"/>
    <n v="0.898876404494382"/>
    <n v="160"/>
    <n v="0"/>
    <n v="0.9"/>
    <n v="160.20000000000002"/>
    <n v="0.90000000000000036"/>
    <n v="1"/>
    <s v="Not separated yet"/>
    <n v="0.5617977528089888"/>
    <n v="100"/>
    <n v="0.78"/>
    <n v="0.56000000000000005"/>
    <n v="99.68"/>
    <n v="0"/>
    <n v="0"/>
    <n v="1.78"/>
    <n v="0"/>
    <s v="land limited for new sanitation facitlies, and old 12 Hand washing had already out of used. "/>
    <d v="2015-02-18T00:00:00"/>
    <d v="2016-02-18T00:00:00"/>
    <n v="33"/>
    <n v="4"/>
    <n v="1"/>
    <n v="0.97058823529411764"/>
    <n v="172.76470588235293"/>
    <x v="2"/>
    <s v="KBC has only 1 time basic HK distribution and no plan of refill HK with ADRA fund until to Feb 16.  "/>
    <n v="1"/>
    <n v="178"/>
    <n v="2"/>
    <s v="Excellent coverage"/>
    <n v="0"/>
    <x v="0"/>
    <m/>
  </r>
  <r>
    <x v="12"/>
    <s v="MMR001CMP022"/>
    <x v="9"/>
    <x v="136"/>
    <n v="97.403407999999999"/>
    <n v="25.377545999999999"/>
    <x v="0"/>
    <x v="0"/>
    <n v="7"/>
    <n v="37"/>
    <n v="37"/>
    <x v="1"/>
    <s v="AusAid/OXFAM"/>
    <s v="Shalom"/>
    <x v="0"/>
    <x v="0"/>
    <s v="Gap"/>
    <s v="Focal NGO"/>
    <x v="0"/>
    <n v="0"/>
    <n v="0"/>
    <s v="No"/>
    <n v="0"/>
    <n v="0"/>
    <n v="7200"/>
    <n v="0"/>
    <n v="0"/>
    <n v="1"/>
    <n v="37"/>
    <n v="1"/>
    <n v="37"/>
    <n v="1"/>
    <n v="37"/>
    <x v="0"/>
    <n v="0"/>
    <n v="0"/>
    <n v="9.2499999999999999E-2"/>
    <n v="0"/>
    <n v="0"/>
    <n v="1"/>
    <n v="37"/>
    <m/>
    <n v="2"/>
    <n v="0"/>
    <n v="5"/>
    <x v="0"/>
    <n v="1"/>
    <n v="37"/>
    <n v="0"/>
    <n v="0"/>
    <n v="1"/>
    <n v="37"/>
    <n v="0"/>
    <n v="1"/>
    <n v="37"/>
    <n v="0"/>
    <n v="1"/>
    <s v="Latrine shared by families , not separated"/>
    <n v="1"/>
    <n v="37"/>
    <n v="0"/>
    <n v="1"/>
    <n v="37"/>
    <n v="2"/>
    <n v="1"/>
    <n v="0"/>
    <n v="1"/>
    <m/>
    <d v="2015-02-13T00:00:00"/>
    <d v="2016-02-13T00:00:00"/>
    <n v="6"/>
    <n v="5"/>
    <n v="1"/>
    <n v="0.8571428571428571"/>
    <n v="31.714285714285712"/>
    <x v="2"/>
    <m/>
    <m/>
    <n v="0"/>
    <n v="1"/>
    <s v="Excellent coverage"/>
    <n v="0"/>
    <x v="2"/>
    <m/>
  </r>
  <r>
    <x v="13"/>
    <s v="MMR015CMP215"/>
    <x v="5"/>
    <x v="137"/>
    <n v="97.709548999999996"/>
    <n v="23.838459"/>
    <x v="0"/>
    <x v="0"/>
    <n v="135"/>
    <n v="591"/>
    <n v="591"/>
    <x v="0"/>
    <s v="FCA/HIDA/WHH"/>
    <s v="KBC"/>
    <x v="2"/>
    <x v="1"/>
    <d v="2016-03-31T00:00:00"/>
    <s v="Focal NGO"/>
    <x v="0"/>
    <n v="0"/>
    <n v="0"/>
    <s v="No"/>
    <n v="0"/>
    <n v="0"/>
    <n v="35000"/>
    <n v="1"/>
    <n v="0"/>
    <n v="1"/>
    <n v="591"/>
    <n v="1"/>
    <n v="591"/>
    <n v="1"/>
    <n v="591"/>
    <x v="0"/>
    <n v="0"/>
    <n v="0"/>
    <n v="1.4775"/>
    <n v="0"/>
    <n v="591"/>
    <n v="1"/>
    <n v="591"/>
    <m/>
    <n v="0"/>
    <n v="11"/>
    <n v="12"/>
    <x v="1"/>
    <n v="0.77834179357021993"/>
    <n v="460"/>
    <n v="0.3722504230118443"/>
    <n v="219.99999999999997"/>
    <n v="0.40609137055837563"/>
    <n v="240"/>
    <n v="7"/>
    <n v="0.79"/>
    <n v="466.89000000000004"/>
    <n v="24.55"/>
    <n v="6"/>
    <s v="Separate, clearly perceived"/>
    <n v="1"/>
    <n v="591"/>
    <n v="0"/>
    <n v="1"/>
    <n v="591"/>
    <n v="5"/>
    <n v="0.84602368866328259"/>
    <n v="0.91000000000000014"/>
    <n v="1"/>
    <s v="land limited to construct more semi-permanent"/>
    <d v="2015-05-01T00:00:00"/>
    <d v="2016-04-30T00:00:00"/>
    <n v="141"/>
    <n v="5"/>
    <n v="0"/>
    <n v="1"/>
    <n v="591"/>
    <x v="7"/>
    <s v="Basic Hygiene kits already distributed by SCI and Overlappin with SCI"/>
    <n v="0.2"/>
    <n v="118.2"/>
    <n v="7"/>
    <s v="Excellent coverage"/>
    <n v="0"/>
    <x v="1"/>
    <m/>
  </r>
  <r>
    <x v="13"/>
    <s v="MMR015CMP214"/>
    <x v="5"/>
    <x v="138"/>
    <n v="97.701576000000003"/>
    <n v="23.842051000000001"/>
    <x v="0"/>
    <x v="0"/>
    <n v="38"/>
    <n v="205"/>
    <n v="205"/>
    <x v="1"/>
    <s v="FCA/HIDA/WHH"/>
    <s v="KBC"/>
    <x v="2"/>
    <x v="1"/>
    <d v="2015-12-31T00:00:00"/>
    <s v="Focal NGO"/>
    <x v="0"/>
    <n v="0"/>
    <n v="0"/>
    <s v="No"/>
    <n v="0"/>
    <n v="0"/>
    <n v="7000"/>
    <n v="1"/>
    <n v="1"/>
    <n v="1"/>
    <n v="205"/>
    <n v="1"/>
    <n v="205"/>
    <n v="1"/>
    <n v="205"/>
    <x v="0"/>
    <n v="0"/>
    <n v="0"/>
    <n v="0.51249999999999996"/>
    <n v="38"/>
    <n v="205"/>
    <n v="1"/>
    <n v="205"/>
    <m/>
    <n v="0"/>
    <n v="6"/>
    <n v="0"/>
    <x v="3"/>
    <n v="0.58536585365853655"/>
    <n v="119.99999999999999"/>
    <n v="0.58536585365853655"/>
    <n v="119.99999999999999"/>
    <n v="0"/>
    <n v="0"/>
    <n v="2"/>
    <n v="0.6"/>
    <n v="123"/>
    <n v="12.25"/>
    <n v="3"/>
    <s v="Separate, clearly perceived"/>
    <n v="1"/>
    <n v="205"/>
    <n v="0"/>
    <n v="1"/>
    <n v="205"/>
    <n v="4"/>
    <n v="1"/>
    <n v="0"/>
    <n v="1"/>
    <s v="land limited to construct more semi-permanent"/>
    <d v="2015-05-01T00:00:00"/>
    <d v="2016-04-30T00:00:00"/>
    <n v="59"/>
    <n v="5"/>
    <n v="0"/>
    <n v="1"/>
    <n v="205"/>
    <x v="7"/>
    <s v="Basic Hygiene kits already distributed by SCI and Overlappin with SCI"/>
    <n v="1"/>
    <n v="205"/>
    <n v="3"/>
    <s v="Excellent coverage"/>
    <n v="0"/>
    <x v="1"/>
    <m/>
  </r>
  <r>
    <x v="13"/>
    <s v="MMR015CMP004"/>
    <x v="5"/>
    <x v="139"/>
    <n v="97.681920000000005"/>
    <n v="23.821317000000001"/>
    <x v="0"/>
    <x v="0"/>
    <n v="78"/>
    <n v="378"/>
    <n v="378"/>
    <x v="0"/>
    <s v="ECHO"/>
    <s v="KBC"/>
    <x v="6"/>
    <x v="1"/>
    <d v="2016-03-31T00:00:00"/>
    <s v="Focal NGO"/>
    <x v="0"/>
    <n v="0"/>
    <n v="0"/>
    <s v="No"/>
    <n v="0"/>
    <n v="0"/>
    <n v="24000"/>
    <n v="1"/>
    <n v="0"/>
    <n v="1"/>
    <n v="378"/>
    <n v="1"/>
    <n v="378"/>
    <n v="1"/>
    <n v="378"/>
    <x v="0"/>
    <n v="0"/>
    <n v="0"/>
    <n v="0.94499999999999995"/>
    <n v="0"/>
    <n v="378"/>
    <n v="1"/>
    <n v="378"/>
    <s v="Depp tube well water is always turbidity"/>
    <n v="0"/>
    <n v="18"/>
    <n v="0"/>
    <x v="1"/>
    <n v="0.95238095238095233"/>
    <n v="360"/>
    <n v="0.95238095238095233"/>
    <n v="360"/>
    <n v="0"/>
    <n v="0"/>
    <n v="1"/>
    <n v="0.95"/>
    <n v="359.09999999999997"/>
    <n v="19.899999999999999"/>
    <n v="2"/>
    <s v="Not separated yet"/>
    <n v="0.52910052910052907"/>
    <n v="200"/>
    <n v="1.7799999999999998"/>
    <n v="0.53"/>
    <n v="200.34"/>
    <n v="3"/>
    <n v="0.79365079365079361"/>
    <n v="0.7799999999999998"/>
    <n v="1"/>
    <s v="Land owner not  allow  to construct semi latrines and they have plan to move to new place"/>
    <d v="2014-12-10T00:00:00"/>
    <d v="2015-12-10T00:00:00"/>
    <n v="77"/>
    <n v="20"/>
    <n v="1"/>
    <n v="0.98717948717948723"/>
    <n v="373.15384615384619"/>
    <x v="7"/>
    <m/>
    <n v="0.9"/>
    <n v="340.2"/>
    <m/>
    <s v="No coverage"/>
    <n v="0"/>
    <x v="1"/>
    <m/>
  </r>
  <r>
    <x v="13"/>
    <s v="MMR015CMP001"/>
    <x v="5"/>
    <x v="140"/>
    <n v="97.683499999999995"/>
    <n v="23.831700000000001"/>
    <x v="0"/>
    <x v="0"/>
    <n v="68"/>
    <n v="291"/>
    <n v="291"/>
    <x v="0"/>
    <s v="ECHO"/>
    <s v="KBC"/>
    <x v="6"/>
    <x v="1"/>
    <d v="2016-03-31T00:00:00"/>
    <s v="Focal NGO"/>
    <x v="0"/>
    <n v="0"/>
    <n v="0"/>
    <s v="No"/>
    <n v="0"/>
    <n v="0"/>
    <n v="30240"/>
    <n v="1"/>
    <n v="0"/>
    <n v="1"/>
    <n v="291"/>
    <n v="1"/>
    <n v="291"/>
    <n v="1"/>
    <n v="291"/>
    <x v="0"/>
    <n v="0"/>
    <n v="0"/>
    <n v="0.72750000000000004"/>
    <n v="0"/>
    <n v="291"/>
    <n v="1"/>
    <n v="291"/>
    <m/>
    <n v="8"/>
    <n v="0"/>
    <n v="10"/>
    <x v="3"/>
    <n v="0.6872852233676976"/>
    <n v="200"/>
    <n v="0"/>
    <n v="0"/>
    <n v="0.6872852233676976"/>
    <n v="200"/>
    <n v="3"/>
    <n v="0.69"/>
    <n v="200.79"/>
    <n v="7.5500000000000007"/>
    <n v="2"/>
    <s v="Separate, clearly perceived"/>
    <n v="0.6872852233676976"/>
    <n v="200"/>
    <n v="0.91000000000000014"/>
    <n v="1"/>
    <n v="291"/>
    <n v="4"/>
    <n v="1"/>
    <n v="0"/>
    <n v="1"/>
    <m/>
    <d v="2014-12-10T00:00:00"/>
    <d v="2015-12-10T00:00:00"/>
    <n v="73"/>
    <n v="20"/>
    <n v="0"/>
    <n v="1"/>
    <n v="291"/>
    <x v="7"/>
    <m/>
    <n v="0.5"/>
    <n v="145.5"/>
    <n v="2"/>
    <s v="Excellent coverage"/>
    <n v="0"/>
    <x v="1"/>
    <m/>
  </r>
  <r>
    <x v="13"/>
    <s v="MMR015CMP003"/>
    <x v="5"/>
    <x v="141"/>
    <n v="97.685199999999995"/>
    <n v="23.833100000000002"/>
    <x v="0"/>
    <x v="0"/>
    <n v="47"/>
    <n v="217"/>
    <n v="217"/>
    <x v="1"/>
    <s v="Trocaires"/>
    <s v="KMSS"/>
    <x v="4"/>
    <x v="1"/>
    <d v="2016-03-31T00:00:00"/>
    <s v="Focal NGO"/>
    <x v="0"/>
    <n v="0"/>
    <n v="0"/>
    <s v="No"/>
    <n v="1"/>
    <n v="0"/>
    <n v="35500"/>
    <n v="1"/>
    <n v="0"/>
    <n v="1"/>
    <n v="217"/>
    <n v="1"/>
    <n v="217"/>
    <n v="1"/>
    <n v="217"/>
    <x v="0"/>
    <n v="0"/>
    <n v="0"/>
    <n v="0"/>
    <n v="0"/>
    <n v="217"/>
    <n v="1"/>
    <n v="217"/>
    <m/>
    <n v="2"/>
    <n v="0"/>
    <n v="10"/>
    <x v="3"/>
    <n v="0.92165898617511521"/>
    <n v="200"/>
    <n v="0"/>
    <n v="0"/>
    <n v="0.92165898617511521"/>
    <n v="200"/>
    <n v="3"/>
    <n v="1"/>
    <n v="217"/>
    <n v="3.8499999999999996"/>
    <n v="2"/>
    <s v="Separate, clearly perceived"/>
    <n v="0.92165898617511521"/>
    <n v="200"/>
    <n v="0.16999999999999993"/>
    <n v="0.92"/>
    <n v="199.64000000000001"/>
    <n v="0"/>
    <n v="0"/>
    <n v="2.17"/>
    <n v="1"/>
    <s v="SCI have plan for hand washing basin"/>
    <d v="2014-12-10T00:00:00"/>
    <d v="2015-12-10T00:00:00"/>
    <n v="53"/>
    <n v="17"/>
    <n v="0"/>
    <n v="1"/>
    <n v="217"/>
    <x v="7"/>
    <s v="KMSS wii distribute refill items of Hyginene kits"/>
    <n v="0.5"/>
    <n v="108.5"/>
    <n v="3"/>
    <s v="Excellent coverage"/>
    <n v="0"/>
    <x v="2"/>
    <m/>
  </r>
  <r>
    <x v="14"/>
    <s v="MMR015CMP019"/>
    <x v="6"/>
    <x v="142"/>
    <n v="97.406869999999998"/>
    <n v="23.092880000000001"/>
    <x v="0"/>
    <x v="0"/>
    <n v="10"/>
    <n v="40"/>
    <n v="40"/>
    <x v="1"/>
    <s v="FCA/HIDA/WHH"/>
    <s v="KBC"/>
    <x v="2"/>
    <x v="1"/>
    <s v="Gap"/>
    <s v="Focal NGO"/>
    <x v="0"/>
    <n v="0"/>
    <n v="0"/>
    <s v="No"/>
    <n v="0"/>
    <n v="0"/>
    <n v="2000"/>
    <n v="1"/>
    <n v="0"/>
    <n v="1"/>
    <n v="40"/>
    <n v="1"/>
    <n v="40"/>
    <n v="1"/>
    <n v="40"/>
    <x v="0"/>
    <n v="0"/>
    <n v="0"/>
    <n v="0.1"/>
    <n v="0"/>
    <n v="40"/>
    <n v="1"/>
    <n v="40"/>
    <m/>
    <n v="16"/>
    <n v="2"/>
    <n v="2"/>
    <x v="3"/>
    <n v="1"/>
    <n v="40"/>
    <n v="0"/>
    <n v="0"/>
    <n v="1"/>
    <n v="40"/>
    <n v="2"/>
    <n v="1"/>
    <n v="40"/>
    <n v="2"/>
    <n v="2"/>
    <s v="Not separated yet"/>
    <n v="1"/>
    <n v="40"/>
    <n v="0"/>
    <n v="1"/>
    <n v="40"/>
    <n v="2"/>
    <n v="1"/>
    <n v="0"/>
    <n v="1"/>
    <m/>
    <d v="2015-05-01T00:00:00"/>
    <d v="2016-04-30T00:00:00"/>
    <n v="14"/>
    <n v="5"/>
    <n v="0"/>
    <n v="1"/>
    <n v="40"/>
    <x v="7"/>
    <m/>
    <m/>
    <n v="0"/>
    <n v="2"/>
    <s v="Excellent coverage"/>
    <n v="0"/>
    <x v="2"/>
    <m/>
  </r>
  <r>
    <x v="15"/>
    <s v="MMR001CMP075"/>
    <x v="1"/>
    <x v="143"/>
    <n v="97.418279999999996"/>
    <n v="27.310880000000001"/>
    <x v="1"/>
    <x v="0"/>
    <n v="14"/>
    <n v="64"/>
    <n v="64"/>
    <x v="1"/>
    <m/>
    <m/>
    <x v="0"/>
    <x v="0"/>
    <d v="2016-02-29T00:00:00"/>
    <s v="Not documented"/>
    <x v="1"/>
    <n v="0"/>
    <n v="0"/>
    <s v="No"/>
    <n v="1"/>
    <n v="0"/>
    <n v="0"/>
    <n v="0"/>
    <n v="0"/>
    <n v="1"/>
    <n v="64"/>
    <n v="1"/>
    <n v="64"/>
    <n v="1"/>
    <n v="64"/>
    <x v="0"/>
    <n v="0"/>
    <n v="0"/>
    <n v="0"/>
    <n v="0"/>
    <n v="0"/>
    <n v="1"/>
    <n v="64"/>
    <m/>
    <n v="70"/>
    <n v="14"/>
    <n v="0"/>
    <x v="1"/>
    <n v="1"/>
    <n v="64"/>
    <n v="1"/>
    <n v="64"/>
    <n v="0"/>
    <n v="0"/>
    <n v="0"/>
    <n v="1"/>
    <n v="64"/>
    <n v="3.2"/>
    <n v="0"/>
    <s v="Not separated yet"/>
    <n v="0"/>
    <n v="0"/>
    <n v="0.64"/>
    <n v="0"/>
    <n v="0"/>
    <n v="0"/>
    <n v="0"/>
    <n v="0.64"/>
    <n v="0"/>
    <m/>
    <m/>
    <s v="To be realised"/>
    <n v="0"/>
    <n v="0"/>
    <n v="14"/>
    <n v="0"/>
    <n v="0"/>
    <x v="6"/>
    <m/>
    <n v="0"/>
    <n v="0"/>
    <n v="0"/>
    <s v="No coverage"/>
    <n v="0"/>
    <x v="1"/>
    <m/>
  </r>
  <r>
    <x v="15"/>
    <s v="MMR001CMP234"/>
    <x v="1"/>
    <x v="144"/>
    <m/>
    <m/>
    <x v="0"/>
    <x v="0"/>
    <n v="70"/>
    <n v="310"/>
    <n v="310"/>
    <x v="0"/>
    <s v="CIDA/ADRA"/>
    <s v="KBC"/>
    <x v="5"/>
    <x v="1"/>
    <d v="2016-02-29T00:00:00"/>
    <s v="Focal NGO"/>
    <x v="0"/>
    <n v="0"/>
    <n v="0"/>
    <s v="No"/>
    <n v="1"/>
    <n v="0"/>
    <n v="0"/>
    <n v="0"/>
    <n v="0"/>
    <n v="1"/>
    <n v="310"/>
    <n v="1"/>
    <n v="310"/>
    <n v="1"/>
    <n v="310"/>
    <x v="0"/>
    <n v="0"/>
    <n v="0"/>
    <n v="0"/>
    <n v="0"/>
    <n v="0"/>
    <n v="1"/>
    <n v="310"/>
    <m/>
    <n v="0"/>
    <n v="8"/>
    <n v="0"/>
    <x v="1"/>
    <n v="0.5161290322580645"/>
    <n v="160"/>
    <n v="0.5161290322580645"/>
    <n v="160"/>
    <n v="0"/>
    <n v="0"/>
    <n v="0"/>
    <n v="0.52"/>
    <n v="161.20000000000002"/>
    <n v="15.5"/>
    <n v="0"/>
    <s v="Separate, clearly perceived"/>
    <n v="0"/>
    <n v="0"/>
    <n v="3.1"/>
    <n v="0"/>
    <n v="0"/>
    <n v="0"/>
    <n v="0"/>
    <n v="3.1"/>
    <n v="0"/>
    <s v="KBC don't have a plan for semi-permanent construciton"/>
    <d v="2015-05-05T00:00:00"/>
    <d v="2016-05-04T00:00:00"/>
    <n v="80"/>
    <n v="4"/>
    <n v="0"/>
    <n v="1"/>
    <n v="310"/>
    <x v="7"/>
    <s v="KBC has only 1 time basic HK distribution and no plan of refill HK with ADRA fund until to Feb 16.  "/>
    <n v="1"/>
    <n v="310"/>
    <n v="2"/>
    <s v="Excellent coverage"/>
    <n v="0"/>
    <x v="2"/>
    <m/>
  </r>
  <r>
    <x v="15"/>
    <s v="MMR001CMP227"/>
    <x v="1"/>
    <x v="145"/>
    <n v="97.561105999999995"/>
    <n v="27.248964999999998"/>
    <x v="1"/>
    <x v="0"/>
    <n v="12"/>
    <n v="52"/>
    <n v="52"/>
    <x v="1"/>
    <m/>
    <m/>
    <x v="0"/>
    <x v="0"/>
    <d v="2016-02-29T00:00:00"/>
    <s v="Not documented"/>
    <x v="1"/>
    <n v="0"/>
    <n v="0"/>
    <s v="No"/>
    <n v="1"/>
    <n v="0"/>
    <n v="0"/>
    <n v="0"/>
    <n v="0"/>
    <n v="1"/>
    <n v="52"/>
    <n v="1"/>
    <n v="52"/>
    <n v="1"/>
    <n v="52"/>
    <x v="0"/>
    <n v="0"/>
    <n v="0"/>
    <n v="0"/>
    <n v="0"/>
    <n v="0"/>
    <n v="1"/>
    <n v="52"/>
    <m/>
    <n v="190"/>
    <n v="10"/>
    <n v="0"/>
    <x v="1"/>
    <n v="1"/>
    <n v="52"/>
    <n v="1"/>
    <n v="52"/>
    <n v="0"/>
    <n v="0"/>
    <n v="0"/>
    <n v="1"/>
    <n v="52"/>
    <n v="2.6"/>
    <n v="0"/>
    <s v="Not separated yet"/>
    <n v="0"/>
    <n v="0"/>
    <n v="0.52"/>
    <n v="0"/>
    <n v="0"/>
    <n v="0"/>
    <n v="0"/>
    <n v="0.52"/>
    <n v="0"/>
    <m/>
    <m/>
    <s v="To be realised"/>
    <n v="0"/>
    <n v="0"/>
    <n v="12"/>
    <n v="0"/>
    <n v="0"/>
    <x v="6"/>
    <m/>
    <n v="0"/>
    <n v="0"/>
    <n v="0"/>
    <s v="No coverage"/>
    <n v="0"/>
    <x v="2"/>
    <m/>
  </r>
  <r>
    <x v="16"/>
    <s v="MMR001CMP067"/>
    <x v="0"/>
    <x v="146"/>
    <n v="96.807353000000006"/>
    <n v="24.200361000000001"/>
    <x v="0"/>
    <x v="0"/>
    <n v="88"/>
    <n v="299"/>
    <n v="238"/>
    <x v="0"/>
    <s v="HIDA, WHH"/>
    <s v="KBC"/>
    <x v="2"/>
    <x v="1"/>
    <d v="2016-03-30T00:00:00"/>
    <s v="Focal NGO"/>
    <x v="0"/>
    <n v="0"/>
    <n v="0"/>
    <s v="No"/>
    <n v="0"/>
    <n v="1"/>
    <n v="11745"/>
    <n v="0.01"/>
    <n v="0"/>
    <n v="1"/>
    <n v="238"/>
    <n v="1"/>
    <n v="238"/>
    <n v="1"/>
    <n v="238"/>
    <x v="0"/>
    <n v="0"/>
    <n v="0"/>
    <n v="0"/>
    <n v="0"/>
    <n v="2.38"/>
    <n v="1"/>
    <n v="238"/>
    <m/>
    <n v="0"/>
    <n v="9"/>
    <n v="11"/>
    <x v="0"/>
    <n v="1"/>
    <n v="238"/>
    <n v="7.5630252100840289E-2"/>
    <n v="17.999999999999989"/>
    <n v="0.92436974789915971"/>
    <n v="220"/>
    <n v="0"/>
    <n v="1"/>
    <n v="238"/>
    <n v="0.90000000000000036"/>
    <n v="5"/>
    <s v="Not separated yet"/>
    <n v="1"/>
    <n v="238"/>
    <n v="0"/>
    <n v="1"/>
    <n v="238"/>
    <n v="5"/>
    <n v="1"/>
    <n v="0"/>
    <n v="1"/>
    <m/>
    <d v="2014-05-20T00:00:00"/>
    <s v="To be realised"/>
    <n v="70"/>
    <n v="6"/>
    <n v="88"/>
    <n v="0"/>
    <n v="0"/>
    <x v="1"/>
    <m/>
    <n v="0.6"/>
    <n v="142.79999999999998"/>
    <n v="1"/>
    <s v="Excellent coverage"/>
    <n v="0"/>
    <x v="0"/>
    <m/>
  </r>
  <r>
    <x v="16"/>
    <s v="MMR001CMP068"/>
    <x v="0"/>
    <x v="147"/>
    <n v="96.807353000000006"/>
    <n v="24.200367"/>
    <x v="0"/>
    <x v="0"/>
    <n v="49"/>
    <n v="174"/>
    <n v="174"/>
    <x v="1"/>
    <s v="HIDA, WHH"/>
    <s v="KMSS"/>
    <x v="2"/>
    <x v="1"/>
    <d v="2016-03-30T00:00:00"/>
    <s v="Focal NGO"/>
    <x v="0"/>
    <n v="0"/>
    <n v="0"/>
    <s v="No"/>
    <n v="0"/>
    <n v="3"/>
    <n v="4000"/>
    <n v="0"/>
    <n v="0.21"/>
    <n v="1"/>
    <n v="174"/>
    <n v="1"/>
    <n v="174"/>
    <n v="1"/>
    <n v="174"/>
    <x v="0"/>
    <n v="0"/>
    <n v="0"/>
    <n v="0"/>
    <n v="10.29"/>
    <n v="0"/>
    <n v="1"/>
    <n v="174"/>
    <m/>
    <n v="21"/>
    <n v="6"/>
    <n v="10"/>
    <x v="2"/>
    <n v="1"/>
    <n v="174"/>
    <n v="0"/>
    <n v="0"/>
    <n v="1"/>
    <n v="174"/>
    <n v="0"/>
    <n v="1"/>
    <n v="174"/>
    <n v="0"/>
    <n v="4"/>
    <s v="Not separated yet"/>
    <n v="1"/>
    <n v="174"/>
    <n v="0"/>
    <n v="1"/>
    <n v="174"/>
    <n v="2"/>
    <n v="1"/>
    <n v="0"/>
    <n v="1"/>
    <m/>
    <d v="2014-05-20T00:00:00"/>
    <s v="To be realised"/>
    <n v="54"/>
    <n v="6"/>
    <n v="49"/>
    <n v="0"/>
    <n v="0"/>
    <x v="1"/>
    <m/>
    <n v="0.65"/>
    <n v="113.10000000000001"/>
    <n v="1"/>
    <s v="Excellent coverage"/>
    <n v="0"/>
    <x v="0"/>
    <m/>
  </r>
  <r>
    <x v="16"/>
    <s v="MMR001CMP199"/>
    <x v="0"/>
    <x v="148"/>
    <n v="96.807350999999997"/>
    <n v="24.200362999999999"/>
    <x v="1"/>
    <x v="0"/>
    <n v="15"/>
    <n v="40"/>
    <n v="40"/>
    <x v="1"/>
    <m/>
    <m/>
    <x v="0"/>
    <x v="0"/>
    <m/>
    <s v="Not documented"/>
    <x v="1"/>
    <n v="0"/>
    <n v="0"/>
    <s v="No"/>
    <n v="0"/>
    <n v="0"/>
    <n v="0"/>
    <n v="0"/>
    <n v="0"/>
    <n v="0"/>
    <n v="0"/>
    <n v="0"/>
    <n v="0"/>
    <n v="0"/>
    <n v="0"/>
    <x v="1"/>
    <n v="0"/>
    <n v="0"/>
    <n v="0.1"/>
    <n v="0"/>
    <n v="0"/>
    <n v="0"/>
    <n v="0"/>
    <m/>
    <n v="1"/>
    <n v="0"/>
    <n v="0"/>
    <x v="1"/>
    <n v="0"/>
    <n v="0"/>
    <n v="0"/>
    <n v="0"/>
    <n v="0"/>
    <n v="0"/>
    <n v="0"/>
    <n v="0"/>
    <n v="0"/>
    <n v="2"/>
    <n v="0"/>
    <s v="Not separated yet"/>
    <n v="0"/>
    <n v="0"/>
    <n v="0.4"/>
    <n v="0"/>
    <n v="0"/>
    <n v="0"/>
    <n v="0"/>
    <n v="0.4"/>
    <n v="0"/>
    <m/>
    <m/>
    <s v="To be realised"/>
    <n v="0"/>
    <n v="0"/>
    <n v="15"/>
    <n v="0"/>
    <n v="0"/>
    <x v="6"/>
    <m/>
    <n v="0"/>
    <n v="0"/>
    <n v="0"/>
    <s v="No coverage"/>
    <n v="0"/>
    <x v="2"/>
    <m/>
  </r>
  <r>
    <x v="17"/>
    <s v="MMR001CMP113"/>
    <x v="8"/>
    <x v="149"/>
    <n v="97.915833000000006"/>
    <n v="25.220278"/>
    <x v="0"/>
    <x v="1"/>
    <n v="133"/>
    <n v="645"/>
    <n v="645"/>
    <x v="0"/>
    <s v="DFID/Trocaires"/>
    <s v="IRRC"/>
    <x v="0"/>
    <x v="0"/>
    <s v="Gap"/>
    <s v="Focal NGO"/>
    <x v="0"/>
    <n v="0"/>
    <n v="0"/>
    <s v="No"/>
    <n v="0"/>
    <n v="0"/>
    <n v="15000"/>
    <n v="0"/>
    <n v="1"/>
    <n v="1"/>
    <n v="645"/>
    <n v="1"/>
    <n v="645"/>
    <n v="1"/>
    <n v="645"/>
    <x v="0"/>
    <n v="0"/>
    <n v="0"/>
    <n v="1.6125"/>
    <n v="133"/>
    <n v="0"/>
    <n v="1"/>
    <n v="645"/>
    <m/>
    <n v="4"/>
    <n v="95"/>
    <n v="8"/>
    <x v="0"/>
    <n v="1"/>
    <n v="645"/>
    <n v="0.75193798449612403"/>
    <n v="485"/>
    <n v="0.24806201550387597"/>
    <n v="160"/>
    <n v="0"/>
    <n v="1"/>
    <n v="645"/>
    <n v="24.25"/>
    <n v="1"/>
    <s v="Separate, clearly perceived"/>
    <n v="0.15503875968992248"/>
    <n v="100"/>
    <n v="5.45"/>
    <n v="0.16"/>
    <n v="103.2"/>
    <n v="4"/>
    <n v="0.62015503875968991"/>
    <n v="2.4500000000000002"/>
    <n v="0.62"/>
    <s v="hard to implement due to rocky, logistic issues"/>
    <d v="2015-04-28T00:00:00"/>
    <d v="2016-04-27T00:00:00"/>
    <n v="133"/>
    <n v="3"/>
    <n v="0"/>
    <n v="1"/>
    <n v="645"/>
    <x v="18"/>
    <s v="have a plan to distribute the basic hygiene kit in Oct 2015"/>
    <m/>
    <n v="0"/>
    <n v="4"/>
    <s v="Excellent coverage"/>
    <n v="0"/>
    <x v="2"/>
    <m/>
  </r>
  <r>
    <x v="17"/>
    <s v="MMR001CMP208"/>
    <x v="8"/>
    <x v="150"/>
    <n v="97.541793999999996"/>
    <n v="24.752471"/>
    <x v="2"/>
    <x v="1"/>
    <m/>
    <n v="528"/>
    <n v="528"/>
    <x v="1"/>
    <s v="Welthungerhilfe"/>
    <m/>
    <x v="2"/>
    <x v="1"/>
    <d v="2015-12-31T00:00:00"/>
    <s v="Focal NGO"/>
    <x v="0"/>
    <n v="0"/>
    <n v="0"/>
    <s v="No"/>
    <n v="1"/>
    <n v="0"/>
    <n v="7920"/>
    <n v="0"/>
    <n v="1"/>
    <n v="1"/>
    <n v="528"/>
    <n v="1"/>
    <n v="528"/>
    <n v="1"/>
    <n v="528"/>
    <x v="0"/>
    <n v="0"/>
    <n v="0"/>
    <n v="0.32000000000000006"/>
    <n v="0"/>
    <n v="0"/>
    <n v="1"/>
    <n v="528"/>
    <m/>
    <n v="78"/>
    <n v="7"/>
    <n v="15"/>
    <x v="3"/>
    <n v="0.83333333333333337"/>
    <n v="440"/>
    <n v="0.26515151515151514"/>
    <n v="140"/>
    <n v="0.56818181818181823"/>
    <n v="300"/>
    <n v="0"/>
    <n v="0.84"/>
    <n v="443.52"/>
    <n v="11.399999999999999"/>
    <n v="4"/>
    <s v="Separate, clearly perceived"/>
    <n v="0.75757575757575757"/>
    <n v="400"/>
    <n v="1.2800000000000002"/>
    <n v="0.76"/>
    <n v="401.28000000000003"/>
    <n v="0"/>
    <n v="0"/>
    <n v="5.28"/>
    <n v="0"/>
    <m/>
    <m/>
    <s v="To be realised"/>
    <n v="0"/>
    <n v="13"/>
    <n v="0"/>
    <n v="1"/>
    <n v="528"/>
    <x v="6"/>
    <s v="Metta has distributing refill HK distribution until to May 2016"/>
    <n v="1"/>
    <n v="528"/>
    <n v="0"/>
    <s v="No coverage"/>
    <n v="0"/>
    <x v="0"/>
    <m/>
  </r>
  <r>
    <x v="17"/>
    <s v="MMR001CMP208"/>
    <x v="8"/>
    <x v="151"/>
    <n v="97.541793999999996"/>
    <n v="24.752471"/>
    <x v="2"/>
    <x v="1"/>
    <m/>
    <n v="391"/>
    <n v="391"/>
    <x v="1"/>
    <s v="Welthungerhilfe"/>
    <m/>
    <x v="2"/>
    <x v="1"/>
    <d v="2016-02-29T00:00:00"/>
    <s v="Focal NGO"/>
    <x v="0"/>
    <n v="0"/>
    <n v="0"/>
    <s v="No"/>
    <n v="0"/>
    <n v="0"/>
    <n v="6000"/>
    <n v="0"/>
    <n v="1"/>
    <n v="1"/>
    <n v="391"/>
    <n v="1"/>
    <n v="391"/>
    <n v="1"/>
    <n v="391"/>
    <x v="0"/>
    <n v="0"/>
    <n v="0"/>
    <n v="0.97750000000000004"/>
    <n v="0"/>
    <n v="0"/>
    <n v="1"/>
    <n v="391"/>
    <m/>
    <n v="0"/>
    <n v="8"/>
    <n v="20"/>
    <x v="3"/>
    <n v="1"/>
    <n v="391"/>
    <n v="0"/>
    <n v="0"/>
    <n v="1"/>
    <n v="391"/>
    <n v="0"/>
    <n v="1"/>
    <n v="391"/>
    <n v="0"/>
    <n v="4"/>
    <s v="Separate, clearly perceived"/>
    <n v="1"/>
    <n v="391"/>
    <n v="0"/>
    <n v="1"/>
    <n v="391"/>
    <n v="1"/>
    <n v="0.25575447570332482"/>
    <n v="2.91"/>
    <n v="0.26"/>
    <m/>
    <m/>
    <s v="To be realised"/>
    <n v="0"/>
    <n v="13"/>
    <n v="0"/>
    <n v="1"/>
    <n v="391"/>
    <x v="6"/>
    <s v="Metta has distributing refill HK distribution until to May 2016"/>
    <n v="1"/>
    <n v="391"/>
    <n v="0"/>
    <s v="No coverage"/>
    <n v="0"/>
    <x v="0"/>
    <m/>
  </r>
  <r>
    <x v="17"/>
    <s v="MMR001CMP028"/>
    <x v="9"/>
    <x v="152"/>
    <n v="97.408302000000006"/>
    <n v="25.324567999999999"/>
    <x v="0"/>
    <x v="0"/>
    <n v="110"/>
    <n v="508"/>
    <n v="508"/>
    <x v="0"/>
    <s v="AusAid/OXFAM"/>
    <s v="Shalom"/>
    <x v="3"/>
    <x v="1"/>
    <d v="2016-02-29T00:00:00"/>
    <s v="Focal NGO"/>
    <x v="0"/>
    <n v="0"/>
    <n v="0"/>
    <s v="No"/>
    <n v="3"/>
    <n v="1"/>
    <n v="3600"/>
    <n v="0"/>
    <n v="0"/>
    <n v="1"/>
    <n v="508"/>
    <n v="1"/>
    <n v="508"/>
    <n v="1"/>
    <n v="508"/>
    <x v="0"/>
    <n v="0"/>
    <n v="0"/>
    <n v="0"/>
    <n v="0"/>
    <n v="0"/>
    <n v="1"/>
    <n v="508"/>
    <m/>
    <n v="0"/>
    <n v="2"/>
    <n v="22"/>
    <x v="0"/>
    <n v="0.94488188976377951"/>
    <n v="480"/>
    <n v="7.8740157480314932E-2"/>
    <n v="39.999999999999986"/>
    <n v="0.86614173228346458"/>
    <n v="440"/>
    <n v="0"/>
    <n v="0.94"/>
    <n v="477.52"/>
    <n v="3.3999999999999986"/>
    <n v="4"/>
    <s v="Separate, clearly perceived"/>
    <n v="0.78740157480314965"/>
    <n v="400"/>
    <n v="1.08"/>
    <n v="0.79"/>
    <n v="401.32"/>
    <n v="7"/>
    <n v="1"/>
    <n v="0"/>
    <n v="1"/>
    <s v="no spaces to construct more latrines"/>
    <d v="2015-02-13T00:00:00"/>
    <d v="2016-02-13T00:00:00"/>
    <n v="110"/>
    <n v="5"/>
    <n v="0"/>
    <n v="1"/>
    <n v="508"/>
    <x v="2"/>
    <m/>
    <n v="1"/>
    <n v="508"/>
    <n v="2"/>
    <s v="Excellent coverage"/>
    <n v="0"/>
    <x v="1"/>
    <m/>
  </r>
  <r>
    <x v="17"/>
    <s v="MMR001CMP115"/>
    <x v="8"/>
    <x v="153"/>
    <n v="97.807182999999995"/>
    <n v="25.200333000000001"/>
    <x v="0"/>
    <x v="1"/>
    <n v="172"/>
    <n v="1212"/>
    <n v="1212"/>
    <x v="0"/>
    <s v="CIDA/ADRA"/>
    <s v="KBC"/>
    <x v="5"/>
    <x v="1"/>
    <d v="2016-02-29T00:00:00"/>
    <s v="Focal NGO"/>
    <x v="0"/>
    <n v="0"/>
    <n v="0"/>
    <s v="No"/>
    <n v="0"/>
    <n v="0"/>
    <n v="30000"/>
    <n v="0"/>
    <n v="0"/>
    <n v="1"/>
    <n v="1212"/>
    <n v="1"/>
    <n v="1212"/>
    <n v="1"/>
    <n v="1212"/>
    <x v="0"/>
    <n v="0"/>
    <n v="0"/>
    <n v="3.03"/>
    <n v="0"/>
    <n v="0"/>
    <n v="1"/>
    <n v="1212"/>
    <m/>
    <n v="11"/>
    <n v="70"/>
    <n v="0"/>
    <x v="0"/>
    <n v="1"/>
    <n v="1212"/>
    <n v="1"/>
    <n v="1212"/>
    <n v="0"/>
    <n v="0"/>
    <n v="0"/>
    <n v="1"/>
    <n v="1212"/>
    <n v="60.6"/>
    <n v="3"/>
    <s v="Separate, clearly perceived"/>
    <n v="0.24752475247524752"/>
    <n v="300"/>
    <n v="9.1199999999999992"/>
    <n v="0.25"/>
    <n v="303"/>
    <n v="0"/>
    <n v="0"/>
    <n v="12.12"/>
    <n v="0"/>
    <s v="Semi-permanent latrines not possible due to rocky land and logisitc issue. 50 latrines have been maintained as pan &amp; pipe contribution and structural mainteance by KBC in Sep 15. All 24 hand washing spaces had also out of used."/>
    <d v="2015-02-18T00:00:00"/>
    <d v="2016-02-18T00:00:00"/>
    <n v="170"/>
    <n v="4"/>
    <n v="2"/>
    <n v="0.98837209302325579"/>
    <n v="1197.9069767441861"/>
    <x v="2"/>
    <s v="KBC has only 1 time basic HK distribution and no plan of refill HK with ADRA fund until to Feb 16.  "/>
    <n v="1"/>
    <n v="1212"/>
    <n v="2"/>
    <s v="Good coverage"/>
    <n v="0"/>
    <x v="1"/>
    <m/>
  </r>
  <r>
    <x v="17"/>
    <s v="MMR001CMP027"/>
    <x v="9"/>
    <x v="154"/>
    <n v="97.451965000000001"/>
    <n v="25.356632000000001"/>
    <x v="0"/>
    <x v="0"/>
    <n v="22"/>
    <n v="115"/>
    <n v="115"/>
    <x v="1"/>
    <s v="CIDA/ADRA"/>
    <s v="Shalom"/>
    <x v="5"/>
    <x v="1"/>
    <d v="2015-12-31T00:00:00"/>
    <s v="Focal NGO"/>
    <x v="0"/>
    <n v="0"/>
    <n v="0"/>
    <s v="No"/>
    <n v="1"/>
    <n v="0"/>
    <n v="2000"/>
    <n v="0"/>
    <n v="1"/>
    <n v="1"/>
    <n v="115"/>
    <n v="1"/>
    <n v="115"/>
    <n v="1"/>
    <n v="115"/>
    <x v="0"/>
    <n v="0"/>
    <n v="0"/>
    <n v="0"/>
    <n v="22"/>
    <n v="0"/>
    <n v="1"/>
    <n v="115"/>
    <m/>
    <n v="80"/>
    <n v="0"/>
    <n v="6"/>
    <x v="0"/>
    <n v="1"/>
    <n v="115"/>
    <n v="0"/>
    <n v="0"/>
    <n v="1"/>
    <n v="115"/>
    <n v="0"/>
    <n v="1"/>
    <n v="115"/>
    <n v="0"/>
    <n v="2"/>
    <s v="Not separated yet"/>
    <n v="1"/>
    <n v="115"/>
    <n v="0"/>
    <n v="1"/>
    <n v="115"/>
    <n v="0"/>
    <n v="0"/>
    <n v="1.1499999999999999"/>
    <n v="0"/>
    <s v="old 3 Hand washing had already out of used"/>
    <d v="2015-02-18T00:00:00"/>
    <d v="2016-02-18T00:00:00"/>
    <n v="21"/>
    <n v="4"/>
    <n v="1"/>
    <n v="0.95454545454545459"/>
    <n v="109.77272727272728"/>
    <x v="2"/>
    <s v="KBC has only 1 time basic HK distribution and no plan of refill HK with ADRA fund until to Feb 16.  "/>
    <n v="1"/>
    <n v="115"/>
    <n v="2"/>
    <s v="Excellent coverage"/>
    <n v="0"/>
    <x v="1"/>
    <m/>
  </r>
  <r>
    <x v="17"/>
    <s v="MMR001CMP119"/>
    <x v="8"/>
    <x v="155"/>
    <n v="97.715230000000005"/>
    <n v="24.980250000000002"/>
    <x v="0"/>
    <x v="1"/>
    <n v="657"/>
    <n v="2619"/>
    <n v="2619"/>
    <x v="2"/>
    <s v="CIDA/ADRA"/>
    <s v="IRRC"/>
    <x v="0"/>
    <x v="0"/>
    <s v="Gap"/>
    <s v="Focal NGO"/>
    <x v="0"/>
    <n v="0"/>
    <n v="0"/>
    <s v="No"/>
    <n v="0"/>
    <n v="0"/>
    <n v="45000"/>
    <n v="0"/>
    <n v="0"/>
    <n v="1"/>
    <n v="2619"/>
    <n v="1"/>
    <n v="2619"/>
    <n v="1"/>
    <n v="2619"/>
    <x v="0"/>
    <n v="0"/>
    <n v="0"/>
    <n v="6.5475000000000003"/>
    <n v="0"/>
    <n v="0"/>
    <n v="1"/>
    <n v="2619"/>
    <m/>
    <n v="0"/>
    <n v="229"/>
    <n v="0"/>
    <x v="0"/>
    <n v="1"/>
    <n v="2619"/>
    <n v="1"/>
    <n v="2619"/>
    <n v="0"/>
    <n v="0"/>
    <n v="0"/>
    <n v="1"/>
    <n v="2619"/>
    <n v="130.94999999999999"/>
    <n v="26"/>
    <s v="Separate, clearly perceived"/>
    <n v="0.99274532264222981"/>
    <n v="2600"/>
    <n v="0.19000000000000128"/>
    <n v="0.99"/>
    <n v="2592.81"/>
    <n v="0"/>
    <n v="0"/>
    <n v="26.19"/>
    <n v="0"/>
    <s v="Semi-permanent latrines not possible due to rocky land and logisitc issue. 300 latrines have been maintained as pan &amp; pipe contribution and structural mainteance by KBC in Sep 15. All 51 hand washing spaces had also out of used. "/>
    <d v="2015-02-18T00:00:00"/>
    <d v="2016-02-18T00:00:00"/>
    <n v="645"/>
    <n v="4"/>
    <n v="12"/>
    <n v="0.9817351598173516"/>
    <n v="2571.1643835616437"/>
    <x v="2"/>
    <s v="KBC has only 1 time basic HK distribution and no plan of refill HK with ADRA fund until to Feb 16.  "/>
    <m/>
    <n v="0"/>
    <n v="2"/>
    <s v="Low coverage"/>
    <n v="0"/>
    <x v="0"/>
    <m/>
  </r>
  <r>
    <x v="17"/>
    <s v="MMR001CMP031"/>
    <x v="9"/>
    <x v="156"/>
    <n v="97.435233999999994"/>
    <n v="25.425276"/>
    <x v="0"/>
    <x v="0"/>
    <n v="128"/>
    <n v="728"/>
    <n v="728"/>
    <x v="0"/>
    <s v="AusAid/OXFAM"/>
    <s v="Shalom"/>
    <x v="3"/>
    <x v="1"/>
    <d v="2016-02-29T00:00:00"/>
    <s v="Focal NGO"/>
    <x v="0"/>
    <n v="0"/>
    <n v="0"/>
    <s v="No"/>
    <n v="4"/>
    <n v="1"/>
    <n v="2500"/>
    <n v="0"/>
    <n v="0"/>
    <n v="1"/>
    <n v="728"/>
    <n v="1"/>
    <n v="728"/>
    <n v="1"/>
    <n v="728"/>
    <x v="0"/>
    <n v="0"/>
    <n v="0"/>
    <n v="0"/>
    <n v="0"/>
    <n v="0"/>
    <n v="1"/>
    <n v="728"/>
    <m/>
    <n v="0"/>
    <n v="2"/>
    <n v="22"/>
    <x v="0"/>
    <n v="0.65934065934065933"/>
    <n v="480"/>
    <n v="5.4945054945054972E-2"/>
    <n v="40.000000000000021"/>
    <n v="0.60439560439560436"/>
    <n v="440"/>
    <n v="0"/>
    <n v="0.66"/>
    <n v="480.48"/>
    <n v="14.399999999999999"/>
    <n v="4"/>
    <s v="Separate, clearly perceived"/>
    <n v="0.5494505494505495"/>
    <n v="400.00000000000006"/>
    <n v="3.2800000000000002"/>
    <n v="0.55000000000000004"/>
    <n v="400.40000000000003"/>
    <n v="4"/>
    <n v="0.5494505494505495"/>
    <n v="3.2800000000000002"/>
    <n v="1"/>
    <m/>
    <d v="2015-02-13T00:00:00"/>
    <d v="2016-02-13T00:00:00"/>
    <n v="128"/>
    <n v="5"/>
    <n v="0"/>
    <n v="1"/>
    <n v="728"/>
    <x v="2"/>
    <m/>
    <n v="1"/>
    <n v="728"/>
    <n v="2"/>
    <s v="Excellent coverage"/>
    <n v="0"/>
    <x v="1"/>
    <m/>
  </r>
  <r>
    <x v="17"/>
    <s v="MMR001CMP029"/>
    <x v="9"/>
    <x v="157"/>
    <n v="97.438450000000003"/>
    <n v="25.415900000000001"/>
    <x v="0"/>
    <x v="0"/>
    <n v="238"/>
    <n v="1234"/>
    <n v="1234"/>
    <x v="0"/>
    <s v="DFID/Trocaires"/>
    <s v="KMSS"/>
    <x v="0"/>
    <x v="0"/>
    <s v="Gap"/>
    <s v="Focal NGO"/>
    <x v="0"/>
    <n v="0"/>
    <n v="0"/>
    <s v="No"/>
    <n v="10"/>
    <n v="1"/>
    <n v="15000"/>
    <n v="0"/>
    <n v="1"/>
    <n v="1"/>
    <n v="1234"/>
    <n v="1"/>
    <n v="1234"/>
    <n v="1"/>
    <n v="1234"/>
    <x v="0"/>
    <n v="0"/>
    <n v="0"/>
    <n v="0"/>
    <n v="238"/>
    <n v="0"/>
    <n v="1"/>
    <n v="1234"/>
    <m/>
    <n v="0"/>
    <n v="32"/>
    <n v="16"/>
    <x v="0"/>
    <n v="0.77795786061588335"/>
    <n v="960"/>
    <n v="0.5186385737439223"/>
    <n v="640.00000000000011"/>
    <n v="0.2593192868719611"/>
    <n v="320"/>
    <n v="0"/>
    <n v="1"/>
    <n v="1234"/>
    <n v="45.7"/>
    <n v="4"/>
    <s v="Separate, clearly perceived"/>
    <n v="0.32414910858995138"/>
    <n v="400"/>
    <n v="8.34"/>
    <n v="1"/>
    <n v="1234"/>
    <n v="0"/>
    <n v="0"/>
    <n v="12.34"/>
    <n v="0"/>
    <s v="due to lack of running cost, the HWS facilities have not functioing/ 4 bathing space have constructed but all are not functioning currently/8-10 latrines closed due to near shelter/need to renovate in some latrine "/>
    <d v="2014-05-22T00:00:00"/>
    <s v="To be realised"/>
    <n v="238"/>
    <n v="2"/>
    <n v="238"/>
    <n v="0"/>
    <n v="0"/>
    <x v="9"/>
    <m/>
    <m/>
    <n v="0"/>
    <n v="4"/>
    <s v="Excellent coverage"/>
    <n v="0"/>
    <x v="1"/>
    <m/>
  </r>
  <r>
    <x v="17"/>
    <s v="MMR001CMP040"/>
    <x v="9"/>
    <x v="158"/>
    <n v="97.437434999999994"/>
    <n v="25.411413"/>
    <x v="0"/>
    <x v="0"/>
    <n v="421"/>
    <n v="2071"/>
    <n v="2071"/>
    <x v="3"/>
    <s v="CIDA/ADRA"/>
    <s v="KBC"/>
    <x v="0"/>
    <x v="0"/>
    <s v="Gap"/>
    <s v="Focal NGO"/>
    <x v="0"/>
    <n v="0"/>
    <n v="0"/>
    <s v="No"/>
    <n v="8"/>
    <n v="0"/>
    <n v="16800"/>
    <n v="0"/>
    <n v="1"/>
    <n v="1"/>
    <n v="2071"/>
    <n v="1"/>
    <n v="2071"/>
    <n v="1"/>
    <n v="2071"/>
    <x v="0"/>
    <n v="0"/>
    <n v="0"/>
    <n v="0"/>
    <n v="421"/>
    <n v="0"/>
    <n v="1"/>
    <n v="2071"/>
    <m/>
    <n v="6"/>
    <n v="0"/>
    <n v="132"/>
    <x v="0"/>
    <n v="1"/>
    <n v="2071"/>
    <n v="0"/>
    <n v="0"/>
    <n v="1"/>
    <n v="2071"/>
    <n v="4"/>
    <n v="1"/>
    <n v="2071"/>
    <n v="0"/>
    <n v="6"/>
    <s v="Separate, clearly perceived"/>
    <n v="0.28971511347175277"/>
    <n v="600"/>
    <n v="14.71"/>
    <n v="1"/>
    <n v="2071"/>
    <n v="0"/>
    <n v="0"/>
    <n v="20.71"/>
    <n v="0"/>
    <s v="due to IDPs used individual bathing spaces, no need to construct more. All 45 hand washing space had also out of used."/>
    <d v="2015-02-18T00:00:00"/>
    <d v="2016-02-18T00:00:00"/>
    <n v="415"/>
    <n v="4"/>
    <n v="6"/>
    <n v="0.98574821852731587"/>
    <n v="2041.4845605700712"/>
    <x v="2"/>
    <s v="KBC has only 1 time basic HK distribution and no plan of refill HK with ADRA fund until to Feb 16.  "/>
    <m/>
    <n v="0"/>
    <n v="2"/>
    <s v="Low coverage"/>
    <n v="0"/>
    <x v="1"/>
    <m/>
  </r>
  <r>
    <x v="17"/>
    <s v="MMR001CMP039"/>
    <x v="9"/>
    <x v="159"/>
    <n v="97.426297000000005"/>
    <n v="25.409566000000002"/>
    <x v="0"/>
    <x v="0"/>
    <n v="46"/>
    <n v="173"/>
    <n v="173"/>
    <x v="1"/>
    <s v="CIDA/ADRA"/>
    <s v="KBC"/>
    <x v="5"/>
    <x v="1"/>
    <d v="2016-02-29T00:00:00"/>
    <s v="Focal NGO"/>
    <x v="0"/>
    <n v="0"/>
    <n v="0"/>
    <s v="No"/>
    <n v="2"/>
    <n v="0"/>
    <n v="3000"/>
    <n v="0"/>
    <n v="1"/>
    <n v="1"/>
    <n v="173"/>
    <n v="1"/>
    <n v="173"/>
    <n v="1"/>
    <n v="173"/>
    <x v="0"/>
    <n v="0"/>
    <n v="0"/>
    <n v="0"/>
    <n v="46"/>
    <n v="0"/>
    <n v="1"/>
    <n v="173"/>
    <m/>
    <n v="44"/>
    <n v="0"/>
    <n v="14"/>
    <x v="0"/>
    <n v="1"/>
    <n v="173"/>
    <n v="0"/>
    <n v="0"/>
    <n v="1"/>
    <n v="173"/>
    <n v="0"/>
    <n v="1"/>
    <n v="173"/>
    <n v="0"/>
    <n v="2"/>
    <s v="Separate, but not clearly perceived"/>
    <n v="1"/>
    <n v="173"/>
    <n v="0"/>
    <n v="1"/>
    <n v="173"/>
    <n v="0"/>
    <n v="0"/>
    <n v="1.73"/>
    <n v="0"/>
    <s v="old 3 Hand washing had already out of used"/>
    <d v="2015-02-18T00:00:00"/>
    <d v="2016-02-18T00:00:00"/>
    <n v="44"/>
    <n v="4"/>
    <n v="2"/>
    <n v="0.95652173913043481"/>
    <n v="165.47826086956522"/>
    <x v="2"/>
    <s v="KBC has only 1 time basic HK distribution and no plan of refill HK with ADRA fund until to Feb 16.  "/>
    <n v="1"/>
    <n v="173"/>
    <n v="2"/>
    <s v="Excellent coverage"/>
    <n v="0"/>
    <x v="0"/>
    <m/>
  </r>
  <r>
    <x v="17"/>
    <s v="MMR001CMP033"/>
    <x v="9"/>
    <x v="160"/>
    <n v="97.345039"/>
    <n v="25.351965"/>
    <x v="0"/>
    <x v="0"/>
    <n v="18"/>
    <n v="82"/>
    <n v="82"/>
    <x v="1"/>
    <s v="AusAid/OXFAM"/>
    <s v="Shalom"/>
    <x v="0"/>
    <x v="0"/>
    <s v="Gap"/>
    <s v="Focal NGO"/>
    <x v="0"/>
    <n v="0"/>
    <n v="0"/>
    <s v="No"/>
    <n v="1"/>
    <n v="1"/>
    <n v="0"/>
    <n v="0"/>
    <n v="0"/>
    <n v="1"/>
    <n v="82"/>
    <n v="1"/>
    <n v="82"/>
    <n v="1"/>
    <n v="82"/>
    <x v="0"/>
    <n v="0"/>
    <n v="0"/>
    <n v="0"/>
    <n v="0"/>
    <n v="0"/>
    <n v="1"/>
    <n v="82"/>
    <m/>
    <n v="0"/>
    <n v="2"/>
    <n v="3"/>
    <x v="0"/>
    <n v="1"/>
    <n v="82"/>
    <n v="0.26829268292682928"/>
    <n v="22"/>
    <n v="0.73170731707317072"/>
    <n v="60"/>
    <n v="0"/>
    <n v="1"/>
    <n v="82"/>
    <n v="1.0999999999999996"/>
    <n v="1"/>
    <s v="Not separated yet"/>
    <n v="1"/>
    <n v="82"/>
    <n v="0"/>
    <n v="1"/>
    <n v="82"/>
    <n v="1"/>
    <n v="1"/>
    <n v="0"/>
    <n v="1"/>
    <m/>
    <d v="2015-02-13T00:00:00"/>
    <d v="2016-02-13T00:00:00"/>
    <n v="18"/>
    <n v="5"/>
    <n v="0"/>
    <n v="1"/>
    <n v="82"/>
    <x v="2"/>
    <m/>
    <m/>
    <n v="0"/>
    <n v="1"/>
    <s v="Excellent coverage"/>
    <n v="0"/>
    <x v="1"/>
    <m/>
  </r>
  <r>
    <x v="17"/>
    <s v="MMR001CMP120"/>
    <x v="8"/>
    <x v="161"/>
    <n v="97.751389000000003"/>
    <n v="24.831944"/>
    <x v="0"/>
    <x v="1"/>
    <n v="181"/>
    <n v="764"/>
    <n v="764"/>
    <x v="0"/>
    <s v="CIDA/ADRA"/>
    <s v="KBC"/>
    <x v="0"/>
    <x v="0"/>
    <s v="Gap"/>
    <s v="Focal NGO"/>
    <x v="0"/>
    <n v="0"/>
    <n v="0"/>
    <s v="No"/>
    <n v="0"/>
    <n v="0"/>
    <n v="12000"/>
    <n v="0"/>
    <n v="0"/>
    <n v="1"/>
    <n v="764"/>
    <n v="1"/>
    <n v="764"/>
    <n v="1"/>
    <n v="764"/>
    <x v="0"/>
    <n v="0"/>
    <n v="0"/>
    <n v="1.91"/>
    <n v="0"/>
    <n v="0"/>
    <n v="1"/>
    <n v="764"/>
    <m/>
    <n v="2"/>
    <n v="50"/>
    <n v="0"/>
    <x v="0"/>
    <n v="1"/>
    <n v="764"/>
    <n v="1"/>
    <n v="764"/>
    <n v="0"/>
    <n v="0"/>
    <n v="0"/>
    <n v="1"/>
    <n v="764"/>
    <n v="38.200000000000003"/>
    <n v="6"/>
    <s v="Separate, clearly perceived"/>
    <n v="0.78534031413612571"/>
    <n v="600"/>
    <n v="1.6399999999999997"/>
    <n v="0.79"/>
    <n v="603.56000000000006"/>
    <n v="0"/>
    <n v="0"/>
    <n v="7.64"/>
    <n v="0"/>
    <s v="Semi-permanent latrines not possible due to rocky land and logisitc issue. 30 latrines have been maintained as pan &amp; pipe contribution and structural mainteance by KBC in Sep 15. All 12 hand washing spaces had out of used."/>
    <d v="2015-02-18T00:00:00"/>
    <d v="2016-02-18T00:00:00"/>
    <n v="191"/>
    <n v="4"/>
    <n v="0"/>
    <n v="1"/>
    <n v="764"/>
    <x v="2"/>
    <s v="KBC has only 1 time basic HK distribution and no plan of refill HK with ADRA fund until to Feb 16.  "/>
    <m/>
    <n v="0"/>
    <n v="2"/>
    <s v="Excellent coverage"/>
    <n v="0"/>
    <x v="0"/>
    <m/>
  </r>
  <r>
    <x v="17"/>
    <s v="MMR001CMP160"/>
    <x v="8"/>
    <x v="162"/>
    <n v="97.990555999999998"/>
    <n v="25.265277999999999"/>
    <x v="0"/>
    <x v="1"/>
    <n v="109"/>
    <n v="640"/>
    <n v="640"/>
    <x v="0"/>
    <s v="DFID/Trocaires"/>
    <s v="IRRC"/>
    <x v="4"/>
    <x v="1"/>
    <d v="2016-02-29T00:00:00"/>
    <s v="Focal NGO"/>
    <x v="0"/>
    <n v="0"/>
    <n v="0"/>
    <s v="No"/>
    <n v="0"/>
    <n v="0"/>
    <n v="13000"/>
    <n v="0"/>
    <n v="1"/>
    <n v="1"/>
    <n v="640"/>
    <n v="1"/>
    <n v="640"/>
    <n v="1"/>
    <n v="640"/>
    <x v="0"/>
    <n v="0"/>
    <n v="0"/>
    <n v="1.6"/>
    <n v="109"/>
    <n v="0"/>
    <n v="1"/>
    <n v="640"/>
    <m/>
    <n v="0"/>
    <n v="109"/>
    <n v="14"/>
    <x v="0"/>
    <n v="1"/>
    <n v="640"/>
    <n v="0.5625"/>
    <n v="360"/>
    <n v="0.4375"/>
    <n v="280"/>
    <n v="0"/>
    <n v="1"/>
    <n v="640"/>
    <n v="18"/>
    <n v="2"/>
    <s v="Separate, clearly perceived"/>
    <n v="0.3125"/>
    <n v="200"/>
    <n v="4.4000000000000004"/>
    <n v="0.31"/>
    <n v="198.4"/>
    <n v="4"/>
    <n v="0.625"/>
    <n v="2.4000000000000004"/>
    <n v="0.63"/>
    <s v="hard to implement due to rocky, logistic issues"/>
    <d v="2015-04-29T00:00:00"/>
    <d v="2016-04-28T00:00:00"/>
    <n v="109"/>
    <n v="3"/>
    <n v="0"/>
    <n v="1"/>
    <n v="640"/>
    <x v="18"/>
    <s v="have a plan to distribute the basic hygiene kit in Oct 2015"/>
    <n v="0.8"/>
    <n v="512"/>
    <n v="4"/>
    <s v="Excellent coverage"/>
    <n v="0"/>
    <x v="0"/>
    <m/>
  </r>
  <r>
    <x v="17"/>
    <s v="MMR001CMP032"/>
    <x v="9"/>
    <x v="163"/>
    <n v="97.441483000000005"/>
    <n v="25.354883999999998"/>
    <x v="0"/>
    <x v="0"/>
    <n v="94"/>
    <n v="341"/>
    <n v="341"/>
    <x v="0"/>
    <s v="AusAid/OXFAM"/>
    <s v="Shalom"/>
    <x v="3"/>
    <x v="1"/>
    <d v="2016-05-31T00:00:00"/>
    <s v="Focal NGO"/>
    <x v="0"/>
    <n v="0"/>
    <n v="0"/>
    <s v="No"/>
    <n v="3"/>
    <n v="1"/>
    <n v="0"/>
    <n v="0"/>
    <n v="0"/>
    <n v="1"/>
    <n v="341"/>
    <n v="1"/>
    <n v="341"/>
    <n v="1"/>
    <n v="341"/>
    <x v="0"/>
    <n v="0"/>
    <n v="0"/>
    <n v="0"/>
    <n v="0"/>
    <n v="0"/>
    <n v="1"/>
    <n v="341"/>
    <m/>
    <n v="0"/>
    <n v="0"/>
    <n v="10"/>
    <x v="0"/>
    <n v="0.5865102639296188"/>
    <n v="200"/>
    <n v="0"/>
    <n v="0"/>
    <n v="0.5865102639296188"/>
    <n v="200"/>
    <n v="0"/>
    <n v="1"/>
    <n v="341"/>
    <n v="7.0500000000000007"/>
    <n v="3"/>
    <s v="Separate, clearly perceived"/>
    <n v="0.87976539589442815"/>
    <n v="300"/>
    <n v="0.41000000000000014"/>
    <n v="0.88"/>
    <n v="300.08"/>
    <n v="3"/>
    <n v="0.87976539589442815"/>
    <n v="0.41000000000000014"/>
    <n v="1"/>
    <s v="shalom has a plan to construct 3 semi-permanent construction"/>
    <d v="2015-02-13T00:00:00"/>
    <d v="2016-02-13T00:00:00"/>
    <n v="102"/>
    <n v="5"/>
    <n v="0"/>
    <n v="1"/>
    <n v="341"/>
    <x v="2"/>
    <m/>
    <n v="1"/>
    <n v="341"/>
    <n v="2"/>
    <s v="Excellent coverage"/>
    <n v="0"/>
    <x v="1"/>
    <m/>
  </r>
  <r>
    <x v="17"/>
    <s v="MMR001CMP025"/>
    <x v="9"/>
    <x v="164"/>
    <n v="97.438271"/>
    <n v="25.351655000000001"/>
    <x v="0"/>
    <x v="0"/>
    <n v="70"/>
    <n v="308"/>
    <n v="308"/>
    <x v="0"/>
    <s v="CIDA/ADRA"/>
    <s v="KBC"/>
    <x v="5"/>
    <x v="1"/>
    <d v="2016-05-31T00:00:00"/>
    <s v="Focal NGO"/>
    <x v="0"/>
    <n v="0"/>
    <n v="0"/>
    <s v="No"/>
    <n v="2"/>
    <n v="1"/>
    <n v="0"/>
    <n v="0"/>
    <n v="1"/>
    <n v="1"/>
    <n v="308"/>
    <n v="1"/>
    <n v="308"/>
    <n v="1"/>
    <n v="308"/>
    <x v="0"/>
    <n v="0"/>
    <n v="0"/>
    <n v="0"/>
    <n v="70"/>
    <n v="0"/>
    <n v="1"/>
    <n v="308"/>
    <m/>
    <n v="0"/>
    <n v="0"/>
    <n v="12"/>
    <x v="0"/>
    <n v="0.77922077922077926"/>
    <n v="240"/>
    <n v="0"/>
    <n v="0"/>
    <n v="0.77922077922077926"/>
    <n v="240"/>
    <n v="0"/>
    <n v="0.78"/>
    <n v="240.24"/>
    <n v="3.4000000000000004"/>
    <n v="2"/>
    <s v="Separate, clearly perceived"/>
    <n v="0.64935064935064934"/>
    <n v="200"/>
    <n v="1.08"/>
    <n v="0.65"/>
    <n v="200.20000000000002"/>
    <n v="0"/>
    <n v="0"/>
    <n v="3.08"/>
    <n v="0"/>
    <s v="have limited spaces to construct more sanitation facilities. Some household has alaready moved to new location (have a plan to move all HHs to this new site. All 3 hand washing spaces had out of used."/>
    <d v="2015-02-18T00:00:00"/>
    <d v="2016-02-18T00:00:00"/>
    <n v="67"/>
    <n v="4"/>
    <n v="3"/>
    <n v="0.95714285714285718"/>
    <n v="294.8"/>
    <x v="2"/>
    <s v="KBC has only 1 time basic HK distribution and no plan of refill HK with ADRA fund until to Feb 16.  "/>
    <n v="1"/>
    <n v="308"/>
    <n v="2"/>
    <s v="Excellent coverage"/>
    <n v="0"/>
    <x v="0"/>
    <m/>
  </r>
  <r>
    <x v="17"/>
    <s v="MMR001CMP030"/>
    <x v="9"/>
    <x v="165"/>
    <n v="97.437568999999996"/>
    <n v="25.346004000000001"/>
    <x v="0"/>
    <x v="0"/>
    <n v="31"/>
    <n v="170"/>
    <n v="170"/>
    <x v="1"/>
    <s v="AusAid/OXFAM"/>
    <s v="Shalom"/>
    <x v="3"/>
    <x v="1"/>
    <d v="2016-05-31T00:00:00"/>
    <s v="Focal NGO"/>
    <x v="0"/>
    <n v="0"/>
    <n v="0"/>
    <s v="No"/>
    <n v="2"/>
    <n v="0"/>
    <n v="3000"/>
    <n v="0"/>
    <n v="0"/>
    <n v="1"/>
    <n v="170"/>
    <n v="1"/>
    <n v="170"/>
    <n v="1"/>
    <n v="170"/>
    <x v="0"/>
    <n v="0"/>
    <n v="0"/>
    <n v="0"/>
    <n v="0"/>
    <n v="0"/>
    <n v="1"/>
    <n v="170"/>
    <m/>
    <n v="29"/>
    <n v="2"/>
    <n v="6"/>
    <x v="0"/>
    <n v="0.94117647058823528"/>
    <n v="160"/>
    <n v="0.23529411764705876"/>
    <n v="39.999999999999993"/>
    <n v="0.70588235294117652"/>
    <n v="120.00000000000001"/>
    <n v="0"/>
    <n v="0.94"/>
    <n v="159.79999999999998"/>
    <n v="2.5"/>
    <n v="3"/>
    <s v="Separate, clearly perceived"/>
    <n v="1"/>
    <n v="170"/>
    <n v="0"/>
    <n v="1"/>
    <n v="170"/>
    <n v="2"/>
    <n v="1"/>
    <n v="0"/>
    <n v="1"/>
    <m/>
    <d v="2015-02-13T00:00:00"/>
    <d v="2016-02-13T00:00:00"/>
    <n v="31"/>
    <n v="5"/>
    <n v="0"/>
    <n v="1"/>
    <n v="170"/>
    <x v="2"/>
    <m/>
    <n v="1"/>
    <n v="170"/>
    <n v="2"/>
    <s v="Excellent coverage"/>
    <n v="0"/>
    <x v="0"/>
    <s v="1 temporary incinerator has been out of used"/>
  </r>
  <r>
    <x v="17"/>
    <s v="MMR001CMP026"/>
    <x v="9"/>
    <x v="166"/>
    <n v="97.432495000000003"/>
    <n v="25.350809000000002"/>
    <x v="0"/>
    <x v="0"/>
    <n v="89"/>
    <n v="473"/>
    <n v="473"/>
    <x v="0"/>
    <s v="AusAid/OXFAM"/>
    <s v="Shalom"/>
    <x v="3"/>
    <x v="1"/>
    <d v="2016-02-29T00:00:00"/>
    <s v="Focal NGO"/>
    <x v="0"/>
    <n v="0"/>
    <n v="0"/>
    <s v="No"/>
    <n v="3"/>
    <n v="0"/>
    <n v="3600"/>
    <n v="0"/>
    <n v="0"/>
    <n v="1"/>
    <n v="473"/>
    <n v="1"/>
    <n v="473"/>
    <n v="1"/>
    <n v="473"/>
    <x v="0"/>
    <n v="0"/>
    <n v="0"/>
    <n v="0"/>
    <n v="0"/>
    <n v="0"/>
    <n v="1"/>
    <n v="473"/>
    <m/>
    <n v="80"/>
    <n v="8"/>
    <n v="19"/>
    <x v="0"/>
    <n v="1"/>
    <n v="473"/>
    <n v="0.19661733615221988"/>
    <n v="93"/>
    <n v="0.80338266384778012"/>
    <n v="380"/>
    <n v="0"/>
    <n v="1"/>
    <n v="473"/>
    <n v="4.6499999999999986"/>
    <n v="3"/>
    <s v="Separate, clearly perceived"/>
    <n v="0.63424947145877375"/>
    <n v="300"/>
    <n v="1.7300000000000004"/>
    <n v="1"/>
    <n v="473"/>
    <n v="2"/>
    <n v="0.42283298097251587"/>
    <n v="2.7300000000000004"/>
    <n v="1"/>
    <s v="shalom has a plan to construct 1 bathing space"/>
    <d v="2015-02-13T00:00:00"/>
    <d v="2016-02-13T00:00:00"/>
    <n v="91"/>
    <n v="5"/>
    <n v="0"/>
    <n v="1"/>
    <n v="473"/>
    <x v="2"/>
    <m/>
    <n v="1"/>
    <n v="473"/>
    <n v="2"/>
    <s v="Excellent coverage"/>
    <n v="0"/>
    <x v="1"/>
    <m/>
  </r>
  <r>
    <x v="17"/>
    <s v="MMR001CMP041"/>
    <x v="8"/>
    <x v="167"/>
    <n v="98.025662999999994"/>
    <n v="25.418084"/>
    <x v="0"/>
    <x v="1"/>
    <n v="188"/>
    <n v="1011"/>
    <n v="1011"/>
    <x v="0"/>
    <s v="CIDA/ADRA"/>
    <s v="KBC"/>
    <x v="5"/>
    <x v="1"/>
    <d v="2015-12-31T00:00:00"/>
    <s v="Focal NGO"/>
    <x v="0"/>
    <n v="0"/>
    <n v="0"/>
    <s v="No"/>
    <n v="0"/>
    <n v="0"/>
    <n v="18000"/>
    <n v="0"/>
    <n v="0"/>
    <n v="1"/>
    <n v="1011"/>
    <n v="1"/>
    <n v="1011"/>
    <n v="1"/>
    <n v="1011"/>
    <x v="0"/>
    <n v="0"/>
    <n v="0"/>
    <n v="2.5274999999999999"/>
    <n v="0"/>
    <n v="0"/>
    <n v="1"/>
    <n v="1011"/>
    <m/>
    <n v="4"/>
    <n v="44"/>
    <n v="0"/>
    <x v="0"/>
    <n v="0.87042532146389717"/>
    <n v="880"/>
    <n v="0.87042532146389717"/>
    <n v="880"/>
    <n v="0"/>
    <n v="0"/>
    <n v="0"/>
    <n v="0.87"/>
    <n v="879.57"/>
    <n v="50.55"/>
    <n v="6"/>
    <s v="Separate, clearly perceived"/>
    <n v="0.59347181008902072"/>
    <n v="600"/>
    <n v="4.1099999999999994"/>
    <n v="0.59"/>
    <n v="596.49"/>
    <n v="0"/>
    <n v="0"/>
    <n v="10.11"/>
    <n v="0"/>
    <s v="Semi-permanent latrines not possible due to rocky land and logisitc issue. 70 latrines have been maintained as pan &amp; pipe contribution and structural mainteance by KBC in Sep 15. All 24 hand washing spaces had out of used."/>
    <d v="2015-02-18T00:00:00"/>
    <d v="2016-02-18T00:00:00"/>
    <n v="198"/>
    <n v="4"/>
    <n v="0"/>
    <n v="1"/>
    <n v="1011"/>
    <x v="2"/>
    <s v="KBC has only 1 time basic HK distribution and no plan of refill HK with ADRA fund until to Feb 16.  "/>
    <n v="1"/>
    <n v="1011"/>
    <n v="2"/>
    <s v="Good coverage"/>
    <n v="0"/>
    <x v="0"/>
    <m/>
  </r>
  <r>
    <x v="17"/>
    <s v="MMR001CMP037"/>
    <x v="9"/>
    <x v="168"/>
    <n v="97.427959999999999"/>
    <n v="25.33351"/>
    <x v="0"/>
    <x v="0"/>
    <n v="42"/>
    <n v="175"/>
    <n v="175"/>
    <x v="1"/>
    <s v="AusAid/OXFAM"/>
    <s v="Shalom"/>
    <x v="3"/>
    <x v="1"/>
    <d v="2016-05-31T00:00:00"/>
    <s v="Focal NGO"/>
    <x v="0"/>
    <n v="0"/>
    <n v="0"/>
    <s v="No"/>
    <n v="2"/>
    <n v="0"/>
    <n v="0"/>
    <n v="0"/>
    <n v="0"/>
    <n v="1"/>
    <n v="175"/>
    <n v="1"/>
    <n v="175"/>
    <n v="1"/>
    <n v="175"/>
    <x v="0"/>
    <n v="0"/>
    <n v="0"/>
    <n v="0"/>
    <n v="0"/>
    <n v="0"/>
    <n v="1"/>
    <n v="175"/>
    <m/>
    <n v="8"/>
    <n v="0"/>
    <n v="10"/>
    <x v="0"/>
    <n v="1"/>
    <n v="175"/>
    <n v="0"/>
    <n v="0"/>
    <n v="1"/>
    <n v="175"/>
    <n v="0"/>
    <n v="1"/>
    <n v="175"/>
    <n v="0"/>
    <n v="4"/>
    <s v="Separate, clearly perceived"/>
    <n v="1"/>
    <n v="175"/>
    <n v="0"/>
    <n v="1"/>
    <n v="175"/>
    <n v="2"/>
    <n v="1"/>
    <n v="0"/>
    <n v="1"/>
    <m/>
    <d v="2015-02-13T00:00:00"/>
    <d v="2016-02-13T00:00:00"/>
    <n v="67"/>
    <n v="5"/>
    <n v="0"/>
    <n v="1"/>
    <n v="175"/>
    <x v="2"/>
    <m/>
    <n v="1"/>
    <n v="175"/>
    <n v="2"/>
    <s v="Excellent coverage"/>
    <n v="0"/>
    <x v="0"/>
    <m/>
  </r>
  <r>
    <x v="17"/>
    <s v="MMR001CMP038"/>
    <x v="9"/>
    <x v="169"/>
    <n v="97.443702000000002"/>
    <n v="25.351241999999999"/>
    <x v="0"/>
    <x v="0"/>
    <n v="85"/>
    <n v="367"/>
    <n v="367"/>
    <x v="0"/>
    <s v="AusAid/OXFAM"/>
    <s v="Shalom"/>
    <x v="3"/>
    <x v="1"/>
    <d v="2016-05-31T00:00:00"/>
    <s v="Focal NGO"/>
    <x v="0"/>
    <n v="0"/>
    <n v="0"/>
    <s v="No"/>
    <n v="4"/>
    <n v="0"/>
    <n v="3000"/>
    <n v="0"/>
    <n v="0"/>
    <n v="1"/>
    <n v="367"/>
    <n v="1"/>
    <n v="367"/>
    <n v="1"/>
    <n v="367"/>
    <x v="0"/>
    <n v="0"/>
    <n v="0"/>
    <n v="0"/>
    <n v="0"/>
    <n v="0"/>
    <n v="1"/>
    <n v="367"/>
    <m/>
    <n v="7"/>
    <n v="0"/>
    <n v="11"/>
    <x v="0"/>
    <n v="0.59945504087193457"/>
    <n v="220"/>
    <n v="0"/>
    <n v="0"/>
    <n v="0.59945504087193457"/>
    <n v="220"/>
    <n v="0"/>
    <n v="1"/>
    <n v="367"/>
    <n v="7.3500000000000014"/>
    <n v="6"/>
    <s v="Separate, clearly perceived"/>
    <n v="1"/>
    <n v="367"/>
    <n v="0"/>
    <n v="1"/>
    <n v="367"/>
    <n v="2"/>
    <n v="0.54495912806539515"/>
    <n v="1.67"/>
    <n v="1"/>
    <s v="shalom has a plan to construct 2 semi-permanent "/>
    <d v="2015-02-13T00:00:00"/>
    <d v="2016-02-13T00:00:00"/>
    <n v="91"/>
    <n v="5"/>
    <n v="0"/>
    <n v="1"/>
    <n v="367"/>
    <x v="2"/>
    <m/>
    <n v="1"/>
    <n v="367"/>
    <n v="2"/>
    <s v="Excellent coverage"/>
    <n v="0"/>
    <x v="1"/>
    <m/>
  </r>
  <r>
    <x v="17"/>
    <s v="MMR001CMP036"/>
    <x v="9"/>
    <x v="170"/>
    <n v="97.438259000000002"/>
    <n v="25.355841999999999"/>
    <x v="2"/>
    <x v="0"/>
    <m/>
    <n v="105"/>
    <n v="105"/>
    <x v="1"/>
    <s v="CIDA/ADRA"/>
    <s v="KBC"/>
    <x v="5"/>
    <x v="1"/>
    <s v="Gap"/>
    <s v="Focal NGO"/>
    <x v="0"/>
    <n v="0"/>
    <n v="0"/>
    <s v="No"/>
    <n v="2"/>
    <n v="0"/>
    <n v="6000"/>
    <n v="0"/>
    <n v="1"/>
    <n v="1"/>
    <n v="105"/>
    <n v="1"/>
    <n v="105"/>
    <n v="1"/>
    <n v="105"/>
    <x v="0"/>
    <n v="0"/>
    <n v="0"/>
    <n v="0"/>
    <n v="0"/>
    <n v="0"/>
    <n v="1"/>
    <n v="105"/>
    <m/>
    <n v="10"/>
    <n v="0"/>
    <n v="16"/>
    <x v="3"/>
    <n v="1"/>
    <n v="105"/>
    <n v="0"/>
    <n v="0"/>
    <n v="1"/>
    <n v="105"/>
    <n v="0"/>
    <n v="1"/>
    <n v="105"/>
    <n v="0"/>
    <n v="1"/>
    <s v="Not separated yet"/>
    <n v="0.95238095238095233"/>
    <n v="100"/>
    <n v="5.0000000000000044E-2"/>
    <n v="0.95"/>
    <n v="99.75"/>
    <n v="0"/>
    <n v="0"/>
    <n v="1.05"/>
    <n v="0"/>
    <s v="old 3 Hand washing had already out of used"/>
    <d v="2015-02-18T00:00:00"/>
    <d v="2016-02-18T00:00:00"/>
    <n v="33"/>
    <n v="4"/>
    <n v="0"/>
    <n v="1"/>
    <n v="105"/>
    <x v="2"/>
    <s v="KBC has only 1 time basic HK distribution and no plan of refill HK with ADRA fund until to Feb 16.  "/>
    <m/>
    <n v="0"/>
    <n v="1"/>
    <s v="Excellent coverage"/>
    <n v="0"/>
    <x v="0"/>
    <m/>
  </r>
  <r>
    <x v="17"/>
    <s v="MMR001CMP116"/>
    <x v="8"/>
    <x v="171"/>
    <n v="97.567116999999996"/>
    <n v="24.768383"/>
    <x v="0"/>
    <x v="1"/>
    <n v="281"/>
    <n v="1534"/>
    <n v="1534"/>
    <x v="3"/>
    <s v="Welthungerhilfe"/>
    <s v="IRRC"/>
    <x v="0"/>
    <x v="0"/>
    <s v="Gap"/>
    <s v="Focal NGO"/>
    <x v="0"/>
    <n v="0"/>
    <n v="0"/>
    <s v="No"/>
    <n v="0"/>
    <n v="0"/>
    <n v="53805"/>
    <n v="0"/>
    <n v="1"/>
    <n v="1"/>
    <n v="1534"/>
    <n v="1"/>
    <n v="1534"/>
    <n v="1"/>
    <n v="1534"/>
    <x v="0"/>
    <n v="0"/>
    <n v="0"/>
    <n v="3.835"/>
    <n v="281"/>
    <n v="0"/>
    <n v="1"/>
    <n v="1534"/>
    <m/>
    <n v="0"/>
    <n v="29"/>
    <n v="53"/>
    <x v="1"/>
    <n v="1"/>
    <n v="1534"/>
    <n v="0.30899608865710559"/>
    <n v="474"/>
    <n v="0.69100391134289441"/>
    <n v="1060"/>
    <n v="0"/>
    <n v="1"/>
    <n v="1534"/>
    <n v="23.700000000000003"/>
    <n v="16"/>
    <s v="Not separated yet"/>
    <n v="1"/>
    <n v="1534"/>
    <n v="0"/>
    <n v="1"/>
    <n v="1534"/>
    <n v="7"/>
    <n v="0.45632333767926986"/>
    <n v="8.34"/>
    <n v="0.46"/>
    <s v="land limited for more semi-permanent latrine construciton and also for other sanitation facilities, they more preferred individual bathin spaces."/>
    <d v="2014-04-01T00:00:00"/>
    <s v="To be realised"/>
    <n v="281"/>
    <n v="13"/>
    <n v="281"/>
    <n v="0"/>
    <n v="0"/>
    <x v="14"/>
    <s v="Metta has distributing refill HK distribution until to May 2016"/>
    <m/>
    <n v="0"/>
    <n v="5"/>
    <s v="Excellent coverage"/>
    <n v="0"/>
    <x v="1"/>
    <m/>
  </r>
  <r>
    <x v="17"/>
    <s v="MMR001CMP116"/>
    <x v="8"/>
    <x v="172"/>
    <n v="97.567116999999996"/>
    <n v="24.768383"/>
    <x v="1"/>
    <x v="1"/>
    <n v="659"/>
    <n v="3541"/>
    <n v="3541"/>
    <x v="2"/>
    <s v="Welthungerhilfe"/>
    <m/>
    <x v="2"/>
    <x v="1"/>
    <s v="Gap"/>
    <s v="Focal NGO"/>
    <x v="0"/>
    <n v="0"/>
    <n v="0"/>
    <s v="No"/>
    <n v="3"/>
    <n v="0"/>
    <n v="70000"/>
    <n v="0"/>
    <n v="1"/>
    <n v="1"/>
    <n v="3541"/>
    <n v="1"/>
    <n v="3541"/>
    <n v="1"/>
    <n v="3541"/>
    <x v="0"/>
    <n v="0"/>
    <n v="0"/>
    <n v="5.8524999999999991"/>
    <n v="659"/>
    <n v="0"/>
    <n v="1"/>
    <n v="3541"/>
    <m/>
    <n v="0"/>
    <n v="0"/>
    <n v="659"/>
    <x v="1"/>
    <n v="1"/>
    <n v="3541"/>
    <n v="0"/>
    <n v="0"/>
    <n v="1"/>
    <n v="3541"/>
    <n v="0"/>
    <n v="1"/>
    <n v="3541"/>
    <n v="0"/>
    <n v="0"/>
    <s v="Not separated yet"/>
    <n v="0"/>
    <n v="0"/>
    <n v="35.409999999999997"/>
    <n v="0"/>
    <n v="0"/>
    <n v="0"/>
    <n v="0"/>
    <n v="35.409999999999997"/>
    <n v="0"/>
    <s v="every host families HH have a latrine"/>
    <d v="2014-04-01T00:00:00"/>
    <s v="To be realised"/>
    <n v="659"/>
    <n v="13"/>
    <n v="659"/>
    <n v="0"/>
    <n v="0"/>
    <x v="14"/>
    <s v="Metta has distributing refill HK distribution until to May 2016"/>
    <m/>
    <n v="0"/>
    <n v="0"/>
    <s v="No coverage"/>
    <n v="0"/>
    <x v="2"/>
    <m/>
  </r>
  <r>
    <x v="17"/>
    <s v="MMR001CMP116"/>
    <x v="8"/>
    <x v="173"/>
    <m/>
    <m/>
    <x v="0"/>
    <x v="1"/>
    <n v="48"/>
    <n v="218"/>
    <n v="218"/>
    <x v="1"/>
    <s v="Welthungerhilfe"/>
    <s v="IRRC"/>
    <x v="2"/>
    <x v="1"/>
    <d v="2015-12-31T00:00:00"/>
    <s v="Focal NGO"/>
    <x v="0"/>
    <n v="0"/>
    <n v="0"/>
    <s v="No"/>
    <n v="0"/>
    <n v="0"/>
    <n v="30240"/>
    <n v="0"/>
    <n v="1"/>
    <n v="1"/>
    <n v="218"/>
    <n v="1"/>
    <n v="218"/>
    <n v="1"/>
    <n v="218"/>
    <x v="0"/>
    <n v="0"/>
    <n v="0"/>
    <n v="0.54500000000000004"/>
    <n v="48"/>
    <n v="0"/>
    <n v="1"/>
    <n v="218"/>
    <m/>
    <n v="4"/>
    <n v="0"/>
    <n v="12"/>
    <x v="1"/>
    <n v="1"/>
    <n v="218"/>
    <n v="0"/>
    <n v="0"/>
    <n v="1"/>
    <n v="218"/>
    <n v="0"/>
    <n v="1"/>
    <n v="218"/>
    <n v="0"/>
    <n v="4"/>
    <s v="Not separated yet"/>
    <n v="1"/>
    <n v="218"/>
    <n v="0"/>
    <n v="1"/>
    <n v="218"/>
    <n v="6"/>
    <n v="1"/>
    <n v="0"/>
    <n v="1"/>
    <m/>
    <d v="2014-04-01T00:00:00"/>
    <s v="To be realised"/>
    <n v="48"/>
    <n v="13"/>
    <n v="48"/>
    <n v="0"/>
    <n v="0"/>
    <x v="14"/>
    <s v="Metta has distributing refill HK distribution until to May 2016"/>
    <n v="1"/>
    <n v="218"/>
    <n v="0"/>
    <s v="No coverage"/>
    <n v="0"/>
    <x v="1"/>
    <m/>
  </r>
  <r>
    <x v="17"/>
    <s v="MMR001CMP111"/>
    <x v="8"/>
    <x v="174"/>
    <n v="97.756789999999995"/>
    <n v="25.106670000000001"/>
    <x v="0"/>
    <x v="1"/>
    <n v="667"/>
    <n v="2586"/>
    <n v="2586"/>
    <x v="2"/>
    <s v="CIDA/ADRA"/>
    <s v="KBC"/>
    <x v="5"/>
    <x v="1"/>
    <s v="Gap"/>
    <s v="Focal NGO"/>
    <x v="0"/>
    <n v="0"/>
    <n v="0"/>
    <s v="No"/>
    <n v="0"/>
    <n v="0"/>
    <n v="40000"/>
    <n v="0"/>
    <n v="0"/>
    <n v="1"/>
    <n v="2586"/>
    <n v="1"/>
    <n v="2586"/>
    <n v="1"/>
    <n v="2586"/>
    <x v="0"/>
    <n v="0"/>
    <n v="0"/>
    <n v="6.4649999999999999"/>
    <n v="0"/>
    <n v="0"/>
    <n v="1"/>
    <n v="2586"/>
    <m/>
    <n v="24"/>
    <n v="160"/>
    <n v="0"/>
    <x v="0"/>
    <n v="1"/>
    <n v="2586"/>
    <n v="1"/>
    <n v="2586"/>
    <n v="0"/>
    <n v="0"/>
    <n v="0"/>
    <n v="1"/>
    <n v="2586"/>
    <n v="129.30000000000001"/>
    <n v="12"/>
    <s v="Separate, clearly perceived"/>
    <n v="0.46403712296983757"/>
    <n v="1200"/>
    <n v="13.86"/>
    <n v="0.46"/>
    <n v="1189.56"/>
    <n v="54"/>
    <n v="1"/>
    <n v="0"/>
    <n v="1"/>
    <s v="Semi-permanent latrines not possible due to rocky land and logisitc issue. 250 latrines have been maintained as pan &amp; pipe contribution and structural mainteance by KBC in Sep 15. All 54 hand washing spaces had out of used."/>
    <d v="2015-02-18T00:00:00"/>
    <d v="2016-02-18T00:00:00"/>
    <n v="646"/>
    <n v="4"/>
    <n v="21"/>
    <n v="0.96851574212893554"/>
    <n v="2504.5817091454273"/>
    <x v="2"/>
    <s v="KBC has only 1 time basic HK distribution and no plan of refill HK with ADRA fund until to Feb 16.  "/>
    <m/>
    <n v="0"/>
    <n v="2"/>
    <s v="Low coverage"/>
    <n v="0"/>
    <x v="2"/>
    <m/>
  </r>
</pivotCacheRecords>
</file>

<file path=xl/pivotCache/pivotCacheRecords2.xml><?xml version="1.0" encoding="utf-8"?>
<pivotCacheRecords xmlns="http://schemas.openxmlformats.org/spreadsheetml/2006/main" xmlns:r="http://schemas.openxmlformats.org/officeDocument/2006/relationships" count="177">
  <r>
    <x v="0"/>
    <s v="MMR001CMP050"/>
    <s v="Cluster 4"/>
    <s v="AD-2000 Extension camp"/>
    <n v="97.243579999999994"/>
    <n v="24.260120000000001"/>
    <s v="Camp"/>
    <s v="GCA"/>
    <n v="83"/>
    <n v="434"/>
    <n v="434"/>
    <s v="2. Medium"/>
    <s v="UNICEF"/>
    <s v="KMSS"/>
    <x v="0"/>
    <s v="Not covered"/>
    <x v="0"/>
  </r>
  <r>
    <x v="0"/>
    <s v="MMR001CMP050"/>
    <s v="Cluster 4"/>
    <s v="AD-2000 Tharthana Compound*"/>
    <n v="97.238829999999993"/>
    <n v="24.260719999999999"/>
    <s v="Camp"/>
    <s v="GCA"/>
    <n v="210"/>
    <n v="965"/>
    <n v="965"/>
    <s v="2. Medium"/>
    <s v="UNICEF"/>
    <s v="KMSS"/>
    <x v="1"/>
    <s v="Covered"/>
    <x v="1"/>
  </r>
  <r>
    <x v="0"/>
    <s v="MMR001CMP194"/>
    <s v="Cluster 4"/>
    <s v="Aung Thar Church"/>
    <n v="97.252650000000003"/>
    <n v="24.260466999999998"/>
    <s v="Camp"/>
    <s v="GCA"/>
    <n v="13"/>
    <n v="58"/>
    <n v="58"/>
    <s v="1. Small"/>
    <s v="HIDA, WHH"/>
    <s v="KBC"/>
    <x v="2"/>
    <s v="Covered"/>
    <x v="0"/>
  </r>
  <r>
    <x v="0"/>
    <s v="MMR001CMP163"/>
    <s v="Cluster 4"/>
    <s v="Bhamo Host Families"/>
    <n v="97.228769999999997"/>
    <n v="24.26502"/>
    <s v="Village"/>
    <s v="GCA"/>
    <n v="216"/>
    <n v="965"/>
    <n v="965"/>
    <s v="2. Medium"/>
    <s v="ECHO"/>
    <m/>
    <x v="0"/>
    <s v="Not covered"/>
    <x v="0"/>
  </r>
  <r>
    <x v="0"/>
    <s v="MMR001CMP052"/>
    <s v="Cluster 4"/>
    <s v="Htoi San Church*"/>
    <n v="97.236919999999998"/>
    <n v="24.24766"/>
    <s v="Camp"/>
    <s v="GCA"/>
    <n v="45"/>
    <n v="241"/>
    <n v="241"/>
    <s v="1. Small"/>
    <s v="HIDA, WHH"/>
    <s v="KBC"/>
    <x v="2"/>
    <s v="Covered"/>
    <x v="2"/>
  </r>
  <r>
    <x v="0"/>
    <s v="MMR001CMP049"/>
    <s v="Cluster 4"/>
    <s v="Lisu Boarding-House"/>
    <n v="97.241630000000001"/>
    <n v="24.266110000000001"/>
    <s v="Camp"/>
    <s v="GCA"/>
    <n v="91"/>
    <n v="641"/>
    <n v="641"/>
    <s v="2. Medium"/>
    <s v="HIDA, WHH"/>
    <s v="Shalom"/>
    <x v="2"/>
    <s v="Covered"/>
    <x v="1"/>
  </r>
  <r>
    <x v="0"/>
    <s v="MMR001CMP051"/>
    <s v="Cluster 4"/>
    <s v="Mu-yin Baptist Church"/>
    <n v="97.234200000000001"/>
    <n v="24.253067000000001"/>
    <s v="Camp"/>
    <s v="GCA"/>
    <n v="21"/>
    <n v="96"/>
    <n v="93"/>
    <s v="1. Small"/>
    <s v="HIDA, WHH"/>
    <s v="Shalom"/>
    <x v="2"/>
    <s v="Covered"/>
    <x v="1"/>
  </r>
  <r>
    <x v="0"/>
    <s v="MMR001CMP054"/>
    <s v="Cluster 4"/>
    <s v="Nant Hlaing Church"/>
    <n v="97.315860000000001"/>
    <n v="24.32638"/>
    <s v="Camp"/>
    <s v="GCA"/>
    <n v="22"/>
    <n v="123"/>
    <n v="123"/>
    <s v="1. Small"/>
    <s v="HIDA, WHH"/>
    <s v="KMSS"/>
    <x v="2"/>
    <s v="Covered"/>
    <x v="1"/>
  </r>
  <r>
    <x v="0"/>
    <s v="MMR001CMP193"/>
    <s v="Cluster 4"/>
    <s v="Phan Khar Kone*"/>
    <n v="97.252650000000003"/>
    <n v="24.222349999999999"/>
    <s v="Camp"/>
    <s v="GCA"/>
    <n v="157"/>
    <n v="749"/>
    <n v="749"/>
    <s v="2. Medium"/>
    <s v="UNICEF"/>
    <s v="KBC"/>
    <x v="0"/>
    <s v="Not covered"/>
    <x v="0"/>
  </r>
  <r>
    <x v="0"/>
    <s v="MMR001CMP047"/>
    <s v="Cluster 4"/>
    <s v="Robert Church*"/>
    <n v="97.228769999999997"/>
    <n v="24.26502"/>
    <s v="Camp"/>
    <s v="GCA"/>
    <n v="626"/>
    <n v="3781"/>
    <n v="3781"/>
    <s v="4. Big"/>
    <s v="UNICEF"/>
    <s v="KBC"/>
    <x v="0"/>
    <s v="Not covered"/>
    <x v="0"/>
  </r>
  <r>
    <x v="0"/>
    <s v="MMR001CMP055"/>
    <s v="Cluster 4"/>
    <s v="Ta Gun Taing Monastery (Shwe Kyi Na)"/>
    <n v="97.227789999999999"/>
    <n v="24.29138"/>
    <s v="Camp"/>
    <s v="GCA"/>
    <n v="27"/>
    <n v="111"/>
    <n v="111"/>
    <s v="1. Small"/>
    <s v="UNICEF"/>
    <s v="Shalom"/>
    <x v="0"/>
    <s v="Not covered"/>
    <x v="0"/>
  </r>
  <r>
    <x v="0"/>
    <s v="MMR001CMP053"/>
    <s v="Cluster 4"/>
    <s v="Yoe Kyi Monastery"/>
    <n v="97.246889999999993"/>
    <n v="24.244129999999998"/>
    <s v="Camp"/>
    <s v="GCA"/>
    <n v="16"/>
    <n v="75"/>
    <n v="75"/>
    <s v="1. Small"/>
    <s v="HIDA, WHH"/>
    <s v="Shalom"/>
    <x v="2"/>
    <s v="Covered"/>
    <x v="1"/>
  </r>
  <r>
    <x v="1"/>
    <m/>
    <s v="Cluster 10"/>
    <s v="Chipwi (School coumpound)"/>
    <n v="98.134313888888897"/>
    <n v="25.8873472222222"/>
    <s v="School"/>
    <s v="GCA"/>
    <n v="0"/>
    <n v="45"/>
    <n v="45"/>
    <s v="1. Small"/>
    <s v="DFID/Trocaires"/>
    <s v="KMSS"/>
    <x v="0"/>
    <s v="Not covered"/>
    <x v="0"/>
  </r>
  <r>
    <x v="1"/>
    <s v="MMR001CMP042"/>
    <s v="Cluster 10"/>
    <s v="Chipwi KBC camp"/>
    <n v="98.131264999999999"/>
    <n v="25.885922999999998"/>
    <s v="Camp"/>
    <s v="GCA"/>
    <n v="118"/>
    <n v="518"/>
    <n v="518"/>
    <s v="2. Medium"/>
    <s v="AusAid/OXFAM"/>
    <s v="Shalom"/>
    <x v="3"/>
    <s v="Covered"/>
    <x v="3"/>
  </r>
  <r>
    <x v="1"/>
    <s v="MMR001CMP043"/>
    <s v="Cluster 10"/>
    <s v="Hpare Hkyer - BP6"/>
    <n v="98.475719999999995"/>
    <n v="25.754110000000001"/>
    <s v="Camp"/>
    <s v="NGCA"/>
    <n v="155"/>
    <n v="873"/>
    <n v="873"/>
    <s v="2. Medium"/>
    <s v="CIDA/ADRA"/>
    <s v="KBC"/>
    <x v="0"/>
    <s v="Not covered"/>
    <x v="0"/>
  </r>
  <r>
    <x v="1"/>
    <s v="MMR001CMP195"/>
    <s v="Cluster 10"/>
    <s v="Lhaovao Baptist Church (LBC)"/>
    <m/>
    <m/>
    <s v="Camp"/>
    <s v="GCA"/>
    <n v="139"/>
    <n v="640"/>
    <n v="640"/>
    <s v="2. Medium"/>
    <s v="AusAid/OXFAM"/>
    <s v="Shalom"/>
    <x v="3"/>
    <s v="Covered"/>
    <x v="2"/>
  </r>
  <r>
    <x v="1"/>
    <s v="MMR001CMP210"/>
    <s v="Cluster 10"/>
    <s v="Pan Wa"/>
    <n v="98.376824999999997"/>
    <n v="25.598251999999999"/>
    <s v="Camp"/>
    <s v="GCA"/>
    <n v="68"/>
    <n v="323"/>
    <n v="323"/>
    <s v="2. Medium"/>
    <s v="DFID/Trocaires"/>
    <s v="KMSS"/>
    <x v="4"/>
    <s v="Covered"/>
    <x v="0"/>
  </r>
  <r>
    <x v="1"/>
    <s v="MMR001CMP225"/>
    <s v="Cluster 10"/>
    <s v="Pan Wa (Saw Zam) camp "/>
    <n v="98.356405555555497"/>
    <n v="25.645869444444401"/>
    <s v="Camp"/>
    <s v="GCA"/>
    <n v="30"/>
    <n v="165"/>
    <n v="165"/>
    <s v="1. Small"/>
    <s v="DFID/Trocaires"/>
    <s v="KMSS"/>
    <x v="4"/>
    <s v="Covered"/>
    <x v="2"/>
  </r>
  <r>
    <x v="2"/>
    <s v="MMR001CMP179"/>
    <s v="Cluster 1"/>
    <s v="5 Ward Baptist Church(lon Khin)"/>
    <n v="96.355270000000004"/>
    <n v="25.656130000000001"/>
    <s v="Camp"/>
    <s v="GCA"/>
    <n v="77"/>
    <n v="380"/>
    <n v="380"/>
    <s v="2. Medium"/>
    <s v="UNICEF"/>
    <s v="Shalom"/>
    <x v="3"/>
    <s v="Covered"/>
    <x v="0"/>
  </r>
  <r>
    <x v="2"/>
    <s v="MMR001CMP168"/>
    <s v="Cluster 1"/>
    <s v="5 Ward RC Church(lon Khin)"/>
    <n v="96.353070000000002"/>
    <n v="25.655819999999999"/>
    <s v="Camp"/>
    <s v="GCA"/>
    <n v="83"/>
    <n v="425"/>
    <n v="425"/>
    <s v="2. Medium"/>
    <s v="DFID/Trocaires"/>
    <s v="KMSS"/>
    <x v="4"/>
    <s v="Covered"/>
    <x v="0"/>
  </r>
  <r>
    <x v="2"/>
    <s v="MMR001CMP176"/>
    <s v="Cluster 1"/>
    <s v="AG Church, Hmaw Si Sa"/>
    <n v="96.345569999999995"/>
    <n v="25.635300000000001"/>
    <s v="Camp"/>
    <s v="GCA"/>
    <n v="67"/>
    <n v="350"/>
    <n v="350"/>
    <s v="2. Medium"/>
    <s v="UNICEF"/>
    <s v="Shalom"/>
    <x v="3"/>
    <s v="Covered"/>
    <x v="0"/>
  </r>
  <r>
    <x v="2"/>
    <s v="MMR001CMP190"/>
    <s v="Cluster 1"/>
    <s v="AG Church, Maw Wan"/>
    <n v="96.317350000000005"/>
    <n v="25.616509000000001"/>
    <s v="Camp"/>
    <s v="GCA"/>
    <n v="14"/>
    <n v="83"/>
    <n v="83"/>
    <s v="1. Small"/>
    <s v="UNICEF"/>
    <s v="Shalom"/>
    <x v="3"/>
    <s v="Covered"/>
    <x v="0"/>
  </r>
  <r>
    <x v="2"/>
    <s v="MMR001CMP169"/>
    <s v="Cluster 1"/>
    <s v="Baptist Church, Hmaw Si Sar(Lon Khin)"/>
    <n v="96.346469999999997"/>
    <n v="25.647649999999999"/>
    <s v="Camp"/>
    <s v="GCA"/>
    <n v="35"/>
    <n v="216"/>
    <n v="216"/>
    <s v="1. Small"/>
    <s v="UNICEF"/>
    <s v="Shalom"/>
    <x v="3"/>
    <s v="Covered"/>
    <x v="0"/>
  </r>
  <r>
    <x v="2"/>
    <s v="MMR001CMP172"/>
    <s v="Cluster 1"/>
    <s v="Baptist Church, Sai Ra village"/>
    <n v="96.353070000000002"/>
    <n v="25.668469999999999"/>
    <s v="Camp"/>
    <s v="GCA"/>
    <n v="1"/>
    <n v="2"/>
    <n v="2"/>
    <s v="1. Small"/>
    <s v="UNICEF"/>
    <s v="Shalom"/>
    <x v="3"/>
    <s v="Covered"/>
    <x v="0"/>
  </r>
  <r>
    <x v="2"/>
    <s v="MMR001CMP109"/>
    <s v="Cluster 1"/>
    <s v="Chin Church, Seik Mu"/>
    <n v="96.283377000000002"/>
    <n v="25.582065"/>
    <s v="Camp"/>
    <s v="GCA"/>
    <n v="6"/>
    <n v="30"/>
    <n v="30"/>
    <s v="1. Small"/>
    <s v="UNICEF"/>
    <s v="Shalom"/>
    <x v="3"/>
    <s v="Covered"/>
    <x v="0"/>
  </r>
  <r>
    <x v="2"/>
    <s v="MMR001CMP174"/>
    <s v="Cluster 1"/>
    <s v="Dhama Rakhita, Nyein Chan Tar Yar Ward(Lon Khin)"/>
    <n v="96.354929999999996"/>
    <n v="25.643090000000001"/>
    <s v="Camp"/>
    <s v="GCA"/>
    <n v="65"/>
    <n v="347"/>
    <n v="347"/>
    <s v="2. Medium"/>
    <s v="UNICEF"/>
    <s v="Shalom"/>
    <x v="3"/>
    <s v="Covered"/>
    <x v="3"/>
  </r>
  <r>
    <x v="2"/>
    <s v="MMR001CMP148"/>
    <s v="Cluster 1"/>
    <s v="Hlaing Naung Baptist"/>
    <n v="96.705960000000005"/>
    <n v="25.51352"/>
    <s v="Camp"/>
    <s v="GCA"/>
    <n v="20"/>
    <n v="64"/>
    <n v="64"/>
    <s v="1. Small"/>
    <s v="CIDA/ADRA"/>
    <s v="KBC"/>
    <x v="5"/>
    <s v="Covered"/>
    <x v="0"/>
  </r>
  <r>
    <x v="2"/>
    <s v="MMR001CMP191"/>
    <s v="Cluster 1"/>
    <s v="Hmaw Wan, Anglican"/>
    <n v="96.316564"/>
    <n v="25.615960999999999"/>
    <s v="Camp"/>
    <s v="GCA"/>
    <n v="13"/>
    <n v="75"/>
    <n v="75"/>
    <s v="1. Small"/>
    <s v="UNICEF"/>
    <s v="Shalom"/>
    <x v="3"/>
    <s v="Covered"/>
    <x v="0"/>
  </r>
  <r>
    <x v="2"/>
    <s v="MMR001CMP229"/>
    <s v="Cluster 1"/>
    <s v="Hpakant Baptist Church, Nam Ma Hpit"/>
    <n v="96.312790000000007"/>
    <n v="25.611160000000002"/>
    <s v="Camp"/>
    <s v="GCA"/>
    <n v="114"/>
    <n v="520"/>
    <n v="520"/>
    <s v="2. Medium"/>
    <s v="UNICEF"/>
    <s v="Shalom"/>
    <x v="3"/>
    <s v="Covered"/>
    <x v="0"/>
  </r>
  <r>
    <x v="2"/>
    <s v="MMR001CMP231"/>
    <s v="Cluster 1"/>
    <s v="Ku Day Maw KBC"/>
    <n v="96.341520000000003"/>
    <n v="25.655280000000001"/>
    <s v="Camp"/>
    <s v="GCA"/>
    <n v="50"/>
    <n v="233"/>
    <n v="233"/>
    <s v="1. Small"/>
    <s v="UNICEF"/>
    <m/>
    <x v="3"/>
    <s v="Covered"/>
    <x v="0"/>
  </r>
  <r>
    <x v="2"/>
    <s v="MMR001CMP181"/>
    <s v="Cluster 1"/>
    <s v="Lisu Baptist Church, Maw Shan Vil,. Seik Mu"/>
    <n v="96.269199999999998"/>
    <n v="25.566510000000001"/>
    <s v="Camp"/>
    <s v="GCA"/>
    <n v="25"/>
    <n v="133"/>
    <n v="133"/>
    <s v="1. Small"/>
    <s v="UNICEF"/>
    <s v="Shalom"/>
    <x v="3"/>
    <s v="Covered"/>
    <x v="0"/>
  </r>
  <r>
    <x v="2"/>
    <s v="MMR001CMP167"/>
    <s v="Cluster 1"/>
    <s v="Lisu Baptist Church, Maw Wan Ward"/>
    <n v="96.316400000000002"/>
    <n v="25.61842"/>
    <s v="Camp"/>
    <s v="GCA"/>
    <n v="15"/>
    <n v="74"/>
    <n v="74"/>
    <s v="1. Small"/>
    <s v="UNICEF"/>
    <s v="Shalom"/>
    <x v="3"/>
    <s v="Covered"/>
    <x v="0"/>
  </r>
  <r>
    <x v="2"/>
    <s v="MMR001CMP091"/>
    <s v="Cluster 1"/>
    <s v="Maw Wan, Mu-yin Baptist Church"/>
    <n v="96.319687999999999"/>
    <n v="25.615202"/>
    <s v="Camp"/>
    <s v="GCA"/>
    <n v="5"/>
    <n v="26"/>
    <n v="26"/>
    <s v="1. Small"/>
    <s v="UNICEF"/>
    <s v="Shalom"/>
    <x v="3"/>
    <s v="Covered"/>
    <x v="2"/>
  </r>
  <r>
    <x v="2"/>
    <s v="MMR001CMP192"/>
    <s v="Cluster 1"/>
    <s v="Nam Ma Phyit, COC"/>
    <n v="96.339590000000001"/>
    <n v="25.617998"/>
    <s v="Camp"/>
    <s v="GCA"/>
    <n v="17"/>
    <n v="64"/>
    <n v="64"/>
    <s v="1. Small"/>
    <s v="UNICEF"/>
    <s v="Shalom"/>
    <x v="3"/>
    <s v="Covered"/>
    <x v="0"/>
  </r>
  <r>
    <x v="2"/>
    <s v="MMR001CMP103"/>
    <s v="Cluster 1"/>
    <s v="Nant Ma Hpit Catholic Church"/>
    <n v="96.341352999999998"/>
    <n v="25.613894999999999"/>
    <s v="Camp"/>
    <s v="GCA"/>
    <n v="55"/>
    <n v="272"/>
    <n v="272"/>
    <s v="2. Medium"/>
    <s v="DFID/Trocaires"/>
    <s v="KMSS"/>
    <x v="4"/>
    <s v="Covered"/>
    <x v="0"/>
  </r>
  <r>
    <x v="2"/>
    <s v="MMR001CMP182"/>
    <s v="Cluster 1"/>
    <s v="Rawan Baptist Church, Maw Shan Vil., Seik Mu"/>
    <n v="96.279200000000003"/>
    <n v="25.56551"/>
    <s v="Camp"/>
    <s v="GCA"/>
    <n v="10"/>
    <n v="39"/>
    <n v="39"/>
    <s v="1. Small"/>
    <s v="UNICEF"/>
    <s v="Shalom"/>
    <x v="3"/>
    <s v="Covered"/>
    <x v="0"/>
  </r>
  <r>
    <x v="2"/>
    <s v="MMR001CMP183"/>
    <s v="Cluster 1"/>
    <s v="Sai Nai Baptish Church, Maw Shan Vil., Seki Mu"/>
    <n v="96.353030000000004"/>
    <n v="25.668399999999998"/>
    <s v="Camp"/>
    <s v="GCA"/>
    <n v="8"/>
    <n v="40"/>
    <n v="40"/>
    <s v="1. Small"/>
    <s v="UNICEF"/>
    <s v="Shalom"/>
    <x v="3"/>
    <s v="Covered"/>
    <x v="0"/>
  </r>
  <r>
    <x v="2"/>
    <s v="MMR001CMP184"/>
    <s v="Cluster 1"/>
    <s v="Ward 2 Sai Taung Baptist Church, Seik Mu "/>
    <n v="96.286680000000004"/>
    <n v="25.577559999999998"/>
    <s v="Camp"/>
    <s v="GCA"/>
    <n v="41"/>
    <n v="199"/>
    <n v="199"/>
    <s v="1. Small"/>
    <s v="UNICEF"/>
    <s v="Shalom"/>
    <x v="3"/>
    <s v="Covered"/>
    <x v="0"/>
  </r>
  <r>
    <x v="2"/>
    <s v="MMR001CMP105"/>
    <s v="Cluster 1"/>
    <s v="Yumar Baptist Church"/>
    <n v="96.306910999999999"/>
    <n v="25.599250000000001"/>
    <s v="Camp"/>
    <s v="GCA"/>
    <n v="21"/>
    <n v="77"/>
    <n v="77"/>
    <s v="1. Small"/>
    <s v="UNICEF"/>
    <s v="Shalom"/>
    <x v="3"/>
    <s v="Covered"/>
    <x v="3"/>
  </r>
  <r>
    <x v="3"/>
    <s v="MMR015CMP218"/>
    <s v="Cluster 8"/>
    <s v="Nam Sa Larp"/>
    <m/>
    <m/>
    <s v="Camp"/>
    <s v="GCA"/>
    <n v="44"/>
    <n v="223"/>
    <n v="223"/>
    <s v="1. Small"/>
    <s v="FCA/HIDA/WHH"/>
    <s v="KBC"/>
    <x v="2"/>
    <s v="Covered"/>
    <x v="4"/>
  </r>
  <r>
    <x v="3"/>
    <s v="MMR015CMP019"/>
    <s v="Cluster 8"/>
    <s v="Narte"/>
    <n v="98.128"/>
    <n v="23.24"/>
    <s v="Camp"/>
    <s v="GCA"/>
    <n v="42"/>
    <n v="258"/>
    <n v="258"/>
    <s v="1. Small"/>
    <s v="FCA/HIDA/WHH"/>
    <s v="Church"/>
    <x v="2"/>
    <s v="Covered"/>
    <x v="5"/>
  </r>
  <r>
    <x v="4"/>
    <s v="MMR001CMP074"/>
    <s v="Cluster 10"/>
    <s v="La Ja"/>
    <n v="98.144502500000002"/>
    <n v="26.890058"/>
    <s v="Camp"/>
    <s v="GCA"/>
    <n v="11"/>
    <n v="17"/>
    <n v="17"/>
    <s v="1. Small"/>
    <m/>
    <m/>
    <x v="0"/>
    <s v="Not covered"/>
    <x v="3"/>
  </r>
  <r>
    <x v="5"/>
    <s v="MMR015CMP015"/>
    <s v="Cluster 8"/>
    <s v="Kone Khem Camp"/>
    <n v="97.848529999999997"/>
    <n v="23.4008"/>
    <s v="Camp"/>
    <s v="GCA"/>
    <n v="86"/>
    <n v="468"/>
    <n v="468"/>
    <s v="2. Medium"/>
    <s v="FCA/HIDA/WHH"/>
    <s v="KBC"/>
    <x v="0"/>
    <s v="Not covered"/>
    <x v="0"/>
  </r>
  <r>
    <x v="5"/>
    <s v="MMR015CMP016"/>
    <s v="Cluster 8"/>
    <s v="Kutkai downtown (KBC Church)"/>
    <n v="97.926813999999993"/>
    <n v="23.450914000000001"/>
    <s v="Camp"/>
    <s v="GCA"/>
    <n v="64"/>
    <n v="305"/>
    <n v="305"/>
    <s v="2. Medium"/>
    <s v="FCA/HIDA/WHH"/>
    <s v="KBC"/>
    <x v="2"/>
    <s v="Covered"/>
    <x v="5"/>
  </r>
  <r>
    <x v="5"/>
    <s v="MMR015CMP017"/>
    <s v="Cluster 8"/>
    <s v="Kutkai downtown (RC Church)"/>
    <n v="97.947360000000003"/>
    <n v="23.460349999999998"/>
    <s v="Camp"/>
    <s v="GCA"/>
    <n v="31"/>
    <n v="142"/>
    <n v="142"/>
    <s v="1. Small"/>
    <s v="Trocaires"/>
    <s v="KMSS"/>
    <x v="0"/>
    <s v="Not covered"/>
    <x v="0"/>
  </r>
  <r>
    <x v="5"/>
    <s v="MMR015CMP018"/>
    <s v="Cluster 8"/>
    <s v="Mine Yu Lay village"/>
    <n v="97.793306999999999"/>
    <n v="23.589089000000001"/>
    <s v="Camp"/>
    <s v="GCA"/>
    <n v="77"/>
    <n v="363"/>
    <n v="363"/>
    <s v="2. Medium"/>
    <s v="FCA/HIDA/WHH"/>
    <s v="KBC"/>
    <x v="0"/>
    <s v="Not covered"/>
    <x v="0"/>
  </r>
  <r>
    <x v="5"/>
    <s v="MMR015CMP006"/>
    <s v="Cluster 8"/>
    <s v="Mungji Pa Dabang (Baptist Church)         "/>
    <n v="98.220614999999995"/>
    <n v="23.400155999999999"/>
    <s v="Camp"/>
    <s v="GCA"/>
    <n v="51"/>
    <n v="251"/>
    <n v="251"/>
    <s v="2. Medium"/>
    <s v="FCA/HIDA/WHH"/>
    <s v="KBC"/>
    <x v="0"/>
    <s v="Not covered"/>
    <x v="0"/>
  </r>
  <r>
    <x v="5"/>
    <s v="MMR015CMP019"/>
    <s v="Cluster 8"/>
    <s v="Mungji Pa Dabang (RC Church)         "/>
    <n v="98.213958000000005"/>
    <n v="23.391741"/>
    <s v="Camp"/>
    <s v="GCA"/>
    <n v="23"/>
    <n v="107"/>
    <n v="107"/>
    <s v="1. Small"/>
    <s v="Trocaires"/>
    <s v="KMSS"/>
    <x v="0"/>
    <s v="Not covered"/>
    <x v="0"/>
  </r>
  <r>
    <x v="5"/>
    <s v="MMR015CMP019"/>
    <s v="Cluster 8"/>
    <s v="Nam Hpak Ka Mare "/>
    <n v="97.819062000000002"/>
    <n v="23.694047000000001"/>
    <s v="Camp"/>
    <s v="GCA"/>
    <n v="70"/>
    <n v="273"/>
    <n v="273"/>
    <s v="2. Medium"/>
    <s v="FCA/HIDA/WHH"/>
    <s v="KBC"/>
    <x v="0"/>
    <s v="Not covered"/>
    <x v="0"/>
  </r>
  <r>
    <x v="5"/>
    <m/>
    <s v="Cluster 8"/>
    <s v="Pan Ku"/>
    <n v="97.875889999999998"/>
    <n v="23.44744"/>
    <s v="Camp"/>
    <s v="GCA"/>
    <n v="105"/>
    <n v="481"/>
    <n v="481"/>
    <s v="2. Medium"/>
    <s v="FCA/HIDA/WHH"/>
    <m/>
    <x v="2"/>
    <s v="Covered"/>
    <x v="2"/>
  </r>
  <r>
    <x v="5"/>
    <s v="MMR015CMP019"/>
    <s v="Cluster 8"/>
    <s v="Zup Aung Camp"/>
    <n v="97.837040000000002"/>
    <n v="23.38503"/>
    <s v="Camp"/>
    <s v="GCA"/>
    <n v="178"/>
    <n v="846"/>
    <n v="826"/>
    <s v="2. Medium"/>
    <s v="FCA/HIDA/WHH"/>
    <s v="KBC"/>
    <x v="2"/>
    <s v="Covered"/>
    <x v="5"/>
  </r>
  <r>
    <x v="6"/>
    <s v="MMR001CMP129"/>
    <s v="Cluster 6"/>
    <s v="Bum Tsit Pa * (1)"/>
    <n v="97.609832999999995"/>
    <n v="24.002433"/>
    <s v="Camp"/>
    <s v="NGCA"/>
    <n v="169"/>
    <n v="742"/>
    <n v="742"/>
    <s v="2. Medium"/>
    <s v="SCI"/>
    <s v="KMSS"/>
    <x v="0"/>
    <s v="Not covered"/>
    <x v="0"/>
  </r>
  <r>
    <x v="6"/>
    <s v="MMR001CMP202"/>
    <s v="Cluster 6"/>
    <s v="Bum Tsit Pa * (2)"/>
    <n v="97.609832999999995"/>
    <n v="24.002433"/>
    <s v="Camp"/>
    <s v="NGCA"/>
    <n v="207"/>
    <n v="878"/>
    <n v="878"/>
    <s v="2. Medium"/>
    <s v="SCI"/>
    <s v="KMSS- Lashio"/>
    <x v="0"/>
    <s v="Not covered"/>
    <x v="0"/>
  </r>
  <r>
    <x v="6"/>
    <s v="MMR001CMP129"/>
    <s v="Cluster 6"/>
    <s v="Bum Tsit Pa * (3)"/>
    <n v="97.602490000000003"/>
    <n v="24.000039999999998"/>
    <s v="Camp"/>
    <s v="NGCA"/>
    <n v="53"/>
    <n v="201"/>
    <n v="201"/>
    <s v="2. Medium"/>
    <m/>
    <m/>
    <x v="0"/>
    <s v="Not covered"/>
    <x v="0"/>
  </r>
  <r>
    <x v="6"/>
    <s v="MMR001CMP230"/>
    <s v="Cluster 7"/>
    <s v="Clutural Compound"/>
    <n v="97.590767"/>
    <n v="23.829599000000002"/>
    <s v="Camp"/>
    <s v="GCA"/>
    <n v="114"/>
    <n v="499"/>
    <n v="499"/>
    <s v="2. Medium"/>
    <s v="FCA/HIDA/WHH"/>
    <s v="KBC"/>
    <x v="2"/>
    <s v="Covered"/>
    <x v="5"/>
  </r>
  <r>
    <x v="6"/>
    <s v="MMR001CMP128"/>
    <s v="Cluster 6"/>
    <s v="Lana Zup Ja *"/>
    <n v="97.625617000000005"/>
    <n v="24.056132999999999"/>
    <s v="Camp"/>
    <s v="NGCA"/>
    <n v="545"/>
    <n v="2561"/>
    <n v="2561"/>
    <s v="4. Big"/>
    <s v="SCI"/>
    <s v="KMSS"/>
    <x v="0"/>
    <s v="Not covered"/>
    <x v="0"/>
  </r>
  <r>
    <x v="6"/>
    <s v="MMR001CMP212"/>
    <s v="Cluster 6"/>
    <s v="Maing Khaung Baptist Church"/>
    <n v="97.710989999999995"/>
    <n v="24.181640000000002"/>
    <s v="Camp"/>
    <s v="GCA"/>
    <n v="367"/>
    <n v="1430"/>
    <n v="1430"/>
    <s v="3. Large"/>
    <s v="ECHO"/>
    <s v="KBC"/>
    <x v="0"/>
    <s v="Not covered"/>
    <x v="0"/>
  </r>
  <r>
    <x v="6"/>
    <s v="MMR001CMP213"/>
    <s v="Cluster 6"/>
    <s v="Maing Khaung Catholic Church"/>
    <n v="97.710989999999995"/>
    <n v="24.181640000000002"/>
    <s v="Camp"/>
    <s v="GCA"/>
    <n v="129"/>
    <n v="598"/>
    <n v="598"/>
    <s v="2. Medium"/>
    <s v="ECHO"/>
    <s v="KMSS"/>
    <x v="0"/>
    <s v="Not covered"/>
    <x v="0"/>
  </r>
  <r>
    <x v="6"/>
    <s v="MMR001CMP133"/>
    <s v="Cluster 7"/>
    <s v="Man Wing Baptist Church*"/>
    <n v="97.587900000000005"/>
    <n v="23.83"/>
    <s v="Camp"/>
    <s v="GCA"/>
    <n v="115"/>
    <n v="680"/>
    <n v="680"/>
    <s v="2. Medium"/>
    <s v="ECHO"/>
    <s v="KBC"/>
    <x v="6"/>
    <s v="Covered"/>
    <x v="5"/>
  </r>
  <r>
    <x v="6"/>
    <s v="MMR001CMP132"/>
    <s v="Cluster 7"/>
    <s v="Man Wing Catholic Church*"/>
    <n v="97.596000000000004"/>
    <n v="23.831"/>
    <s v="Camp"/>
    <s v="GCA"/>
    <n v="506"/>
    <n v="2374"/>
    <n v="2101"/>
    <s v="4. Big"/>
    <s v="ECHO"/>
    <s v="KMSS"/>
    <x v="6"/>
    <s v="Covered"/>
    <x v="5"/>
  </r>
  <r>
    <x v="6"/>
    <s v="MMR001CMP066"/>
    <s v="Cluster 4"/>
    <s v="Mansi Baptist Church*"/>
    <n v="97.291820000000001"/>
    <n v="24.129059999999999"/>
    <s v="Camp"/>
    <s v="GCA"/>
    <n v="150"/>
    <n v="696"/>
    <n v="696"/>
    <s v="2. Medium"/>
    <s v="HIDA, WHH"/>
    <s v="KBC"/>
    <x v="2"/>
    <s v="Covered"/>
    <x v="1"/>
  </r>
  <r>
    <x v="6"/>
    <s v="MMR001CMP196"/>
    <s v="Cluster 4"/>
    <s v="Mansi Host Families"/>
    <n v="97.291820000000001"/>
    <n v="24.129059999999999"/>
    <s v="Village"/>
    <s v="GCA"/>
    <n v="135"/>
    <n v="499"/>
    <n v="499"/>
    <s v="2. Medium"/>
    <m/>
    <s v="KBC"/>
    <x v="0"/>
    <s v="Not covered"/>
    <x v="0"/>
  </r>
  <r>
    <x v="6"/>
    <s v="MMR001CMP228"/>
    <s v="Cluster 7"/>
    <s v="MWG -RC2"/>
    <n v="97.577347000000003"/>
    <n v="23.836462999999998"/>
    <s v="Camp"/>
    <s v="GCA"/>
    <n v="121"/>
    <n v="549"/>
    <n v="549"/>
    <s v="2. Medium"/>
    <s v="ECHO"/>
    <s v="KMSS"/>
    <x v="6"/>
    <s v="Covered"/>
    <x v="5"/>
  </r>
  <r>
    <x v="7"/>
    <m/>
    <s v="Cluster 9"/>
    <s v="(Nam Hoi) Host families"/>
    <m/>
    <m/>
    <s v="Village"/>
    <s v="NGCA"/>
    <n v="100"/>
    <n v="446"/>
    <n v="446"/>
    <s v="2. Medium"/>
    <m/>
    <s v="KMSS"/>
    <x v="0"/>
    <s v="Not covered"/>
    <x v="2"/>
  </r>
  <r>
    <x v="7"/>
    <s v="MMR015CMP009"/>
    <s v="Cluster 9"/>
    <s v="Mandung - Jinghpaw"/>
    <n v="97.127340000000004"/>
    <n v="23.24954"/>
    <s v="Camp"/>
    <s v="GCA"/>
    <n v="37"/>
    <n v="157"/>
    <n v="157"/>
    <s v="1. Small"/>
    <s v="FCA/HIDA/WHH"/>
    <s v="KBC"/>
    <x v="2"/>
    <s v="Covered"/>
    <x v="5"/>
  </r>
  <r>
    <x v="7"/>
    <s v="MMR015CMP209"/>
    <s v="Cluster 9"/>
    <s v="Mandung - RC"/>
    <n v="97.123440000000002"/>
    <n v="23.24568"/>
    <s v="Camp"/>
    <s v="GCA"/>
    <n v="31"/>
    <n v="184"/>
    <n v="184"/>
    <s v="1. Small"/>
    <s v="Trocaires"/>
    <s v="KMSS"/>
    <x v="4"/>
    <s v="Covered"/>
    <x v="5"/>
  </r>
  <r>
    <x v="8"/>
    <s v="MMR001CMP078"/>
    <s v="Cluster 3"/>
    <s v="Kyun Taw Baptist Church "/>
    <n v="96.922619999999995"/>
    <n v="25.305669999999999"/>
    <s v="Camp"/>
    <s v="GCA"/>
    <n v="13"/>
    <n v="50"/>
    <n v="50"/>
    <s v="1. Small"/>
    <s v="CIDA/ADRA"/>
    <s v="KBC"/>
    <x v="5"/>
    <s v="Covered"/>
    <x v="3"/>
  </r>
  <r>
    <x v="8"/>
    <s v="MMR001CMP237"/>
    <s v="Cluster 3"/>
    <s v="Ma Hawng RC "/>
    <n v="96.94135"/>
    <n v="25.294460000000001"/>
    <s v="Camp"/>
    <s v="GCA"/>
    <n v="15"/>
    <n v="34"/>
    <n v="23"/>
    <s v="1. Small"/>
    <s v="DFID/Trocaires"/>
    <s v="KMSS"/>
    <x v="4"/>
    <s v="Covered"/>
    <x v="3"/>
  </r>
  <r>
    <x v="8"/>
    <s v="MMR001CMP077"/>
    <s v="Cluster 3"/>
    <s v="Mang Hawng Baptist Church"/>
    <n v="96.942279999999997"/>
    <n v="25.296579999999999"/>
    <s v="Camp"/>
    <s v="GCA"/>
    <n v="13"/>
    <n v="56"/>
    <n v="56"/>
    <s v="1. Small"/>
    <s v="CIDA/ADRA"/>
    <s v="KBC"/>
    <x v="5"/>
    <s v="Covered"/>
    <x v="2"/>
  </r>
  <r>
    <x v="8"/>
    <s v="MMR001CMP079"/>
    <s v="Cluster 3"/>
    <s v="Nat Gyi Kone Baptist Church "/>
    <n v="96.948740000000001"/>
    <n v="25.30442"/>
    <s v="Camp"/>
    <s v="GCA"/>
    <n v="11"/>
    <n v="36"/>
    <n v="36"/>
    <s v="1. Small"/>
    <s v="CIDA/ADRA"/>
    <s v="KBC"/>
    <x v="5"/>
    <s v="Covered"/>
    <x v="2"/>
  </r>
  <r>
    <x v="8"/>
    <s v="MMR001CMP236"/>
    <s v="Cluster 3"/>
    <s v="Sar Hmaw - KBC"/>
    <m/>
    <m/>
    <s v="Village"/>
    <s v="GCA"/>
    <n v="20"/>
    <n v="82"/>
    <n v="82"/>
    <s v="1. Small"/>
    <s v="CIDA/ADRA"/>
    <m/>
    <x v="5"/>
    <s v="Covered"/>
    <x v="4"/>
  </r>
  <r>
    <x v="8"/>
    <s v="MMR001CMP235"/>
    <s v="Cluster 3"/>
    <s v="Sar Maw-ICM"/>
    <m/>
    <m/>
    <s v="Village"/>
    <s v="GCA"/>
    <n v="24"/>
    <n v="83"/>
    <n v="83"/>
    <s v="1. Small"/>
    <s v="CIDA/ADRA"/>
    <m/>
    <x v="5"/>
    <s v="Covered"/>
    <x v="3"/>
  </r>
  <r>
    <x v="9"/>
    <s v="MMR001CMP152"/>
    <s v="Cluster 3"/>
    <s v="Nawng Ing (Indawgyi) Baptist Church  "/>
    <n v="96.364949999999993"/>
    <n v="24.998349999999999"/>
    <s v="Camp"/>
    <s v="GCA"/>
    <n v="19"/>
    <n v="85"/>
    <n v="85"/>
    <s v="1. Small"/>
    <s v="CIDA/ADRA"/>
    <s v="KBC"/>
    <x v="5"/>
    <s v="Covered"/>
    <x v="3"/>
  </r>
  <r>
    <x v="9"/>
    <s v="MMR001CMP080"/>
    <s v="Cluster 3"/>
    <s v="St. Patrick Catholic Church "/>
    <n v="96.367059999999995"/>
    <n v="24.764800000000001"/>
    <s v="Camp"/>
    <s v="GCA"/>
    <n v="12"/>
    <n v="51"/>
    <n v="51"/>
    <s v="1. Small"/>
    <s v="DFID/Trocaires"/>
    <s v="KMSS"/>
    <x v="4"/>
    <s v="Covered"/>
    <x v="3"/>
  </r>
  <r>
    <x v="10"/>
    <s v="MMR001CMP056"/>
    <s v="Cluster 4"/>
    <s v="Agritural Compound (KBC)"/>
    <n v="97.347049999999996"/>
    <n v="24.255870000000002"/>
    <s v="Camp"/>
    <s v="GCA"/>
    <n v="141"/>
    <n v="625"/>
    <n v="625"/>
    <s v="2. Medium"/>
    <s v="HIDA, WHH"/>
    <s v="KBC"/>
    <x v="2"/>
    <s v="Covered"/>
    <x v="1"/>
  </r>
  <r>
    <x v="10"/>
    <s v="MMR001CMP123"/>
    <s v="Cluster 6"/>
    <s v="Dum Bung "/>
    <n v="97.537099999999995"/>
    <n v="24.461033"/>
    <s v="Camp"/>
    <s v="NGCA"/>
    <n v="117"/>
    <n v="620"/>
    <n v="620"/>
    <s v="2. Medium"/>
    <s v="DFID/Trocaires"/>
    <s v="IRRC"/>
    <x v="4"/>
    <s v="Covered"/>
    <x v="1"/>
  </r>
  <r>
    <x v="10"/>
    <s v="MMR001CMP122"/>
    <s v="Cluster 5"/>
    <s v="Hpun Lum Yang "/>
    <n v="97.573166999999998"/>
    <n v="24.661466999999998"/>
    <s v="Camp"/>
    <s v="NGCA"/>
    <n v="479"/>
    <n v="2288"/>
    <n v="2288"/>
    <s v="3. Large"/>
    <s v="Welthungerhilfe"/>
    <s v="KMSS"/>
    <x v="2"/>
    <s v="Covered"/>
    <x v="3"/>
  </r>
  <r>
    <x v="10"/>
    <s v="MMR001CMP121"/>
    <s v="Cluster 5"/>
    <s v="Je Yang Hka "/>
    <n v="97.568282999999994"/>
    <n v="24.688167"/>
    <s v="Camp"/>
    <s v="NGCA"/>
    <n v="1548"/>
    <n v="7247"/>
    <n v="7247"/>
    <s v="5. Massive"/>
    <s v="UNICEF"/>
    <s v="KMSS"/>
    <x v="0"/>
    <s v="Not covered"/>
    <x v="0"/>
  </r>
  <r>
    <x v="10"/>
    <s v="MMR001CMP056"/>
    <s v="Cluster 4"/>
    <s v="Kachin Su Baptist Church (ECCD)"/>
    <n v="97.346310000000003"/>
    <n v="24.253630000000001"/>
    <s v="Camp"/>
    <s v="GCA"/>
    <n v="18"/>
    <n v="113"/>
    <n v="113"/>
    <s v="1. Small"/>
    <s v="HIDA, WHH"/>
    <s v="KBC"/>
    <x v="2"/>
    <s v="Covered"/>
    <x v="1"/>
  </r>
  <r>
    <x v="10"/>
    <s v="MMR001CMP056"/>
    <s v="Cluster 4"/>
    <s v="Khar Nan (1) Baptist Church"/>
    <n v="97.359300000000005"/>
    <n v="24.267040000000001"/>
    <s v="Camp"/>
    <s v="GCA"/>
    <n v="7"/>
    <n v="39"/>
    <n v="39"/>
    <s v="1. Small"/>
    <s v="HIDA, WHH"/>
    <s v="KBC"/>
    <x v="2"/>
    <s v="Covered"/>
    <x v="1"/>
  </r>
  <r>
    <x v="10"/>
    <s v="MMR001CMP200"/>
    <s v="Cluster 4"/>
    <s v="Khun Sint Village"/>
    <n v="97.193340000000006"/>
    <n v="24.230450000000001"/>
    <s v="Village"/>
    <s v="GCA"/>
    <n v="4"/>
    <n v="26"/>
    <n v="26"/>
    <s v="1. Small"/>
    <m/>
    <m/>
    <x v="0"/>
    <s v="Not covered"/>
    <x v="6"/>
  </r>
  <r>
    <x v="10"/>
    <s v="MMR001CMP071"/>
    <s v="Cluster 6"/>
    <s v="Loi Je Baptist Church"/>
    <n v="97.718582999999995"/>
    <n v="24.200972"/>
    <s v="Camp"/>
    <s v="GCA"/>
    <n v="30"/>
    <n v="182"/>
    <n v="128"/>
    <s v="1. Small"/>
    <s v="UNICEF"/>
    <s v="KBC"/>
    <x v="0"/>
    <s v="Not covered"/>
    <x v="0"/>
  </r>
  <r>
    <x v="10"/>
    <s v="MMR001CMP069"/>
    <s v="Cluster 6"/>
    <s v="Loi Je Catholic Church"/>
    <n v="97.724566999999993"/>
    <n v="24.205417000000001"/>
    <s v="Camp"/>
    <s v="GCA"/>
    <n v="69"/>
    <n v="369"/>
    <n v="107"/>
    <s v="2. Medium"/>
    <s v="UNICEF"/>
    <s v="KMSS"/>
    <x v="0"/>
    <s v="Not covered"/>
    <x v="0"/>
  </r>
  <r>
    <x v="10"/>
    <s v="MMR001CMP070"/>
    <s v="Cluster 6"/>
    <s v="Loi Je Lisu  (1) Camp"/>
    <n v="97.717133000000004"/>
    <n v="24.200433"/>
    <s v="Camp"/>
    <s v="GCA"/>
    <n v="74"/>
    <n v="412"/>
    <n v="412"/>
    <s v="2. Medium"/>
    <s v="UNICEF"/>
    <s v="KBC"/>
    <x v="0"/>
    <s v="Not covered"/>
    <x v="0"/>
  </r>
  <r>
    <x v="10"/>
    <s v="MMR001CMP070"/>
    <s v="Cluster 6"/>
    <s v="Loi Je Lisu  (2) Camp"/>
    <n v="97.715400000000002"/>
    <n v="24.20083"/>
    <s v="Camp"/>
    <s v="GCA"/>
    <n v="40"/>
    <n v="220"/>
    <n v="220"/>
    <s v="1. Small"/>
    <s v="UNICEF"/>
    <s v="KBC"/>
    <x v="0"/>
    <s v="Not covered"/>
    <x v="0"/>
  </r>
  <r>
    <x v="10"/>
    <s v="MMR001CMP070"/>
    <s v="Cluster 6"/>
    <s v="Loi Je Lisu  (3) Camp"/>
    <n v="97.716260000000005"/>
    <n v="24.20411"/>
    <s v="Camp"/>
    <s v="GCA"/>
    <n v="21"/>
    <n v="115"/>
    <n v="115"/>
    <s v="1. Small"/>
    <s v="UNICEF"/>
    <s v="KBC"/>
    <x v="0"/>
    <s v="Not covered"/>
    <x v="0"/>
  </r>
  <r>
    <x v="10"/>
    <s v="MMR001CMP070"/>
    <s v="Cluster 6"/>
    <s v="Loi Je Lisu  (4) Camp"/>
    <n v="97.714839999999995"/>
    <n v="24.20757"/>
    <s v="Camp"/>
    <s v="GCA"/>
    <n v="52"/>
    <n v="248"/>
    <n v="248"/>
    <s v="2. Medium"/>
    <s v="UNICEF"/>
    <s v="KBC"/>
    <x v="0"/>
    <s v="Not covered"/>
    <x v="0"/>
  </r>
  <r>
    <x v="10"/>
    <s v="MMR001CMP072"/>
    <s v="Cluster 6"/>
    <s v="Loi Je Nyaung Na Pin "/>
    <n v="97.724483000000006"/>
    <n v="24.205417000000001"/>
    <s v="Camp"/>
    <s v="GCA"/>
    <n v="50"/>
    <n v="295"/>
    <n v="295"/>
    <s v="1. Small"/>
    <s v="UNICEF"/>
    <s v="KBC"/>
    <x v="0"/>
    <s v="Not covered"/>
    <x v="0"/>
  </r>
  <r>
    <x v="10"/>
    <s v="MMR001CMP069"/>
    <s v="Cluster 6"/>
    <s v="Loi Je RC Boarding School"/>
    <n v="97.724000000000004"/>
    <n v="24.204999999999998"/>
    <s v="School"/>
    <s v="GCA"/>
    <n v="40"/>
    <n v="136"/>
    <n v="136"/>
    <s v="1. Small"/>
    <s v="UNICEF"/>
    <s v="KMSS"/>
    <x v="1"/>
    <s v="Covered"/>
    <x v="6"/>
  </r>
  <r>
    <x v="10"/>
    <s v="MMR001CMP073"/>
    <s v="Cluster 6"/>
    <s v="Loi Je Seng Ja "/>
    <n v="97.710864000000001"/>
    <n v="24.207332999999998"/>
    <s v="Camp"/>
    <s v="GCA"/>
    <n v="48"/>
    <n v="285"/>
    <n v="285"/>
    <s v="1. Small"/>
    <s v="UNICEF"/>
    <s v="KBC"/>
    <x v="0"/>
    <s v="Not covered"/>
    <x v="0"/>
  </r>
  <r>
    <x v="10"/>
    <s v="MMR001CMP064"/>
    <s v="Cluster 4"/>
    <s v="Mai Khat "/>
    <n v="97.242360000000005"/>
    <n v="24.264130000000002"/>
    <s v="Village"/>
    <s v="GCA"/>
    <n v="2"/>
    <n v="9"/>
    <n v="9"/>
    <s v="1. Small"/>
    <m/>
    <m/>
    <x v="0"/>
    <s v="Not covered"/>
    <x v="6"/>
  </r>
  <r>
    <x v="10"/>
    <s v="MMR001CMP062"/>
    <s v="Cluster 4"/>
    <s v="Man Bung Catholic compound"/>
    <n v="97.325019999999995"/>
    <n v="24.245100000000001"/>
    <s v="Camp"/>
    <s v="GCA"/>
    <n v="259"/>
    <n v="1134"/>
    <n v="1079"/>
    <s v="3. Large"/>
    <s v="HIDA, WHH"/>
    <s v="KMSS"/>
    <x v="2"/>
    <s v="Covered"/>
    <x v="1"/>
  </r>
  <r>
    <x v="10"/>
    <s v="MMR001CMP056"/>
    <s v="Cluster 4"/>
    <s v="Man Bung Edin Baptist Church"/>
    <n v="97.337649999999996"/>
    <n v="24.242049999999999"/>
    <s v="Camp"/>
    <s v="GCA"/>
    <n v="75"/>
    <n v="406"/>
    <n v="406"/>
    <s v="2. Medium"/>
    <s v="UNICEF"/>
    <s v="KBC"/>
    <x v="0"/>
    <s v="Not covered"/>
    <x v="0"/>
  </r>
  <r>
    <x v="10"/>
    <s v="MMR001CMP063"/>
    <s v="Cluster 4"/>
    <s v="Man Nawng "/>
    <n v="97.321659999999994"/>
    <n v="24.41"/>
    <s v="Village"/>
    <s v="GCA"/>
    <n v="28"/>
    <n v="136"/>
    <n v="136"/>
    <s v="1. Small"/>
    <m/>
    <m/>
    <x v="0"/>
    <s v="Not covered"/>
    <x v="6"/>
  </r>
  <r>
    <x v="10"/>
    <s v="MMR001CMP058"/>
    <s v="Cluster 4"/>
    <s v="Mandalay Monestry"/>
    <n v="97.346940000000004"/>
    <n v="24.251860000000001"/>
    <s v="Camp"/>
    <s v="GCA"/>
    <n v="4"/>
    <n v="17"/>
    <n v="17"/>
    <s v="1. Small"/>
    <s v="HIDA, WHH"/>
    <s v="Shalom"/>
    <x v="2"/>
    <s v="Covered"/>
    <x v="1"/>
  </r>
  <r>
    <x v="10"/>
    <s v="MMR001CMP056"/>
    <s v="Cluster 4"/>
    <s v="Momauk Baptist Church"/>
    <n v="97.344359999999995"/>
    <n v="24.250689999999999"/>
    <s v="Camp"/>
    <s v="GCA"/>
    <n v="182"/>
    <n v="739"/>
    <n v="727"/>
    <s v="2. Medium"/>
    <s v="HIDA, WHH"/>
    <s v="KBC"/>
    <x v="2"/>
    <s v="Covered"/>
    <x v="1"/>
  </r>
  <r>
    <x v="10"/>
    <s v="MMR001CMP197"/>
    <s v="Cluster 4"/>
    <s v="Momauk Host Families"/>
    <n v="97.344350000000006"/>
    <n v="24.25067"/>
    <s v="Village"/>
    <s v="GCA"/>
    <n v="394"/>
    <n v="1504"/>
    <n v="1504"/>
    <s v="3. Large"/>
    <s v="ECHO"/>
    <m/>
    <x v="0"/>
    <s v="Not covered"/>
    <x v="0"/>
  </r>
  <r>
    <x v="10"/>
    <s v="MMR001CMP061"/>
    <s v="Cluster 4"/>
    <s v="Myo Thit "/>
    <n v="97.406239999999997"/>
    <n v="24.40457"/>
    <s v="Village"/>
    <s v="GCA"/>
    <n v="13"/>
    <n v="53"/>
    <n v="53"/>
    <s v="1. Small"/>
    <m/>
    <m/>
    <x v="0"/>
    <s v="Not covered"/>
    <x v="6"/>
  </r>
  <r>
    <x v="10"/>
    <s v="MMR001CMP131"/>
    <s v="Cluster 6"/>
    <s v="Nhkawng Pa "/>
    <n v="97.669366999999994"/>
    <n v="24.378167000000001"/>
    <s v="Camp"/>
    <s v="NGCA"/>
    <n v="369"/>
    <n v="1633"/>
    <n v="1633"/>
    <s v="3. Large"/>
    <m/>
    <s v="KMSS"/>
    <x v="0"/>
    <s v="Not covered"/>
    <x v="0"/>
  </r>
  <r>
    <x v="10"/>
    <s v="MMR001CMP059"/>
    <s v="Cluster 4"/>
    <s v="Ni Thaw Ka Monestry"/>
    <n v="97.347740000000002"/>
    <n v="24.253769999999999"/>
    <s v="Camp"/>
    <s v="GCA"/>
    <n v="25"/>
    <n v="92"/>
    <n v="92"/>
    <s v="1. Small"/>
    <s v="UNICEF"/>
    <s v="Shalom"/>
    <x v="0"/>
    <s v="Not covered"/>
    <x v="0"/>
  </r>
  <r>
    <x v="10"/>
    <s v="MMR001CMP126"/>
    <s v="Cluster 6"/>
    <s v="Pa Kahtawng 1 A"/>
    <n v="97.755750000000006"/>
    <n v="24.273479999999999"/>
    <s v="Camp"/>
    <s v="NGCA"/>
    <n v="297"/>
    <n v="1342"/>
    <n v="1342"/>
    <s v="3. Large"/>
    <m/>
    <s v="KMSS"/>
    <x v="0"/>
    <s v="Not covered"/>
    <x v="0"/>
  </r>
  <r>
    <x v="10"/>
    <s v="MMR001CMP126"/>
    <s v="Cluster 6"/>
    <s v="Pa Kahtawng 1B"/>
    <n v="97.754009999999994"/>
    <n v="24.275549999999999"/>
    <s v="Camp"/>
    <s v="NGCA"/>
    <n v="58"/>
    <n v="251"/>
    <n v="251"/>
    <s v="2. Medium"/>
    <m/>
    <s v="KMSS"/>
    <x v="0"/>
    <s v="Not covered"/>
    <x v="0"/>
  </r>
  <r>
    <x v="10"/>
    <s v="MMR001CMP126"/>
    <s v="Cluster 6"/>
    <s v="Pa Kahtawng 2"/>
    <n v="97.751050000000006"/>
    <n v="24.279910000000001"/>
    <s v="Camp"/>
    <s v="NGCA"/>
    <n v="128"/>
    <n v="538"/>
    <n v="538"/>
    <s v="2. Medium"/>
    <m/>
    <s v="KMSS"/>
    <x v="0"/>
    <s v="Not covered"/>
    <x v="0"/>
  </r>
  <r>
    <x v="10"/>
    <s v="MMR001CMP126"/>
    <s v="Cluster 6"/>
    <s v="Pa Kahtawng Boarding High School "/>
    <n v="97.740570000000005"/>
    <n v="24.266819999999999"/>
    <s v="School"/>
    <s v="NGCA"/>
    <n v="0"/>
    <n v="333"/>
    <n v="333"/>
    <s v="1. Small"/>
    <m/>
    <s v="KMSS"/>
    <x v="0"/>
    <s v="Not covered"/>
    <x v="0"/>
  </r>
  <r>
    <x v="10"/>
    <s v="MMR001CMP126"/>
    <s v="Cluster 6"/>
    <s v="Pa Kahtawng Boarding Middle School "/>
    <n v="97.758769999999998"/>
    <n v="24.255469999999999"/>
    <s v="School"/>
    <s v="NGCA"/>
    <n v="0"/>
    <n v="506"/>
    <n v="506"/>
    <s v="1. Small"/>
    <m/>
    <s v="KMSS"/>
    <x v="0"/>
    <s v="Not covered"/>
    <x v="0"/>
  </r>
  <r>
    <x v="10"/>
    <s v="MMR001CMP126"/>
    <s v="Cluster 6"/>
    <s v="Pa Kahtawng Host Families"/>
    <n v="97.758769999999998"/>
    <n v="24.255469999999999"/>
    <s v="Village"/>
    <s v="NGCA"/>
    <n v="78"/>
    <n v="326"/>
    <n v="326"/>
    <s v="2. Medium"/>
    <m/>
    <s v="KMSS"/>
    <x v="0"/>
    <s v="Not covered"/>
    <x v="0"/>
  </r>
  <r>
    <x v="10"/>
    <s v="MMR001CMP126"/>
    <s v="Cluster 6"/>
    <s v="Pa Kahtawng Primary House"/>
    <n v="97.755750000000006"/>
    <n v="24.273479999999999"/>
    <s v="School"/>
    <s v="NGCA"/>
    <n v="0"/>
    <n v="211"/>
    <n v="211"/>
    <s v="1. Small"/>
    <m/>
    <s v="KMSS"/>
    <x v="0"/>
    <s v="Not covered"/>
    <x v="0"/>
  </r>
  <r>
    <x v="10"/>
    <s v="MMR001CMP060"/>
    <s v="Cluster 4"/>
    <s v="Tarli "/>
    <n v="97.417240000000007"/>
    <n v="24.49184"/>
    <s v="Village"/>
    <s v="GCA"/>
    <n v="10"/>
    <n v="38"/>
    <n v="38"/>
    <s v="1. Small"/>
    <m/>
    <m/>
    <x v="0"/>
    <s v="Not covered"/>
    <x v="6"/>
  </r>
  <r>
    <x v="11"/>
    <s v="MMR015CMP213"/>
    <s v="Cluster 7"/>
    <s v="Muse KBC Church"/>
    <n v="97.909217999999996"/>
    <n v="24.005448999999999"/>
    <s v="Camp"/>
    <s v="GCA"/>
    <n v="61"/>
    <n v="250"/>
    <n v="250"/>
    <s v="2. Medium"/>
    <s v="FCA/HIDA/WHH"/>
    <s v="KBC"/>
    <x v="2"/>
    <s v="Covered"/>
    <x v="2"/>
  </r>
  <r>
    <x v="11"/>
    <s v="MMR015CMP216"/>
    <s v="Cluster 7"/>
    <s v="Muse RC Church"/>
    <n v="97.911671100000007"/>
    <n v="24.006896999999999"/>
    <s v="Camp"/>
    <s v="GCA"/>
    <n v="31"/>
    <n v="127"/>
    <n v="127"/>
    <s v="1. Small"/>
    <m/>
    <s v="KMSS"/>
    <x v="0"/>
    <s v="Not covered"/>
    <x v="5"/>
  </r>
  <r>
    <x v="11"/>
    <s v="MMR015CMP139"/>
    <s v="Cluster 7"/>
    <s v="Nam Hkawng/Manaung kaung"/>
    <n v="98.132779999999997"/>
    <n v="23.951699999999999"/>
    <s v="Camp"/>
    <s v="GCA"/>
    <n v="9"/>
    <n v="44"/>
    <n v="44"/>
    <s v="1. Small"/>
    <s v="FCA/HIDA/WHH"/>
    <s v="KBC"/>
    <x v="2"/>
    <s v="Covered"/>
    <x v="5"/>
  </r>
  <r>
    <x v="12"/>
    <s v="MMR001CMP012"/>
    <s v="Cluster 2"/>
    <s v="Du Kahtawng Qtr. 14"/>
    <n v="97.385101000000006"/>
    <n v="25.399795999999998"/>
    <s v="Camp"/>
    <s v="GCA"/>
    <n v="6"/>
    <n v="27"/>
    <n v="27"/>
    <s v="1. Small"/>
    <s v="CIDA/ADRA"/>
    <s v="KBC"/>
    <x v="5"/>
    <s v="Covered"/>
    <x v="2"/>
  </r>
  <r>
    <x v="12"/>
    <s v="MMR001CMP010"/>
    <s v="Cluster 2"/>
    <s v="Du Kahtawng Qtr. 4"/>
    <n v="97.383056999999994"/>
    <n v="25.395994000000002"/>
    <s v="Camp"/>
    <s v="GCA"/>
    <n v="6"/>
    <n v="35"/>
    <n v="35"/>
    <s v="1. Small"/>
    <s v="CIDA/ADRA"/>
    <s v="KBC"/>
    <x v="5"/>
    <s v="Covered"/>
    <x v="3"/>
  </r>
  <r>
    <x v="12"/>
    <s v="MMR001CMP011"/>
    <s v="Cluster 2"/>
    <s v="Du Kahtawng Qtr. 5"/>
    <n v="97.381195000000005"/>
    <n v="25.396363999999998"/>
    <s v="Camp"/>
    <s v="GCA"/>
    <n v="8"/>
    <n v="26"/>
    <n v="26"/>
    <s v="1. Small"/>
    <s v="CIDA/ADRA"/>
    <s v="KBC"/>
    <x v="5"/>
    <s v="Covered"/>
    <x v="2"/>
  </r>
  <r>
    <x v="12"/>
    <s v="MMR001CMP018"/>
    <s v="Cluster 2"/>
    <s v="Jan Mai Kawng Baptist Church"/>
    <n v="97.389778000000007"/>
    <n v="25.417733999999999"/>
    <s v="Camp"/>
    <s v="GCA"/>
    <n v="187"/>
    <n v="927"/>
    <n v="927"/>
    <s v="2. Medium"/>
    <s v="CIDA/ADRA"/>
    <s v="KBC"/>
    <x v="5"/>
    <s v="Covered"/>
    <x v="3"/>
  </r>
  <r>
    <x v="12"/>
    <s v="MMR001CMP019"/>
    <s v="Cluster 2"/>
    <s v="Jan Mai Kawng Catholic Church"/>
    <n v="97.373361000000003"/>
    <n v="25.403476999999999"/>
    <s v="Camp"/>
    <s v="GCA"/>
    <n v="106"/>
    <n v="468"/>
    <n v="468"/>
    <s v="2. Medium"/>
    <s v="DFID/Trocaires"/>
    <s v="KMSS"/>
    <x v="4"/>
    <s v="Covered"/>
    <x v="3"/>
  </r>
  <r>
    <x v="12"/>
    <s v="MMR001CMP013"/>
    <s v="Cluster 2"/>
    <s v="Kyun Pin Thar Baptist Church"/>
    <n v="97.405120999999994"/>
    <n v="25.365891000000001"/>
    <s v="Camp"/>
    <s v="GCA"/>
    <n v="46"/>
    <n v="193"/>
    <n v="193"/>
    <s v="1. Small"/>
    <s v="CIDA/ADRA"/>
    <s v="KBC"/>
    <x v="5"/>
    <s v="Covered"/>
    <x v="3"/>
  </r>
  <r>
    <x v="12"/>
    <s v="MMR001CMP147"/>
    <s v="Cluster 2"/>
    <s v="Lawk Awng Mare D. (Sinbo Area)"/>
    <m/>
    <m/>
    <s v="Camp"/>
    <s v="NGCA"/>
    <n v="19"/>
    <n v="68"/>
    <n v="68"/>
    <s v="1. Small"/>
    <s v="DFID/Trocaires"/>
    <s v="KMSS"/>
    <x v="4"/>
    <s v="Covered"/>
    <x v="3"/>
  </r>
  <r>
    <x v="12"/>
    <s v="MMR001CMP015"/>
    <s v="Cluster 2"/>
    <s v="Le Kone Bethlehem Church"/>
    <n v="97.409317000000001"/>
    <n v="25.362189999999998"/>
    <s v="Camp"/>
    <s v="GCA"/>
    <n v="97"/>
    <n v="513"/>
    <n v="328"/>
    <s v="2. Medium"/>
    <s v="CIDA/ADRA"/>
    <s v="KBC"/>
    <x v="0"/>
    <s v="Not covered"/>
    <x v="0"/>
  </r>
  <r>
    <x v="12"/>
    <s v="MMR001CMP014"/>
    <s v="Cluster 2"/>
    <s v="Le Kone Ziun Baptist Church "/>
    <n v="97.408919999999995"/>
    <n v="25.355983999999999"/>
    <s v="Camp"/>
    <s v="GCA"/>
    <n v="146"/>
    <n v="693"/>
    <n v="462"/>
    <s v="2. Medium"/>
    <s v="CIDA/ADRA"/>
    <s v="KBC"/>
    <x v="0"/>
    <s v="Not covered"/>
    <x v="0"/>
  </r>
  <r>
    <x v="12"/>
    <s v="MMR001CMP016"/>
    <s v="Cluster 2"/>
    <s v="Maliyang Baptist Church"/>
    <n v="97.411606000000006"/>
    <n v="25.360475999999998"/>
    <s v="Camp"/>
    <s v="GCA"/>
    <n v="73"/>
    <n v="318"/>
    <n v="318"/>
    <s v="2. Medium"/>
    <s v="CIDA/ADRA"/>
    <s v="KBC"/>
    <x v="5"/>
    <s v="Covered"/>
    <x v="2"/>
  </r>
  <r>
    <x v="12"/>
    <s v="MMR001CMP008"/>
    <s v="Cluster 2"/>
    <s v="Man Hkring Baptist Church"/>
    <n v="97.418694000000002"/>
    <n v="25.428910999999999"/>
    <s v="Camp"/>
    <s v="GCA"/>
    <n v="83"/>
    <n v="368"/>
    <n v="368"/>
    <s v="2. Medium"/>
    <s v="CIDA/ADRA"/>
    <s v="KBC"/>
    <x v="5"/>
    <s v="Covered"/>
    <x v="3"/>
  </r>
  <r>
    <x v="12"/>
    <s v="MMR001CMP020"/>
    <s v="Cluster 2"/>
    <s v="Maw Hpawng Hka Nan Baptist Church"/>
    <n v="97.284729999999996"/>
    <n v="25.374020000000002"/>
    <s v="Camp"/>
    <s v="GCA"/>
    <n v="22"/>
    <n v="103"/>
    <n v="103"/>
    <s v="1. Small"/>
    <s v="AusAid/OXFAM"/>
    <s v="Shalom"/>
    <x v="3"/>
    <s v="Covered"/>
    <x v="2"/>
  </r>
  <r>
    <x v="12"/>
    <s v="MMR001CMP021"/>
    <s v="Cluster 2"/>
    <s v="Maw Hpawng Lhaovo Baptist Church"/>
    <n v="97.291079999999994"/>
    <n v="25.371179999999999"/>
    <s v="Camp"/>
    <s v="GCA"/>
    <n v="14"/>
    <n v="72"/>
    <n v="72"/>
    <s v="1. Small"/>
    <s v="AusAid/OXFAM"/>
    <s v="Shalom"/>
    <x v="3"/>
    <s v="Covered"/>
    <x v="3"/>
  </r>
  <r>
    <x v="12"/>
    <s v="MMR001CMP024"/>
    <s v="Cluster 2"/>
    <s v="Nan Kway St. John Catholic Church"/>
    <n v="97.359380000000002"/>
    <n v="25.411770000000001"/>
    <s v="Camp"/>
    <s v="GCA"/>
    <n v="72"/>
    <n v="308"/>
    <n v="308"/>
    <s v="2. Medium"/>
    <s v="DFID/Trocaires"/>
    <s v="KMSS"/>
    <x v="0"/>
    <s v="Not covered"/>
    <x v="0"/>
  </r>
  <r>
    <x v="12"/>
    <s v="MMR001CMP002"/>
    <s v="Cluster 2"/>
    <s v="Njang Dung Baptist Church "/>
    <n v="97.394547000000003"/>
    <n v="25.422194000000001"/>
    <s v="Camp"/>
    <s v="GCA"/>
    <n v="55"/>
    <n v="221"/>
    <n v="221"/>
    <s v="2. Medium"/>
    <s v="CIDA/ADRA"/>
    <s v="KBC"/>
    <x v="5"/>
    <s v="Covered"/>
    <x v="3"/>
  </r>
  <r>
    <x v="12"/>
    <s v="MMR001CMP162"/>
    <s v="Cluster 2"/>
    <s v="Pa Dauk Myaing(Pa La Na)"/>
    <n v="97.4345"/>
    <n v="25.493819999999999"/>
    <s v="Camp"/>
    <s v="GCA"/>
    <n v="28"/>
    <n v="176"/>
    <n v="176"/>
    <s v="1. Small"/>
    <s v="DFID/Trocaires"/>
    <s v="KMSS"/>
    <x v="4"/>
    <s v="Covered"/>
    <x v="3"/>
  </r>
  <r>
    <x v="12"/>
    <s v="MMR001CMP006"/>
    <s v="Cluster 2"/>
    <s v="Shatapru Sut Ngai Tawng"/>
    <n v="97.399628000000007"/>
    <n v="25.412313000000001"/>
    <s v="Camp"/>
    <s v="GCA"/>
    <n v="95"/>
    <n v="398"/>
    <n v="398"/>
    <s v="2. Medium"/>
    <s v="CIDA/ADRA"/>
    <s v="KBC"/>
    <x v="0"/>
    <s v="Not covered"/>
    <x v="0"/>
  </r>
  <r>
    <x v="12"/>
    <s v="MMR001CMP007"/>
    <s v="Cluster 2"/>
    <s v="Shatapru Thida Aye Baptist Church"/>
    <n v="97.418004999999994"/>
    <n v="25.423817"/>
    <s v="Camp"/>
    <s v="GCA"/>
    <n v="28"/>
    <n v="130"/>
    <n v="130"/>
    <s v="1. Small"/>
    <s v="AusAid/OXFAM"/>
    <s v="Shalom"/>
    <x v="0"/>
    <s v="Not covered"/>
    <x v="0"/>
  </r>
  <r>
    <x v="12"/>
    <s v="MMR001CMP009"/>
    <s v="Cluster 2"/>
    <s v="Shwe Zet Baptist Church"/>
    <n v="97.419403000000003"/>
    <n v="25.440928"/>
    <s v="Camp"/>
    <s v="GCA"/>
    <n v="78"/>
    <n v="418"/>
    <n v="418"/>
    <s v="2. Medium"/>
    <s v="CIDA/ADRA"/>
    <s v="KBC"/>
    <x v="0"/>
    <s v="Not covered"/>
    <x v="0"/>
  </r>
  <r>
    <x v="12"/>
    <s v="MMR001CMP023"/>
    <s v="Cluster 2"/>
    <s v="Tat Kone (Ra Da Kawng)"/>
    <n v="97.387370000000004"/>
    <n v="25.42595"/>
    <s v="Camp"/>
    <s v="GCA"/>
    <n v="51"/>
    <n v="242"/>
    <n v="242"/>
    <s v="2. Medium"/>
    <s v="AusAid/OXFAM"/>
    <s v="Shalom"/>
    <x v="3"/>
    <s v="Covered"/>
    <x v="3"/>
  </r>
  <r>
    <x v="12"/>
    <s v="MMR001CMP001"/>
    <s v="Cluster 2"/>
    <s v="Tat Kone Baptist Church"/>
    <n v="97.386718999999999"/>
    <n v="25.415482000000001"/>
    <s v="Camp"/>
    <s v="GCA"/>
    <n v="64"/>
    <n v="316"/>
    <n v="316"/>
    <s v="2. Medium"/>
    <s v="CIDA/ADRA"/>
    <s v="KBC"/>
    <x v="5"/>
    <s v="Covered"/>
    <x v="3"/>
  </r>
  <r>
    <x v="12"/>
    <s v="MMR001CMP023"/>
    <s v="Cluster 2"/>
    <s v="Tat Kone COC Baptist / Tat Kone Htoi San"/>
    <n v="97.388400000000004"/>
    <n v="25.40982"/>
    <s v="Camp"/>
    <s v="GCA"/>
    <n v="17"/>
    <n v="96"/>
    <n v="96"/>
    <s v="1. Small"/>
    <s v="AusAid/OXFAM"/>
    <s v="Shalom"/>
    <x v="0"/>
    <s v="Not covered"/>
    <x v="0"/>
  </r>
  <r>
    <x v="12"/>
    <s v="MMR001CMP004"/>
    <s v="Cluster 2"/>
    <s v="Tat Kone Emanuel Church"/>
    <n v="97.379272"/>
    <n v="25.401074999999999"/>
    <s v="Camp"/>
    <s v="GCA"/>
    <n v="12"/>
    <n v="57"/>
    <n v="57"/>
    <s v="1. Small"/>
    <s v="AusAid/OXFAM"/>
    <s v="Shalom"/>
    <x v="3"/>
    <s v="Covered"/>
    <x v="0"/>
  </r>
  <r>
    <x v="12"/>
    <s v="MMR001CMP003"/>
    <s v="Cluster 2"/>
    <s v="Tat Kone Galile Baptist Church"/>
    <n v="97.377662999999998"/>
    <n v="25.404752999999999"/>
    <s v="Camp"/>
    <s v="GCA"/>
    <n v="30"/>
    <n v="151"/>
    <n v="151"/>
    <s v="1. Small"/>
    <s v="CIDA/ADRA"/>
    <s v="KBC"/>
    <x v="5"/>
    <s v="Covered"/>
    <x v="3"/>
  </r>
  <r>
    <x v="12"/>
    <s v="MMR001CMP005"/>
    <s v="Cluster 2"/>
    <s v="Tat Kone San Pya Baptist Church"/>
    <n v="97.382192000000003"/>
    <n v="25.404015000000001"/>
    <s v="Camp"/>
    <s v="GCA"/>
    <n v="34"/>
    <n v="178"/>
    <n v="178"/>
    <s v="1. Small"/>
    <s v="CIDA/ADRA"/>
    <s v="KBC"/>
    <x v="5"/>
    <s v="Covered"/>
    <x v="2"/>
  </r>
  <r>
    <x v="12"/>
    <s v="MMR001CMP022"/>
    <s v="Cluster 2"/>
    <s v="Wun Tho Buddhist Monastery"/>
    <n v="97.403407999999999"/>
    <n v="25.377545999999999"/>
    <s v="Camp"/>
    <s v="GCA"/>
    <n v="7"/>
    <n v="37"/>
    <n v="37"/>
    <s v="1. Small"/>
    <s v="AusAid/OXFAM"/>
    <s v="Shalom"/>
    <x v="0"/>
    <s v="Not covered"/>
    <x v="0"/>
  </r>
  <r>
    <x v="13"/>
    <s v="MMR015CMP215"/>
    <s v="Cluster 7"/>
    <s v="Bang Lung"/>
    <n v="97.709548999999996"/>
    <n v="23.838459"/>
    <s v="Camp"/>
    <s v="GCA"/>
    <n v="135"/>
    <n v="591"/>
    <n v="591"/>
    <s v="2. Medium"/>
    <s v="FCA/HIDA/WHH"/>
    <s v="KBC"/>
    <x v="2"/>
    <s v="Covered"/>
    <x v="5"/>
  </r>
  <r>
    <x v="13"/>
    <s v="MMR015CMP214"/>
    <s v="Cluster 7"/>
    <s v="Jaw 2"/>
    <n v="97.701576000000003"/>
    <n v="23.842051000000001"/>
    <s v="Camp"/>
    <s v="GCA"/>
    <n v="38"/>
    <n v="205"/>
    <n v="205"/>
    <s v="1. Small"/>
    <s v="FCA/HIDA/WHH"/>
    <s v="KBC"/>
    <x v="2"/>
    <s v="Covered"/>
    <x v="2"/>
  </r>
  <r>
    <x v="13"/>
    <s v="MMR015CMP004"/>
    <s v="Cluster 7"/>
    <s v="Nam Hkam - Nay Win Ni (Palawng)"/>
    <n v="97.681920000000005"/>
    <n v="23.821317000000001"/>
    <s v="Camp"/>
    <s v="GCA"/>
    <n v="78"/>
    <n v="378"/>
    <n v="378"/>
    <s v="2. Medium"/>
    <s v="ECHO"/>
    <s v="KBC"/>
    <x v="6"/>
    <s v="Covered"/>
    <x v="5"/>
  </r>
  <r>
    <x v="13"/>
    <s v="MMR015CMP001"/>
    <s v="Cluster 7"/>
    <s v="Nam Hkam (KBC Jaw Wang)"/>
    <n v="97.683499999999995"/>
    <n v="23.831700000000001"/>
    <s v="Camp"/>
    <s v="GCA"/>
    <n v="68"/>
    <n v="291"/>
    <n v="291"/>
    <s v="2. Medium"/>
    <s v="ECHO"/>
    <s v="KBC"/>
    <x v="6"/>
    <s v="Covered"/>
    <x v="5"/>
  </r>
  <r>
    <x v="13"/>
    <s v="MMR015CMP003"/>
    <s v="Cluster 7"/>
    <s v="Nam Hkam Catholic Church ( St. Thomas I)"/>
    <n v="97.685199999999995"/>
    <n v="23.833100000000002"/>
    <s v="Camp"/>
    <s v="GCA"/>
    <n v="47"/>
    <n v="217"/>
    <n v="217"/>
    <s v="1. Small"/>
    <s v="Trocaires"/>
    <s v="KMSS"/>
    <x v="4"/>
    <s v="Covered"/>
    <x v="5"/>
  </r>
  <r>
    <x v="14"/>
    <s v="MMR015CMP019"/>
    <s v="Cluster 9"/>
    <s v="Namtu Baptist"/>
    <n v="97.406869999999998"/>
    <n v="23.092880000000001"/>
    <s v="Camp"/>
    <s v="GCA"/>
    <n v="10"/>
    <n v="40"/>
    <n v="40"/>
    <s v="1. Small"/>
    <s v="FCA/HIDA/WHH"/>
    <s v="KBC"/>
    <x v="2"/>
    <s v="Covered"/>
    <x v="0"/>
  </r>
  <r>
    <x v="15"/>
    <s v="MMR001CMP075"/>
    <s v="Cluster 10"/>
    <s v="Doke Htan Ward"/>
    <n v="97.418279999999996"/>
    <n v="27.310880000000001"/>
    <s v="Village"/>
    <s v="GCA"/>
    <n v="14"/>
    <n v="64"/>
    <n v="64"/>
    <s v="1. Small"/>
    <m/>
    <m/>
    <x v="0"/>
    <s v="Not covered"/>
    <x v="3"/>
  </r>
  <r>
    <x v="15"/>
    <s v="MMR001CMP234"/>
    <s v="Cluster 10"/>
    <s v="Lung Sut"/>
    <m/>
    <m/>
    <s v="Camp"/>
    <s v="GCA"/>
    <n v="70"/>
    <n v="310"/>
    <n v="310"/>
    <s v="2. Medium"/>
    <s v="CIDA/ADRA"/>
    <s v="KBC"/>
    <x v="5"/>
    <s v="Covered"/>
    <x v="3"/>
  </r>
  <r>
    <x v="15"/>
    <s v="MMR001CMP227"/>
    <s v="Cluster 10"/>
    <s v="N-Lwe Yan"/>
    <n v="97.561105999999995"/>
    <n v="27.248964999999998"/>
    <s v="Village"/>
    <s v="GCA"/>
    <n v="12"/>
    <n v="52"/>
    <n v="52"/>
    <s v="1. Small"/>
    <m/>
    <m/>
    <x v="0"/>
    <s v="Not covered"/>
    <x v="3"/>
  </r>
  <r>
    <x v="16"/>
    <s v="MMR001CMP067"/>
    <s v="Cluster 4"/>
    <s v="Shwe Gu Baptist Church"/>
    <n v="96.807353000000006"/>
    <n v="24.200361000000001"/>
    <s v="Camp"/>
    <s v="GCA"/>
    <n v="88"/>
    <n v="299"/>
    <n v="238"/>
    <s v="2. Medium"/>
    <s v="HIDA, WHH"/>
    <s v="KBC"/>
    <x v="2"/>
    <s v="Covered"/>
    <x v="1"/>
  </r>
  <r>
    <x v="16"/>
    <s v="MMR001CMP068"/>
    <s v="Cluster 4"/>
    <s v="Shwe Gu Catholic Church"/>
    <n v="96.807353000000006"/>
    <n v="24.200367"/>
    <s v="Camp"/>
    <s v="GCA"/>
    <n v="49"/>
    <n v="174"/>
    <n v="174"/>
    <s v="1. Small"/>
    <s v="HIDA, WHH"/>
    <s v="KMSS"/>
    <x v="2"/>
    <s v="Covered"/>
    <x v="1"/>
  </r>
  <r>
    <x v="16"/>
    <s v="MMR001CMP199"/>
    <s v="Cluster 4"/>
    <s v="Shwegu Host Families"/>
    <n v="96.807350999999997"/>
    <n v="24.200362999999999"/>
    <s v="Village"/>
    <s v="GCA"/>
    <n v="15"/>
    <n v="40"/>
    <n v="40"/>
    <s v="1. Small"/>
    <m/>
    <m/>
    <x v="0"/>
    <s v="Not covered"/>
    <x v="6"/>
  </r>
  <r>
    <x v="17"/>
    <s v="MMR001CMP113"/>
    <s v="Cluster 5"/>
    <s v="Border Post 8"/>
    <n v="97.915833000000006"/>
    <n v="25.220278"/>
    <s v="Camp"/>
    <s v="NGCA"/>
    <n v="133"/>
    <n v="645"/>
    <n v="645"/>
    <s v="2. Medium"/>
    <s v="DFID/Trocaires"/>
    <s v="IRRC"/>
    <x v="0"/>
    <s v="Not covered"/>
    <x v="0"/>
  </r>
  <r>
    <x v="17"/>
    <s v="MMR001CMP208"/>
    <s v="Cluster 5"/>
    <s v="Boys Boarding house, A Len Bum"/>
    <n v="97.541793999999996"/>
    <n v="24.752471"/>
    <s v="School"/>
    <s v="NGCA"/>
    <m/>
    <n v="528"/>
    <n v="528"/>
    <s v="1. Small"/>
    <s v="Welthungerhilfe"/>
    <m/>
    <x v="2"/>
    <s v="Covered"/>
    <x v="2"/>
  </r>
  <r>
    <x v="17"/>
    <s v="MMR001CMP208"/>
    <s v="Cluster 5"/>
    <s v="Girl Boarding house, A Len Bum"/>
    <n v="97.541793999999996"/>
    <n v="24.752471"/>
    <s v="School"/>
    <s v="NGCA"/>
    <m/>
    <n v="391"/>
    <n v="391"/>
    <s v="1. Small"/>
    <s v="Welthungerhilfe"/>
    <m/>
    <x v="2"/>
    <s v="Covered"/>
    <x v="3"/>
  </r>
  <r>
    <x v="17"/>
    <s v="MMR001CMP028"/>
    <s v="Cluster 2"/>
    <s v="Hkat Cho "/>
    <n v="97.408302000000006"/>
    <n v="25.324567999999999"/>
    <s v="Camp"/>
    <s v="GCA"/>
    <n v="110"/>
    <n v="508"/>
    <n v="508"/>
    <s v="2. Medium"/>
    <s v="AusAid/OXFAM"/>
    <s v="Shalom"/>
    <x v="3"/>
    <s v="Covered"/>
    <x v="3"/>
  </r>
  <r>
    <x v="17"/>
    <s v="MMR001CMP115"/>
    <s v="Cluster 5"/>
    <s v="Hkau Shau (BP 12)"/>
    <n v="97.807182999999995"/>
    <n v="25.200333000000001"/>
    <s v="Camp"/>
    <s v="NGCA"/>
    <n v="172"/>
    <n v="1212"/>
    <n v="1212"/>
    <s v="2. Medium"/>
    <s v="CIDA/ADRA"/>
    <s v="KBC"/>
    <x v="5"/>
    <s v="Covered"/>
    <x v="3"/>
  </r>
  <r>
    <x v="17"/>
    <s v="MMR001CMP027"/>
    <s v="Cluster 2"/>
    <s v="Mading Baptist Church"/>
    <n v="97.451965000000001"/>
    <n v="25.356632000000001"/>
    <s v="Camp"/>
    <s v="GCA"/>
    <n v="22"/>
    <n v="115"/>
    <n v="115"/>
    <s v="1. Small"/>
    <s v="CIDA/ADRA"/>
    <s v="Shalom"/>
    <x v="5"/>
    <s v="Covered"/>
    <x v="2"/>
  </r>
  <r>
    <x v="17"/>
    <s v="MMR001CMP119"/>
    <s v="Cluster 5"/>
    <s v="Maga Yang "/>
    <n v="97.715230000000005"/>
    <n v="24.980250000000002"/>
    <s v="Camp"/>
    <s v="NGCA"/>
    <n v="657"/>
    <n v="2619"/>
    <n v="2619"/>
    <s v="4. Big"/>
    <s v="CIDA/ADRA"/>
    <s v="IRRC"/>
    <x v="0"/>
    <s v="Not covered"/>
    <x v="0"/>
  </r>
  <r>
    <x v="17"/>
    <s v="MMR001CMP031"/>
    <s v="Cluster 2"/>
    <s v="Maina AG Church"/>
    <n v="97.435233999999994"/>
    <n v="25.425276"/>
    <s v="Camp"/>
    <s v="GCA"/>
    <n v="128"/>
    <n v="728"/>
    <n v="728"/>
    <s v="2. Medium"/>
    <s v="AusAid/OXFAM"/>
    <s v="Shalom"/>
    <x v="3"/>
    <s v="Covered"/>
    <x v="3"/>
  </r>
  <r>
    <x v="17"/>
    <s v="MMR001CMP029"/>
    <s v="Cluster 2"/>
    <s v="Maina Catholic Church (St. Joseph)"/>
    <n v="97.438450000000003"/>
    <n v="25.415900000000001"/>
    <s v="Camp"/>
    <s v="GCA"/>
    <n v="238"/>
    <n v="1234"/>
    <n v="1234"/>
    <s v="2. Medium"/>
    <s v="DFID/Trocaires"/>
    <s v="KMSS"/>
    <x v="0"/>
    <s v="Not covered"/>
    <x v="0"/>
  </r>
  <r>
    <x v="17"/>
    <s v="MMR001CMP040"/>
    <s v="Cluster 2"/>
    <s v="Maina KBC (Bawng Ring)"/>
    <n v="97.437434999999994"/>
    <n v="25.411413"/>
    <s v="Camp"/>
    <s v="GCA"/>
    <n v="421"/>
    <n v="2071"/>
    <n v="2071"/>
    <s v="3. Large"/>
    <s v="CIDA/ADRA"/>
    <s v="KBC"/>
    <x v="0"/>
    <s v="Not covered"/>
    <x v="0"/>
  </r>
  <r>
    <x v="17"/>
    <s v="MMR001CMP039"/>
    <s v="Cluster 2"/>
    <s v="Maina Lawang Baptist Church"/>
    <n v="97.426297000000005"/>
    <n v="25.409566000000002"/>
    <s v="Camp"/>
    <s v="GCA"/>
    <n v="46"/>
    <n v="173"/>
    <n v="173"/>
    <s v="1. Small"/>
    <s v="CIDA/ADRA"/>
    <s v="KBC"/>
    <x v="5"/>
    <s v="Covered"/>
    <x v="3"/>
  </r>
  <r>
    <x v="17"/>
    <s v="MMR001CMP033"/>
    <s v="Cluster 2"/>
    <s v="Nawng Hee Village"/>
    <n v="97.345039"/>
    <n v="25.351965"/>
    <s v="Camp"/>
    <s v="GCA"/>
    <n v="18"/>
    <n v="82"/>
    <n v="82"/>
    <s v="1. Small"/>
    <s v="AusAid/OXFAM"/>
    <s v="Shalom"/>
    <x v="0"/>
    <s v="Not covered"/>
    <x v="0"/>
  </r>
  <r>
    <x v="17"/>
    <s v="MMR001CMP120"/>
    <s v="Cluster 5"/>
    <s v="Pajau / Jan Mai"/>
    <n v="97.751389000000003"/>
    <n v="24.831944"/>
    <s v="Camp"/>
    <s v="NGCA"/>
    <n v="181"/>
    <n v="764"/>
    <n v="764"/>
    <s v="2. Medium"/>
    <s v="CIDA/ADRA"/>
    <s v="KBC"/>
    <x v="0"/>
    <s v="Not covered"/>
    <x v="0"/>
  </r>
  <r>
    <x v="17"/>
    <s v="MMR001CMP160"/>
    <s v="Cluster 5"/>
    <s v="Post 6 Camp"/>
    <n v="97.990555999999998"/>
    <n v="25.265277999999999"/>
    <s v="Camp"/>
    <s v="NGCA"/>
    <n v="109"/>
    <n v="640"/>
    <n v="640"/>
    <s v="2. Medium"/>
    <s v="DFID/Trocaires"/>
    <s v="IRRC"/>
    <x v="4"/>
    <s v="Covered"/>
    <x v="3"/>
  </r>
  <r>
    <x v="17"/>
    <s v="MMR001CMP032"/>
    <s v="Cluster 2"/>
    <s v="Qtr. 2 Lhaovo Baptist Church"/>
    <n v="97.441483000000005"/>
    <n v="25.354883999999998"/>
    <s v="Camp"/>
    <s v="GCA"/>
    <n v="94"/>
    <n v="341"/>
    <n v="341"/>
    <s v="2. Medium"/>
    <s v="AusAid/OXFAM"/>
    <s v="Shalom"/>
    <x v="3"/>
    <s v="Covered"/>
    <x v="4"/>
  </r>
  <r>
    <x v="17"/>
    <s v="MMR001CMP025"/>
    <s v="Cluster 2"/>
    <s v="Qtr. 2 Myoma Baptist Church"/>
    <n v="97.438271"/>
    <n v="25.351655000000001"/>
    <s v="Camp"/>
    <s v="GCA"/>
    <n v="70"/>
    <n v="308"/>
    <n v="308"/>
    <s v="2. Medium"/>
    <s v="CIDA/ADRA"/>
    <s v="KBC"/>
    <x v="5"/>
    <s v="Covered"/>
    <x v="4"/>
  </r>
  <r>
    <x v="17"/>
    <s v="MMR001CMP030"/>
    <s v="Cluster 2"/>
    <s v="Qtr. 3 Mu-yin  Baptist Church"/>
    <n v="97.437568999999996"/>
    <n v="25.346004000000001"/>
    <s v="Camp"/>
    <s v="GCA"/>
    <n v="31"/>
    <n v="170"/>
    <n v="170"/>
    <s v="1. Small"/>
    <s v="AusAid/OXFAM"/>
    <s v="Shalom"/>
    <x v="3"/>
    <s v="Covered"/>
    <x v="4"/>
  </r>
  <r>
    <x v="17"/>
    <s v="MMR001CMP026"/>
    <s v="Cluster 2"/>
    <s v="Qtr. 4 Monestry (Thargaya Thayett Taw)"/>
    <n v="97.432495000000003"/>
    <n v="25.350809000000002"/>
    <s v="Camp"/>
    <s v="GCA"/>
    <n v="89"/>
    <n v="473"/>
    <n v="473"/>
    <s v="2. Medium"/>
    <s v="AusAid/OXFAM"/>
    <s v="Shalom"/>
    <x v="3"/>
    <s v="Covered"/>
    <x v="3"/>
  </r>
  <r>
    <x v="17"/>
    <s v="MMR001CMP041"/>
    <s v="Cluster 5"/>
    <s v="Shing Jai"/>
    <n v="98.025662999999994"/>
    <n v="25.418084"/>
    <s v="Camp"/>
    <s v="NGCA"/>
    <n v="188"/>
    <n v="1011"/>
    <n v="1011"/>
    <s v="2. Medium"/>
    <s v="CIDA/ADRA"/>
    <s v="KBC"/>
    <x v="5"/>
    <s v="Covered"/>
    <x v="2"/>
  </r>
  <r>
    <x v="17"/>
    <s v="MMR001CMP037"/>
    <s v="Cluster 2"/>
    <s v="Thargaya Lisu Baptist Church"/>
    <n v="97.427959999999999"/>
    <n v="25.33351"/>
    <s v="Camp"/>
    <s v="GCA"/>
    <n v="42"/>
    <n v="175"/>
    <n v="175"/>
    <s v="1. Small"/>
    <s v="AusAid/OXFAM"/>
    <s v="Shalom"/>
    <x v="3"/>
    <s v="Covered"/>
    <x v="4"/>
  </r>
  <r>
    <x v="17"/>
    <s v="MMR001CMP038"/>
    <s v="Cluster 2"/>
    <s v="Waingmaw AG Church"/>
    <n v="97.443702000000002"/>
    <n v="25.351241999999999"/>
    <s v="Camp"/>
    <s v="GCA"/>
    <n v="85"/>
    <n v="367"/>
    <n v="367"/>
    <s v="2. Medium"/>
    <s v="AusAid/OXFAM"/>
    <s v="Shalom"/>
    <x v="3"/>
    <s v="Covered"/>
    <x v="4"/>
  </r>
  <r>
    <x v="17"/>
    <s v="MMR001CMP036"/>
    <s v="Cluster 2"/>
    <s v="Waingmaw Baptist Zonal Office"/>
    <n v="97.438259000000002"/>
    <n v="25.355841999999999"/>
    <s v="School"/>
    <s v="GCA"/>
    <m/>
    <n v="105"/>
    <n v="105"/>
    <s v="1. Small"/>
    <s v="CIDA/ADRA"/>
    <s v="KBC"/>
    <x v="5"/>
    <s v="Covered"/>
    <x v="0"/>
  </r>
  <r>
    <x v="17"/>
    <s v="MMR001CMP116"/>
    <s v="Cluster 5"/>
    <s v="Woi Chyai "/>
    <n v="97.567116999999996"/>
    <n v="24.768383"/>
    <s v="Camp"/>
    <s v="NGCA"/>
    <n v="281"/>
    <n v="1534"/>
    <n v="1534"/>
    <s v="3. Large"/>
    <s v="Welthungerhilfe"/>
    <s v="IRRC"/>
    <x v="0"/>
    <s v="Not covered"/>
    <x v="0"/>
  </r>
  <r>
    <x v="17"/>
    <s v="MMR001CMP116"/>
    <s v="Cluster 5"/>
    <s v="Woi Chyai  host families"/>
    <n v="97.567116999999996"/>
    <n v="24.768383"/>
    <s v="Village"/>
    <s v="NGCA"/>
    <n v="659"/>
    <n v="3541"/>
    <n v="3541"/>
    <s v="4. Big"/>
    <s v="Welthungerhilfe"/>
    <m/>
    <x v="2"/>
    <s v="Covered"/>
    <x v="0"/>
  </r>
  <r>
    <x v="17"/>
    <s v="MMR001CMP116"/>
    <s v="Cluster 5"/>
    <s v="Woi Chyai (Mong Lai)"/>
    <m/>
    <m/>
    <s v="Camp"/>
    <s v="NGCA"/>
    <n v="48"/>
    <n v="218"/>
    <n v="218"/>
    <s v="1. Small"/>
    <s v="Welthungerhilfe"/>
    <s v="IRRC"/>
    <x v="2"/>
    <s v="Covered"/>
    <x v="2"/>
  </r>
  <r>
    <x v="17"/>
    <s v="MMR001CMP111"/>
    <s v="Cluster 5"/>
    <s v="Zai Awng / Mung Ga Zup"/>
    <n v="97.756789999999995"/>
    <n v="25.106670000000001"/>
    <s v="Camp"/>
    <s v="NGCA"/>
    <n v="667"/>
    <n v="2586"/>
    <n v="2586"/>
    <s v="4. Big"/>
    <s v="CIDA/ADRA"/>
    <s v="KBC"/>
    <x v="5"/>
    <s v="Covered"/>
    <x v="0"/>
  </r>
  <r>
    <x v="18"/>
    <m/>
    <m/>
    <m/>
    <m/>
    <m/>
    <m/>
    <m/>
    <m/>
    <m/>
    <m/>
    <m/>
    <m/>
    <m/>
    <x v="7"/>
    <s v="Covered"/>
    <x v="6"/>
  </r>
  <r>
    <x v="18"/>
    <m/>
    <m/>
    <m/>
    <m/>
    <m/>
    <m/>
    <m/>
    <m/>
    <m/>
    <m/>
    <m/>
    <m/>
    <m/>
    <x v="7"/>
    <m/>
    <x v="6"/>
  </r>
</pivotCacheRecords>
</file>

<file path=xl/pivotCache/pivotCacheRecords3.xml><?xml version="1.0" encoding="utf-8"?>
<pivotCacheRecords xmlns="http://schemas.openxmlformats.org/spreadsheetml/2006/main" xmlns:r="http://schemas.openxmlformats.org/officeDocument/2006/relationships" count="64">
  <r>
    <x v="0"/>
    <m/>
    <x v="0"/>
    <m/>
    <s v="Provision of Hygiene and Sanitation facilities for IDPs at Khaung Doke Khar, Say Tha Mar Gyi and Ohn Taw Gyi 2 camps at Sittwe Township in Rakhine State"/>
    <d v="2012-11-19T00:00:00"/>
    <d v="2013-03-18T00:00:00"/>
    <s v="Completed"/>
    <x v="0"/>
    <n v="2500"/>
    <m/>
    <s v=""/>
    <m/>
    <m/>
    <m/>
    <n v="1"/>
    <n v="0"/>
    <n v="2500"/>
    <n v="2500"/>
    <n v="2500"/>
    <n v="0"/>
    <n v="0"/>
    <n v="0"/>
    <n v="128026"/>
    <n v="128026"/>
    <x v="0"/>
    <n v="0"/>
    <n v="1"/>
    <n v="0.54"/>
    <n v="0.21"/>
    <n v="0.25"/>
    <m/>
  </r>
  <r>
    <x v="0"/>
    <m/>
    <x v="1"/>
    <m/>
    <s v="Emergency support for people displaced by the conflict in Kachin State, Myanmar"/>
    <d v="2013-01-06T00:00:00"/>
    <d v="2014-06-30T00:00:00"/>
    <s v="Completed"/>
    <x v="1"/>
    <n v="11700"/>
    <n v="0.45"/>
    <n v="0.55000000000000004"/>
    <n v="0"/>
    <n v="1"/>
    <n v="0"/>
    <n v="1"/>
    <n v="0"/>
    <n v="7594"/>
    <n v="6040"/>
    <n v="5850"/>
    <n v="0"/>
    <n v="0"/>
    <n v="0"/>
    <n v="530978"/>
    <n v="353985.33333333337"/>
    <x v="1"/>
    <n v="0"/>
    <n v="1"/>
    <n v="0.55500000000000005"/>
    <n v="0.26"/>
    <n v="0.18"/>
    <m/>
  </r>
  <r>
    <x v="0"/>
    <m/>
    <x v="1"/>
    <m/>
    <s v="Emergency support for displaced and hosting communities affected by the Kachin conflict, Myanmar"/>
    <d v="2014-01-09T00:00:00"/>
    <d v="2015-08-31T00:00:00"/>
    <s v="Active"/>
    <x v="2"/>
    <n v="6457"/>
    <m/>
    <n v="1"/>
    <m/>
    <n v="1"/>
    <m/>
    <n v="0.62"/>
    <n v="0.38"/>
    <n v="4039"/>
    <n v="4039"/>
    <n v="1617"/>
    <m/>
    <m/>
    <n v="2418"/>
    <n v="354600"/>
    <n v="0"/>
    <x v="2"/>
    <n v="143852.75459098496"/>
    <n v="1"/>
    <n v="0.33"/>
    <n v="0.34"/>
    <n v="0.34"/>
    <m/>
  </r>
  <r>
    <x v="1"/>
    <s v="KBC"/>
    <x v="2"/>
    <m/>
    <s v="Support for conflict affected internally displaced person in Kachin (SCAIDP)"/>
    <d v="2015-06-01T00:00:00"/>
    <d v="2016-02-28T00:00:00"/>
    <s v="Active"/>
    <x v="3"/>
    <n v="17480"/>
    <n v="0.51"/>
    <n v="0.49"/>
    <n v="0"/>
    <n v="0"/>
    <n v="1"/>
    <n v="1"/>
    <n v="0"/>
    <n v="17480"/>
    <n v="8404"/>
    <n v="17480"/>
    <n v="0"/>
    <n v="0"/>
    <n v="0"/>
    <n v="122295"/>
    <n v="0"/>
    <x v="0"/>
    <n v="122295"/>
    <n v="1"/>
    <n v="0.373"/>
    <n v="0.17899999999999999"/>
    <n v="0.44800000000000001"/>
    <s v="150087 (canada Dolllar)"/>
  </r>
  <r>
    <x v="2"/>
    <m/>
    <x v="3"/>
    <m/>
    <s v=" Improvement of Community Drinking Water Supply and Strengthening of Communal Structures of Marginalised Population in Northern Shan State as well as Humanitarian Assistance to IDP due to the armed conflict in Kachin State (PN: 20121882.5)"/>
    <d v="2013-01-01T00:00:00"/>
    <m/>
    <s v="Completed"/>
    <x v="1"/>
    <m/>
    <m/>
    <s v=""/>
    <m/>
    <m/>
    <m/>
    <m/>
    <m/>
    <m/>
    <m/>
    <m/>
    <m/>
    <m/>
    <m/>
    <n v="338770"/>
    <n v="338770"/>
    <x v="0"/>
    <n v="0"/>
    <m/>
    <m/>
    <m/>
    <m/>
    <m/>
  </r>
  <r>
    <x v="3"/>
    <m/>
    <x v="4"/>
    <m/>
    <s v="Provision of water and sanitation facilities, and non-food relief items - IDPs in Kachin State (M013859)"/>
    <d v="2013-12-01T00:00:00"/>
    <m/>
    <s v="Completed"/>
    <x v="1"/>
    <m/>
    <m/>
    <s v=""/>
    <m/>
    <m/>
    <m/>
    <m/>
    <m/>
    <m/>
    <m/>
    <m/>
    <m/>
    <m/>
    <m/>
    <n v="292113"/>
    <n v="292113"/>
    <x v="0"/>
    <n v="0"/>
    <m/>
    <m/>
    <m/>
    <m/>
    <m/>
  </r>
  <r>
    <x v="4"/>
    <m/>
    <x v="0"/>
    <m/>
    <s v="Humanitarian Assistance to Internally Dispalced Persons in Kachin_x000a_Addendum"/>
    <d v="2012-02-15T00:00:00"/>
    <d v="2012-06-30T00:00:00"/>
    <s v="Completed"/>
    <x v="0"/>
    <n v="25000"/>
    <n v="0.7"/>
    <n v="0.3"/>
    <n v="0"/>
    <n v="0.4"/>
    <n v="0.6"/>
    <n v="1"/>
    <n v="0"/>
    <n v="25000"/>
    <n v="25000"/>
    <n v="25000"/>
    <n v="0"/>
    <n v="0"/>
    <n v="0"/>
    <n v="200970"/>
    <n v="200970"/>
    <x v="0"/>
    <n v="0"/>
    <n v="1"/>
    <n v="0.25103163686382396"/>
    <n v="0.45392022008253097"/>
    <n v="0.29504814305364513"/>
    <m/>
  </r>
  <r>
    <x v="4"/>
    <m/>
    <x v="0"/>
    <m/>
    <s v="Humanitarian Assistance to Internally Dispalced Persons in Kachin_x000a_"/>
    <d v="2012-02-15T00:00:00"/>
    <d v="2012-05-14T00:00:00"/>
    <s v="Completed"/>
    <x v="0"/>
    <n v="25000"/>
    <n v="0.7"/>
    <n v="0.3"/>
    <n v="0"/>
    <n v="0.4"/>
    <n v="0.6"/>
    <n v="1"/>
    <n v="0"/>
    <n v="25000"/>
    <n v="25000"/>
    <n v="25000"/>
    <n v="0"/>
    <n v="0"/>
    <n v="0"/>
    <n v="171388.23529411765"/>
    <n v="171388.23529411765"/>
    <x v="0"/>
    <n v="0"/>
    <n v="1"/>
    <n v="0.25"/>
    <n v="0.45"/>
    <n v="0.3"/>
    <m/>
  </r>
  <r>
    <x v="4"/>
    <m/>
    <x v="0"/>
    <m/>
    <s v="Humanitarian Assistance to Internally Dispalced Persons in Kachin"/>
    <d v="2012-05-14T00:00:00"/>
    <d v="2012-07-14T00:00:00"/>
    <s v="Completed"/>
    <x v="0"/>
    <n v="7733"/>
    <n v="0.55000000000000004"/>
    <n v="0.45"/>
    <n v="0"/>
    <n v="0.5"/>
    <n v="0.5"/>
    <n v="1"/>
    <n v="0"/>
    <n v="7733"/>
    <n v="7733"/>
    <n v="7733"/>
    <n v="0"/>
    <n v="0"/>
    <n v="0"/>
    <n v="33603.976470588233"/>
    <n v="33603.976470588233"/>
    <x v="0"/>
    <n v="0"/>
    <n v="1"/>
    <n v="0.04"/>
    <n v="0.95"/>
    <n v="0"/>
    <m/>
  </r>
  <r>
    <x v="4"/>
    <m/>
    <x v="0"/>
    <m/>
    <s v="Humanitarian Assistance to Internally Dispalced Persons in Kachin"/>
    <d v="2014-10-01T00:00:00"/>
    <d v="2015-04-15T00:00:00"/>
    <s v="Active"/>
    <x v="2"/>
    <n v="11820"/>
    <n v="0.86"/>
    <n v="0.14000000000000001"/>
    <n v="0"/>
    <n v="0.87"/>
    <n v="0.13"/>
    <n v="1"/>
    <n v="0"/>
    <n v="5360"/>
    <n v="11820"/>
    <n v="9833"/>
    <n v="0"/>
    <n v="0"/>
    <n v="0"/>
    <n v="220997.4"/>
    <n v="0"/>
    <x v="3"/>
    <n v="118391.46428571428"/>
    <n v="1"/>
    <n v="0.44"/>
    <n v="0.2"/>
    <n v="0.36"/>
    <m/>
  </r>
  <r>
    <x v="5"/>
    <m/>
    <x v="0"/>
    <m/>
    <s v="Humanitarian Assistance to Internally Dispalced Persons in Kachin"/>
    <d v="2012-06-02T00:00:00"/>
    <d v="2012-10-30T00:00:00"/>
    <s v="Completed"/>
    <x v="0"/>
    <n v="5500"/>
    <n v="0.35"/>
    <n v="0.65"/>
    <n v="0"/>
    <n v="0.6"/>
    <n v="0.4"/>
    <n v="1"/>
    <n v="0"/>
    <n v="5500"/>
    <n v="5500"/>
    <n v="5500"/>
    <n v="0"/>
    <n v="0"/>
    <n v="0"/>
    <n v="129924.9705882353"/>
    <n v="129924.9705882353"/>
    <x v="0"/>
    <n v="0"/>
    <n v="1"/>
    <n v="0.41"/>
    <n v="0.3"/>
    <n v="0.28999999999999998"/>
    <m/>
  </r>
  <r>
    <x v="5"/>
    <m/>
    <x v="0"/>
    <m/>
    <s v="Humanitarian Assistance to Internally Dispalced Persons in Kachin"/>
    <d v="2012-04-29T00:00:00"/>
    <d v="2012-07-29T00:00:00"/>
    <s v="Completed"/>
    <x v="0"/>
    <n v="18791"/>
    <n v="0.48"/>
    <n v="0.52"/>
    <n v="0.3"/>
    <n v="0.5"/>
    <n v="0.2"/>
    <n v="1"/>
    <n v="0"/>
    <n v="18791"/>
    <n v="18791"/>
    <n v="18791"/>
    <n v="0"/>
    <n v="0"/>
    <n v="0"/>
    <n v="149287.59647058824"/>
    <n v="149287.59647058824"/>
    <x v="0"/>
    <n v="0"/>
    <n v="1"/>
    <n v="0.26100382615963141"/>
    <n v="0.62"/>
    <n v="0.11847803109484276"/>
    <m/>
  </r>
  <r>
    <x v="5"/>
    <m/>
    <x v="0"/>
    <m/>
    <s v="Humanitarian Assistance to Internally Dispalced Persons in Kachin"/>
    <d v="2013-03-11T00:00:00"/>
    <d v="2013-03-25T00:00:00"/>
    <s v="Completed"/>
    <x v="1"/>
    <n v="493"/>
    <n v="0.45"/>
    <n v="0.55000000000000004"/>
    <n v="0"/>
    <n v="1"/>
    <n v="0"/>
    <n v="1"/>
    <n v="0"/>
    <n v="493"/>
    <n v="0"/>
    <n v="0"/>
    <n v="0"/>
    <n v="0"/>
    <n v="0"/>
    <n v="3031.5058823529412"/>
    <n v="3031.5058823529412"/>
    <x v="0"/>
    <n v="0"/>
    <n v="1"/>
    <n v="1"/>
    <n v="0"/>
    <n v="0"/>
    <m/>
  </r>
  <r>
    <x v="5"/>
    <m/>
    <x v="5"/>
    <m/>
    <m/>
    <d v="2013-01-01T00:00:00"/>
    <m/>
    <s v="Completed"/>
    <x v="1"/>
    <m/>
    <m/>
    <s v=""/>
    <m/>
    <m/>
    <m/>
    <m/>
    <m/>
    <m/>
    <m/>
    <m/>
    <m/>
    <m/>
    <m/>
    <m/>
    <n v="0"/>
    <x v="0"/>
    <n v="0"/>
    <m/>
    <m/>
    <m/>
    <m/>
    <m/>
  </r>
  <r>
    <x v="5"/>
    <m/>
    <x v="0"/>
    <s v="CERF"/>
    <s v="Humanitarian assitance to internally displaced persons in Kachin State"/>
    <d v="2014-01-24T00:00:00"/>
    <d v="2014-07-23T00:00:00"/>
    <s v="Completed"/>
    <x v="2"/>
    <n v="3756"/>
    <n v="0.65"/>
    <n v="0.35"/>
    <n v="0.61"/>
    <n v="0"/>
    <n v="0.38684771033013843"/>
    <n v="1"/>
    <n v="0"/>
    <n v="3756"/>
    <n v="3756"/>
    <n v="3756"/>
    <n v="0"/>
    <n v="0"/>
    <n v="0"/>
    <n v="201418"/>
    <n v="0"/>
    <x v="4"/>
    <n v="0"/>
    <n v="1"/>
    <n v="0.5"/>
    <n v="0.43"/>
    <n v="7.0000000000000007E-2"/>
    <m/>
  </r>
  <r>
    <x v="6"/>
    <m/>
    <x v="1"/>
    <m/>
    <s v="Supporting life saving health interventions in conflict affected populations in Northern Shan State, Myanmar"/>
    <d v="2013-05-18T00:00:00"/>
    <d v="2014-05-18T00:00:00"/>
    <s v="Completed"/>
    <x v="1"/>
    <n v="33204"/>
    <n v="0.1"/>
    <n v="0.9"/>
    <n v="0"/>
    <n v="0"/>
    <n v="1"/>
    <n v="7.0000000000000007E-2"/>
    <n v="0.93"/>
    <n v="2416"/>
    <n v="146"/>
    <n v="2416"/>
    <n v="22000"/>
    <n v="8788"/>
    <n v="30788"/>
    <n v="26986"/>
    <n v="16857.008219178082"/>
    <x v="5"/>
    <n v="0"/>
    <n v="0.04"/>
    <n v="0.82"/>
    <n v="0.12"/>
    <n v="0.06"/>
    <m/>
  </r>
  <r>
    <x v="7"/>
    <m/>
    <x v="0"/>
    <m/>
    <s v="Humanitarian Assistance to Internally Dispalced Persons in Kachin"/>
    <d v="2012-03-05T00:00:00"/>
    <d v="2012-06-14T00:00:00"/>
    <s v="Completed"/>
    <x v="0"/>
    <n v="14000"/>
    <m/>
    <s v=""/>
    <m/>
    <m/>
    <m/>
    <n v="1"/>
    <n v="0"/>
    <n v="14000"/>
    <n v="14000"/>
    <n v="14000"/>
    <n v="0"/>
    <n v="0"/>
    <n v="0"/>
    <n v="92437.647058823524"/>
    <n v="92437.647058823524"/>
    <x v="0"/>
    <n v="0"/>
    <n v="1"/>
    <n v="0.36"/>
    <n v="0.53"/>
    <n v="0.1"/>
    <m/>
  </r>
  <r>
    <x v="7"/>
    <m/>
    <x v="0"/>
    <m/>
    <s v="Humanitarian Assistance to Internally Dispalced Persons in Kachin"/>
    <d v="2012-02-02T00:00:00"/>
    <d v="2012-06-30T00:00:00"/>
    <s v="Completed"/>
    <x v="0"/>
    <n v="3240"/>
    <m/>
    <s v=""/>
    <m/>
    <m/>
    <m/>
    <n v="1"/>
    <n v="0"/>
    <n v="3240"/>
    <n v="3240"/>
    <n v="3240"/>
    <n v="0"/>
    <n v="0"/>
    <n v="0"/>
    <n v="34710.588235294119"/>
    <n v="34710.588235294119"/>
    <x v="0"/>
    <n v="0"/>
    <n v="1"/>
    <n v="0.35"/>
    <n v="0.38"/>
    <n v="0.36"/>
    <m/>
  </r>
  <r>
    <x v="7"/>
    <m/>
    <x v="0"/>
    <m/>
    <s v="Humanitarian Assistance to Internally Dispalced Persons in Kachin"/>
    <d v="2012-02-01T00:00:00"/>
    <d v="2012-04-30T00:00:00"/>
    <s v="Completed"/>
    <x v="0"/>
    <n v="14000"/>
    <m/>
    <s v=""/>
    <m/>
    <m/>
    <m/>
    <n v="1"/>
    <n v="0"/>
    <n v="14000"/>
    <n v="14000"/>
    <n v="14000"/>
    <n v="0"/>
    <n v="0"/>
    <n v="0"/>
    <n v="83760"/>
    <n v="83760"/>
    <x v="0"/>
    <n v="0"/>
    <n v="1"/>
    <n v="0.42"/>
    <n v="0.55000000000000004"/>
    <n v="0.22"/>
    <m/>
  </r>
  <r>
    <x v="7"/>
    <m/>
    <x v="0"/>
    <m/>
    <s v="Humanitarian Assistance to Internally Dispalced Persons in Kachin"/>
    <d v="2013-03-13T00:00:00"/>
    <d v="2013-06-12T00:00:00"/>
    <s v="Completed"/>
    <x v="1"/>
    <n v="19000"/>
    <n v="0.68421052631578949"/>
    <n v="0.31578947368421051"/>
    <n v="0"/>
    <n v="0.32"/>
    <n v="0.68321052631578949"/>
    <n v="1"/>
    <n v="0"/>
    <n v="19000"/>
    <n v="19000"/>
    <n v="19000"/>
    <n v="0"/>
    <n v="0"/>
    <n v="0"/>
    <n v="98314.495294117645"/>
    <n v="98314.495294117645"/>
    <x v="0"/>
    <n v="0"/>
    <n v="1"/>
    <n v="0.26924400268856291"/>
    <n v="0.14000000000000001"/>
    <n v="0.58604606937202164"/>
    <m/>
  </r>
  <r>
    <x v="7"/>
    <m/>
    <x v="0"/>
    <m/>
    <s v="Humanitarian Assistance to Internally Dispalced Persons in Kachin"/>
    <d v="2012-06-22T00:00:00"/>
    <d v="2013-03-31T00:00:00"/>
    <s v="Completed"/>
    <x v="0"/>
    <m/>
    <m/>
    <s v=""/>
    <m/>
    <m/>
    <m/>
    <m/>
    <m/>
    <m/>
    <m/>
    <m/>
    <m/>
    <m/>
    <m/>
    <n v="175294.05769230769"/>
    <n v="175294.05769230769"/>
    <x v="0"/>
    <n v="0"/>
    <m/>
    <m/>
    <m/>
    <m/>
    <m/>
  </r>
  <r>
    <x v="7"/>
    <m/>
    <x v="0"/>
    <m/>
    <s v="Humanitarian Assistance to Internally Dispalced Persons in Kachin"/>
    <d v="2014-01-09T00:00:00"/>
    <d v="2014-11-08T00:00:00"/>
    <s v="Completed"/>
    <x v="2"/>
    <n v="11000"/>
    <n v="0.62"/>
    <n v="0.38"/>
    <n v="0"/>
    <n v="1"/>
    <n v="0"/>
    <n v="1"/>
    <n v="0"/>
    <n v="11000"/>
    <n v="11000"/>
    <n v="11000"/>
    <n v="0"/>
    <n v="0"/>
    <n v="0"/>
    <n v="337220.99"/>
    <n v="0"/>
    <x v="6"/>
    <n v="0"/>
    <n v="1"/>
    <n v="0.33"/>
    <n v="0.33"/>
    <n v="0.34"/>
    <m/>
  </r>
  <r>
    <x v="7"/>
    <m/>
    <x v="0"/>
    <m/>
    <s v="Humanitarian Assistance to Internally Dispalced Persons in Kachin"/>
    <d v="2014-10-16T00:00:00"/>
    <d v="2015-04-15T00:00:00"/>
    <s v="Active"/>
    <x v="2"/>
    <n v="13389"/>
    <n v="0.59"/>
    <n v="0.41"/>
    <n v="0"/>
    <n v="1"/>
    <n v="0"/>
    <n v="1"/>
    <n v="0"/>
    <n v="5571"/>
    <n v="5643"/>
    <n v="13389"/>
    <n v="0"/>
    <n v="0"/>
    <n v="0"/>
    <n v="288461.43"/>
    <n v="0"/>
    <x v="7"/>
    <n v="167339.5035911602"/>
    <n v="1"/>
    <n v="0.23"/>
    <n v="0.23"/>
    <n v="0.54"/>
    <m/>
  </r>
  <r>
    <x v="7"/>
    <s v="Oxfam"/>
    <x v="6"/>
    <m/>
    <s v="Humanitarian Assistance to Internally Dispalced Persons in Kachin"/>
    <d v="2014-04-28T00:00:00"/>
    <d v="2014-06-12T00:00:00"/>
    <s v="Completed"/>
    <x v="2"/>
    <m/>
    <m/>
    <m/>
    <n v="1"/>
    <n v="0"/>
    <n v="0"/>
    <n v="1"/>
    <n v="0"/>
    <m/>
    <m/>
    <m/>
    <m/>
    <m/>
    <m/>
    <n v="43482"/>
    <n v="0"/>
    <x v="8"/>
    <n v="0"/>
    <m/>
    <m/>
    <m/>
    <m/>
    <m/>
  </r>
  <r>
    <x v="7"/>
    <m/>
    <x v="7"/>
    <m/>
    <s v="Humanitarian Assistance to Internally Dispalced Persons in NSS"/>
    <d v="2015-02-01T00:00:00"/>
    <d v="2015-03-31T00:00:00"/>
    <s v="Active"/>
    <x v="3"/>
    <n v="4000"/>
    <n v="0"/>
    <n v="1"/>
    <n v="1"/>
    <n v="0"/>
    <n v="0"/>
    <n v="1"/>
    <n v="0"/>
    <n v="4000"/>
    <n v="4000"/>
    <n v="4000"/>
    <n v="0"/>
    <n v="0"/>
    <n v="0"/>
    <n v="400000"/>
    <n v="0"/>
    <x v="0"/>
    <n v="400000"/>
    <n v="1"/>
    <n v="0.4"/>
    <n v="0.3"/>
    <n v="0.3"/>
    <s v="this fund allocation is for only Metta (LSO) office and updated in May 15"/>
  </r>
  <r>
    <x v="7"/>
    <m/>
    <x v="8"/>
    <m/>
    <s v="Humanitarian Assistance to People Displaced in Kachin and Northern Shan State-Myanmar"/>
    <d v="2015-04-01T00:00:00"/>
    <d v="2015-03-31T00:00:00"/>
    <s v="Active"/>
    <x v="3"/>
    <n v="18227"/>
    <m/>
    <n v="18227"/>
    <m/>
    <m/>
    <m/>
    <n v="1"/>
    <m/>
    <m/>
    <m/>
    <m/>
    <m/>
    <m/>
    <m/>
    <m/>
    <n v="0"/>
    <x v="0"/>
    <n v="0"/>
    <m/>
    <n v="0"/>
    <m/>
    <m/>
    <s v="CAD 560,670 Including Shelter . Still need to follow up with Metta Yangon office because field office from Myitkyina &amp; Lashio can't provide sufficen information. "/>
  </r>
  <r>
    <x v="8"/>
    <s v="KBC/Shalom"/>
    <x v="1"/>
    <s v="Australian_x000a_CIDA"/>
    <s v="Emergency Response for Conflict-Affected Population in Kachin and Northern Shan"/>
    <d v="2013-01-01T00:00:00"/>
    <d v="2014-03-31T00:00:00"/>
    <s v="Completed"/>
    <x v="1"/>
    <n v="19794"/>
    <n v="0.42437102152167322"/>
    <n v="0.57562897847832684"/>
    <n v="0"/>
    <n v="0"/>
    <n v="1"/>
    <n v="1"/>
    <n v="0"/>
    <n v="5240"/>
    <n v="13650"/>
    <n v="19794"/>
    <n v="0"/>
    <n v="0"/>
    <n v="0"/>
    <n v="774563"/>
    <n v="622721.35462555068"/>
    <x v="9"/>
    <n v="0"/>
    <n v="1"/>
    <n v="0.2"/>
    <n v="0.22"/>
    <n v="0.57999999999999996"/>
    <s v="Data input on 17/10/2013"/>
  </r>
  <r>
    <x v="8"/>
    <s v="KBC/Shalom"/>
    <x v="9"/>
    <s v="ECHO/CIDA"/>
    <s v="Same project than previous one, co-financing"/>
    <d v="2013-01-01T00:00:00"/>
    <d v="2014-03-31T00:00:00"/>
    <s v="Completed"/>
    <x v="1"/>
    <m/>
    <m/>
    <m/>
    <m/>
    <m/>
    <m/>
    <m/>
    <m/>
    <m/>
    <m/>
    <m/>
    <m/>
    <m/>
    <m/>
    <n v="515029"/>
    <n v="414065.16519823787"/>
    <x v="10"/>
    <n v="0"/>
    <m/>
    <m/>
    <m/>
    <m/>
    <m/>
  </r>
  <r>
    <x v="8"/>
    <s v="KBC/Shalom"/>
    <x v="2"/>
    <s v="ECHO/Australian"/>
    <s v="Same project than previous one, co-financing"/>
    <d v="2013-01-01T00:00:00"/>
    <d v="2014-03-31T00:00:00"/>
    <s v="Completed"/>
    <x v="1"/>
    <m/>
    <m/>
    <m/>
    <m/>
    <m/>
    <m/>
    <m/>
    <m/>
    <m/>
    <m/>
    <m/>
    <m/>
    <m/>
    <m/>
    <n v="191487"/>
    <n v="153948.79955947137"/>
    <x v="11"/>
    <n v="0"/>
    <m/>
    <m/>
    <m/>
    <m/>
    <m/>
  </r>
  <r>
    <x v="8"/>
    <s v="KBC/Shalom"/>
    <x v="10"/>
    <m/>
    <s v="Emergency Response for Conflict-Affected Population in Kachin and Northern Shan 14/15"/>
    <d v="2014-05-01T00:00:00"/>
    <d v="2015-05-31T00:00:00"/>
    <s v="Completed"/>
    <x v="2"/>
    <n v="23013"/>
    <n v="0.41467865988788943"/>
    <n v="0.58532134011211057"/>
    <n v="0"/>
    <n v="0"/>
    <n v="1"/>
    <n v="1"/>
    <n v="0"/>
    <n v="23013"/>
    <n v="23013"/>
    <n v="23013"/>
    <n v="0"/>
    <n v="0"/>
    <n v="0"/>
    <n v="711973"/>
    <n v="0"/>
    <x v="12"/>
    <n v="272171.95696202532"/>
    <n v="1"/>
    <n v="0.16"/>
    <n v="0.09"/>
    <n v="0.75"/>
    <s v="Data input on 09/06/2014. Note this funding does not enable full coverage with hygiene kits in GCA camps. Oxfam will submit to UNICEF a proposal to cover the gap, but targeting will also be established this year due to increasing livlihoods and decreasing donor funds. "/>
  </r>
  <r>
    <x v="8"/>
    <s v="Metta/Shalom"/>
    <x v="2"/>
    <m/>
    <s v="Kachin Humanitarian Response (CIDA II)"/>
    <s v="01/04/2015"/>
    <s v="31/03/2016"/>
    <s v="Active"/>
    <x v="3"/>
    <n v="13880"/>
    <m/>
    <n v="1"/>
    <n v="0"/>
    <m/>
    <m/>
    <n v="1"/>
    <n v="0"/>
    <n v="13880"/>
    <n v="13880"/>
    <n v="13880"/>
    <m/>
    <m/>
    <m/>
    <n v="83010"/>
    <n v="0"/>
    <x v="0"/>
    <n v="83010"/>
    <n v="1"/>
    <m/>
    <m/>
    <m/>
    <m/>
  </r>
  <r>
    <x v="8"/>
    <s v="KBC/Shalom"/>
    <x v="1"/>
    <m/>
    <s v="Emergency response for IDP in Kachin 2015/16 (HIP 2015)"/>
    <d v="2015-08-01T00:00:00"/>
    <d v="2015-12-31T00:00:00"/>
    <s v="Active"/>
    <x v="3"/>
    <n v="4735"/>
    <m/>
    <n v="1"/>
    <m/>
    <m/>
    <n v="1"/>
    <n v="1"/>
    <m/>
    <n v="4735"/>
    <n v="4735"/>
    <n v="4735"/>
    <m/>
    <m/>
    <m/>
    <n v="107174"/>
    <n v="0"/>
    <x v="0"/>
    <n v="107174"/>
    <n v="1"/>
    <n v="0.31829548211319908"/>
    <n v="0.10458693339802565"/>
    <n v="0.5768656577154907"/>
    <m/>
  </r>
  <r>
    <x v="9"/>
    <s v="KBC"/>
    <x v="3"/>
    <m/>
    <s v="Live saving Emergency aid to internally displaced people in  Kachin state,Myanmar."/>
    <d v="2015-01-01T00:00:00"/>
    <d v="2015-09-30T00:00:00"/>
    <s v="Active"/>
    <x v="3"/>
    <n v="3088"/>
    <n v="0"/>
    <n v="1"/>
    <n v="1"/>
    <n v="0"/>
    <n v="0"/>
    <n v="1"/>
    <n v="0"/>
    <n v="0"/>
    <n v="0"/>
    <n v="3088"/>
    <n v="0"/>
    <n v="0"/>
    <n v="0"/>
    <n v="75653"/>
    <n v="0"/>
    <x v="0"/>
    <n v="75653"/>
    <m/>
    <m/>
    <m/>
    <m/>
    <s v="Only on HK"/>
  </r>
  <r>
    <x v="10"/>
    <s v="WPN"/>
    <x v="1"/>
    <m/>
    <s v="Emergency Assistance to Conflict Affected Populations in Myanmar"/>
    <d v="2013-06-01T00:00:00"/>
    <d v="2014-02-28T00:00:00"/>
    <s v="Completed"/>
    <x v="1"/>
    <n v="9566"/>
    <n v="0.86"/>
    <n v="0.14000000000000001"/>
    <n v="0.89"/>
    <n v="0"/>
    <n v="0.11"/>
    <n v="1"/>
    <n v="0"/>
    <n v="1905"/>
    <n v="9566"/>
    <n v="9566"/>
    <n v="0"/>
    <n v="0"/>
    <n v="0"/>
    <n v="264760"/>
    <n v="208303.82352941178"/>
    <x v="13"/>
    <n v="0"/>
    <n v="0.8"/>
    <n v="0.13"/>
    <n v="0.14000000000000001"/>
    <n v="0.73"/>
    <m/>
  </r>
  <r>
    <x v="10"/>
    <s v="WPN"/>
    <x v="11"/>
    <m/>
    <s v="MMR Kachin  Humanitarian Response"/>
    <d v="2014-01-01T00:00:00"/>
    <d v="2014-12-31T00:00:00"/>
    <s v="Completed"/>
    <x v="2"/>
    <m/>
    <n v="0"/>
    <n v="1"/>
    <n v="0.89"/>
    <n v="0"/>
    <n v="0.11"/>
    <n v="1"/>
    <n v="0"/>
    <n v="1905"/>
    <n v="9566"/>
    <n v="9566"/>
    <n v="0"/>
    <n v="0"/>
    <n v="0"/>
    <n v="17000"/>
    <n v="0"/>
    <x v="14"/>
    <n v="0"/>
    <m/>
    <m/>
    <m/>
    <m/>
    <m/>
  </r>
  <r>
    <x v="10"/>
    <s v="WPN"/>
    <x v="12"/>
    <m/>
    <s v="Humanitarian assistance to populations affected by vioence in Rakhine &amp; Kachin States"/>
    <d v="2014-01-01T00:00:00"/>
    <d v="2015-06-30T00:00:00"/>
    <s v="Active"/>
    <x v="2"/>
    <n v="8010"/>
    <n v="0.93"/>
    <n v="6.9999999999999951E-2"/>
    <n v="0.1"/>
    <n v="0.9"/>
    <n v="0"/>
    <n v="1"/>
    <n v="0"/>
    <n v="8010"/>
    <n v="8010"/>
    <n v="8010"/>
    <n v="0"/>
    <n v="0"/>
    <n v="0"/>
    <n v="102308"/>
    <n v="0"/>
    <x v="15"/>
    <n v="33977.519266055046"/>
    <m/>
    <m/>
    <m/>
    <m/>
    <m/>
  </r>
  <r>
    <x v="10"/>
    <s v="WPN"/>
    <x v="13"/>
    <m/>
    <s v="MMR Emergency assistance to populations affected by displacement and violence in Kachin State"/>
    <d v="2014-01-01T00:00:00"/>
    <d v="2014-09-09T00:00:00"/>
    <s v="Completed"/>
    <x v="2"/>
    <m/>
    <n v="0.47"/>
    <n v="0.53"/>
    <m/>
    <m/>
    <m/>
    <m/>
    <m/>
    <m/>
    <m/>
    <m/>
    <m/>
    <m/>
    <m/>
    <n v="80400"/>
    <n v="0"/>
    <x v="16"/>
    <n v="0"/>
    <m/>
    <m/>
    <m/>
    <m/>
    <m/>
  </r>
  <r>
    <x v="10"/>
    <m/>
    <x v="0"/>
    <s v="CERF"/>
    <s v="Development of Lifesaving WASH Facilities in tandem with New Shelter Construction for IDPs_x000a_"/>
    <d v="2014-07-02T00:00:00"/>
    <d v="2015-02-28T00:00:00"/>
    <s v="Completed"/>
    <x v="2"/>
    <n v="10837"/>
    <n v="0.43323798099104921"/>
    <n v="0.56999999999999995"/>
    <n v="0.23798099104918335"/>
    <n v="0"/>
    <n v="0.76"/>
    <n v="1"/>
    <n v="0"/>
    <n v="10837"/>
    <n v="10837"/>
    <n v="10837"/>
    <n v="0"/>
    <n v="0"/>
    <n v="0"/>
    <n v="455030"/>
    <n v="0"/>
    <x v="17"/>
    <n v="111397.38589211617"/>
    <n v="1"/>
    <n v="7.0000000000000007E-2"/>
    <n v="0.18"/>
    <n v="0.75"/>
    <m/>
  </r>
  <r>
    <x v="10"/>
    <m/>
    <x v="1"/>
    <m/>
    <s v="Contribute to improved living conditions for conflict affected children and their families in Kachin/NSS states"/>
    <d v="2014-07-01T00:00:00"/>
    <d v="2015-08-31T00:00:00"/>
    <s v="Active"/>
    <x v="2"/>
    <n v="13266"/>
    <n v="0.75"/>
    <n v="0.25"/>
    <n v="0.25"/>
    <n v="0.75"/>
    <n v="0"/>
    <n v="1"/>
    <n v="0"/>
    <n v="13266"/>
    <n v="13266"/>
    <n v="13266"/>
    <n v="0"/>
    <n v="0"/>
    <n v="0"/>
    <n v="419947"/>
    <n v="0"/>
    <x v="18"/>
    <n v="239547.2323943662"/>
    <n v="1"/>
    <n v="7.0000000000000007E-2"/>
    <n v="0.18"/>
    <n v="0.75"/>
    <m/>
  </r>
  <r>
    <x v="10"/>
    <m/>
    <x v="12"/>
    <m/>
    <s v="MMR Humanitarian Assistance for Households Affected Kacin State, Burma"/>
    <d v="2015-01-04T00:00:00"/>
    <d v="2016-03-31T00:00:00"/>
    <s v="Active"/>
    <x v="3"/>
    <n v="1140"/>
    <n v="0"/>
    <n v="1"/>
    <n v="1"/>
    <n v="0"/>
    <n v="0"/>
    <n v="1"/>
    <n v="0"/>
    <n v="1140"/>
    <n v="1140"/>
    <n v="1140"/>
    <n v="0"/>
    <n v="0"/>
    <n v="0"/>
    <n v="236184"/>
    <n v="0"/>
    <x v="0"/>
    <n v="236184"/>
    <n v="1"/>
    <n v="7.0000000000000007E-2"/>
    <n v="0.18"/>
    <n v="0.75"/>
    <m/>
  </r>
  <r>
    <x v="11"/>
    <m/>
    <x v="0"/>
    <s v="CERF"/>
    <s v="Humanitarian Assistance to Internally Dispalced Persons in Kachin"/>
    <d v="2013-12-24T00:00:00"/>
    <d v="2014-10-31T00:00:00"/>
    <s v="Completed"/>
    <x v="1"/>
    <n v="6184"/>
    <n v="0"/>
    <n v="1"/>
    <n v="0"/>
    <n v="0"/>
    <n v="1"/>
    <n v="1"/>
    <n v="0"/>
    <n v="3538"/>
    <n v="2913"/>
    <n v="2238"/>
    <n v="0"/>
    <n v="0"/>
    <n v="0"/>
    <n v="306018"/>
    <n v="7871.8456591639551"/>
    <x v="19"/>
    <n v="0"/>
    <n v="1"/>
    <n v="0.42000000000000004"/>
    <n v="0.24"/>
    <n v="0.34"/>
    <m/>
  </r>
  <r>
    <x v="12"/>
    <m/>
    <x v="0"/>
    <m/>
    <s v="Emergency WASH support for the affected population in Southern Kachin State"/>
    <d v="2012-06-04T00:00:00"/>
    <d v="2013-01-16T00:00:00"/>
    <s v="Completed"/>
    <x v="0"/>
    <n v="11524"/>
    <n v="0.22"/>
    <n v="0.78"/>
    <n v="0"/>
    <n v="1"/>
    <n v="0"/>
    <n v="1"/>
    <n v="0"/>
    <n v="9024"/>
    <n v="9024"/>
    <n v="9024"/>
    <n v="2500"/>
    <n v="2500"/>
    <n v="2500"/>
    <n v="220000"/>
    <n v="220000"/>
    <x v="0"/>
    <n v="0"/>
    <n v="0.85"/>
    <n v="0.33"/>
    <n v="0.23"/>
    <n v="0.44"/>
    <m/>
  </r>
  <r>
    <x v="12"/>
    <m/>
    <x v="0"/>
    <m/>
    <s v="Emergency WASH support for the affected population in Southern Kachin State"/>
    <d v="2012-11-27T00:00:00"/>
    <d v="2013-02-26T00:00:00"/>
    <s v="Completed"/>
    <x v="0"/>
    <n v="7000"/>
    <n v="0"/>
    <n v="1"/>
    <n v="0"/>
    <n v="1"/>
    <n v="0"/>
    <n v="1"/>
    <n v="0"/>
    <n v="7000"/>
    <n v="7000"/>
    <n v="7000"/>
    <m/>
    <m/>
    <m/>
    <n v="158854"/>
    <n v="158854"/>
    <x v="0"/>
    <n v="0"/>
    <n v="1"/>
    <n v="0.95637415012976246"/>
    <n v="1.5354404523431255E-2"/>
    <n v="2.8271445346806263E-2"/>
    <m/>
  </r>
  <r>
    <x v="12"/>
    <m/>
    <x v="1"/>
    <m/>
    <s v="Water, Sanitation and Hygiene assistance for IDPs affected by the conflict in Southern Kachin State (ECHO/-XA/BUD/2012/91023)"/>
    <d v="2013-06-01T00:00:00"/>
    <d v="2014-05-31T00:00:00"/>
    <s v="Completed"/>
    <x v="1"/>
    <n v="13020"/>
    <n v="0.60675883256528418"/>
    <n v="0.39324116743471582"/>
    <n v="0"/>
    <n v="1"/>
    <n v="0"/>
    <n v="1"/>
    <n v="0"/>
    <n v="5120"/>
    <n v="13020"/>
    <n v="5120"/>
    <n v="0"/>
    <n v="0"/>
    <n v="0"/>
    <n v="796569"/>
    <n v="468312.54395604396"/>
    <x v="20"/>
    <n v="0"/>
    <n v="1"/>
    <n v="0.23"/>
    <n v="0.01"/>
    <n v="0.19"/>
    <s v="Part of global project including Rakhines. For activities the 58% remaining are for Winter kits and assesment of new sites."/>
  </r>
  <r>
    <x v="12"/>
    <m/>
    <x v="14"/>
    <m/>
    <s v=" WASH activities and distribution of non-food items in the Bhamo camps"/>
    <d v="2012-01-04T00:00:00"/>
    <d v="2012-05-03T00:00:00"/>
    <s v="Completed"/>
    <x v="0"/>
    <n v="7280"/>
    <n v="0"/>
    <n v="1"/>
    <n v="0"/>
    <n v="1"/>
    <n v="0"/>
    <n v="1"/>
    <n v="0"/>
    <n v="4500"/>
    <n v="0"/>
    <n v="7280"/>
    <n v="0"/>
    <n v="0"/>
    <n v="0"/>
    <n v="197000"/>
    <n v="197000"/>
    <x v="0"/>
    <n v="0"/>
    <n v="1"/>
    <n v="0.05"/>
    <n v="0"/>
    <n v="0.95"/>
    <m/>
  </r>
  <r>
    <x v="12"/>
    <m/>
    <x v="1"/>
    <s v="UNICEF/OFDA"/>
    <s v="Water, Sanitation and Hygiene assistance for IDPs affected by the conflict in Southern Kachin State (ECHO/-XA/BUD/2012/91023)"/>
    <d v="2012-07-25T00:00:00"/>
    <d v="2013-06-24T00:00:00"/>
    <s v="Completed"/>
    <x v="0"/>
    <n v="35714"/>
    <n v="0.63162905303242423"/>
    <n v="0.36837094696757577"/>
    <n v="0"/>
    <n v="1"/>
    <n v="0"/>
    <n v="1"/>
    <n v="0"/>
    <n v="13773"/>
    <n v="13667"/>
    <n v="29447"/>
    <n v="0"/>
    <n v="0"/>
    <n v="0"/>
    <n v="504350"/>
    <n v="504350"/>
    <x v="0"/>
    <n v="0"/>
    <n v="1"/>
    <n v="0.39643956684854842"/>
    <n v="5.0268897101294854E-2"/>
    <n v="0.19999887842710617"/>
    <s v="Cofi-UNICEF-CERF//ECHO The reported beneficiaries are under the ECHO Project for both of those project // ----------------------------------------------------------------the remaining 35% for the distribution of Winter Kits"/>
  </r>
  <r>
    <x v="12"/>
    <m/>
    <x v="1"/>
    <m/>
    <s v="Improving water access, hygiene and sanitation conditions of the conflict affected population in Kachin and Rakhine States"/>
    <d v="2014-09-01T00:00:00"/>
    <d v="2015-08-30T00:00:00"/>
    <s v="Active"/>
    <x v="2"/>
    <n v="22403"/>
    <n v="0.64027139222425566"/>
    <n v="0.35972860777574434"/>
    <n v="0"/>
    <n v="1"/>
    <n v="0"/>
    <n v="1"/>
    <n v="0"/>
    <n v="22403"/>
    <n v="22403"/>
    <n v="22403"/>
    <n v="0"/>
    <n v="0"/>
    <n v="0"/>
    <n v="649786"/>
    <n v="0"/>
    <x v="21"/>
    <n v="433190.66666666663"/>
    <n v="1"/>
    <n v="0.36"/>
    <n v="0.02"/>
    <n v="0.62"/>
    <s v="Part of global project including Rakhine State"/>
  </r>
  <r>
    <x v="12"/>
    <m/>
    <x v="5"/>
    <m/>
    <s v="Water, Sanitation and Hygiene rapid response to internal displacements in Kachin and Northern Shan States"/>
    <d v="2014-01-01T00:00:00"/>
    <d v="2014-06-30T00:00:00"/>
    <s v="Completed"/>
    <x v="2"/>
    <n v="3000"/>
    <n v="0.5"/>
    <n v="0.5"/>
    <n v="0"/>
    <n v="1"/>
    <n v="0"/>
    <n v="1"/>
    <n v="0"/>
    <n v="3000"/>
    <n v="3000"/>
    <n v="3000"/>
    <n v="0"/>
    <n v="0"/>
    <n v="0"/>
    <n v="78945"/>
    <n v="0"/>
    <x v="22"/>
    <n v="0"/>
    <n v="1"/>
    <n v="0.33"/>
    <n v="0.33"/>
    <n v="0.33"/>
    <m/>
  </r>
  <r>
    <x v="12"/>
    <s v="SCI/Oxfam"/>
    <x v="5"/>
    <m/>
    <s v="Water, Sanitation and Hygiene rapid response for people affected by conflict induced displacements and natural disasters in Kachin and Northern Shan States"/>
    <d v="2014-09-01T00:00:00"/>
    <d v="2015-09-30T00:00:00"/>
    <s v="Active"/>
    <x v="2"/>
    <n v="5000"/>
    <n v="0.5"/>
    <n v="0.5"/>
    <n v="0.5"/>
    <n v="0.25"/>
    <n v="0.25"/>
    <n v="0.5"/>
    <n v="0.5"/>
    <n v="5000"/>
    <n v="5000"/>
    <n v="5000"/>
    <n v="0"/>
    <n v="0"/>
    <n v="0"/>
    <n v="267190"/>
    <n v="0"/>
    <x v="23"/>
    <n v="185134.18781725888"/>
    <m/>
    <n v="0.3"/>
    <n v="0.3"/>
    <n v="0.4"/>
    <s v="The targeting of beneifciaries cannot be detailed as this project aims at answering to new emergency following displacement or natural hazards"/>
  </r>
  <r>
    <x v="12"/>
    <m/>
    <x v="0"/>
    <m/>
    <s v="Integrated WaSH assistance to IDPs affected by conflict_x000a_ in Kachin State"/>
    <d v="2013-12-24T00:00:00"/>
    <d v="2014-08-23T00:00:00"/>
    <s v="Completed"/>
    <x v="1"/>
    <n v="11774"/>
    <n v="0.9"/>
    <n v="9.9999999999999978E-2"/>
    <n v="0"/>
    <n v="1"/>
    <n v="0"/>
    <n v="1"/>
    <n v="0"/>
    <n v="1250"/>
    <n v="1250"/>
    <n v="0"/>
    <n v="0"/>
    <n v="0"/>
    <n v="0"/>
    <n v="249000"/>
    <n v="8231.4049586776819"/>
    <x v="24"/>
    <n v="0"/>
    <n v="1"/>
    <n v="0.25"/>
    <n v="0.64"/>
    <n v="0.11"/>
    <m/>
  </r>
  <r>
    <x v="12"/>
    <m/>
    <x v="0"/>
    <m/>
    <s v="WaSH assistance to IDPs affected by conflict_x000a_ in Kachin State"/>
    <d v="2014-10-16T00:00:00"/>
    <d v="2015-04-15T00:00:00"/>
    <s v="Active"/>
    <x v="2"/>
    <n v="1250"/>
    <n v="0.9"/>
    <n v="9.9999999999999978E-2"/>
    <n v="0"/>
    <n v="1"/>
    <n v="0"/>
    <n v="1"/>
    <n v="0"/>
    <n v="1250"/>
    <n v="1250"/>
    <n v="0"/>
    <n v="0"/>
    <n v="0"/>
    <n v="0"/>
    <n v="249000"/>
    <n v="0"/>
    <x v="25"/>
    <n v="144447.51381215468"/>
    <n v="1"/>
    <n v="0.25"/>
    <n v="0.64"/>
    <n v="0.11"/>
    <m/>
  </r>
  <r>
    <x v="12"/>
    <m/>
    <x v="12"/>
    <m/>
    <s v="Emergency WASH assistance and Food Security and Livelihood support to vulnerable populations affected by conflicts in Rakhine and Kachin States"/>
    <d v="2014-05-01T00:00:00"/>
    <d v="2015-04-30T00:00:00"/>
    <s v="Active"/>
    <x v="2"/>
    <n v="6905"/>
    <n v="0.3"/>
    <n v="0.7"/>
    <n v="0"/>
    <n v="1"/>
    <n v="0"/>
    <n v="1"/>
    <n v="0"/>
    <n v="6905"/>
    <n v="6905"/>
    <n v="6905"/>
    <n v="0"/>
    <n v="0"/>
    <n v="0"/>
    <n v="469947"/>
    <n v="0"/>
    <x v="26"/>
    <n v="154927.58241758242"/>
    <n v="1"/>
    <n v="0.56999999999999995"/>
    <n v="0.16"/>
    <n v="0.12"/>
    <m/>
  </r>
  <r>
    <x v="12"/>
    <m/>
    <x v="12"/>
    <m/>
    <s v="Emergency WASH assistance and Food Security and Livelihood support to vulnerable populations affected by conflicts in Rakhine and Kachin States"/>
    <d v="2015-05-01T00:00:00"/>
    <d v="2016-04-29T00:00:00"/>
    <s v="Active"/>
    <x v="3"/>
    <n v="15447"/>
    <n v="0.57999999999999996"/>
    <n v="0.42"/>
    <n v="0"/>
    <n v="1"/>
    <n v="0"/>
    <n v="1"/>
    <n v="0"/>
    <n v="15447"/>
    <n v="15447"/>
    <n v="15447"/>
    <n v="0"/>
    <n v="0"/>
    <n v="0"/>
    <n v="1000000"/>
    <n v="0"/>
    <x v="0"/>
    <n v="1000000"/>
    <m/>
    <m/>
    <m/>
    <m/>
    <m/>
  </r>
  <r>
    <x v="12"/>
    <m/>
    <x v="1"/>
    <m/>
    <s v="Improving water access, hygiene and sanitation conditions of the conflict affected population in Kachin and Rakhine States"/>
    <d v="2015-09-01T00:00:00"/>
    <d v="2016-05-31T00:00:00"/>
    <s v="In soumission"/>
    <x v="3"/>
    <n v="17285"/>
    <n v="0.41"/>
    <n v="0.59000000000000008"/>
    <n v="0"/>
    <n v="1"/>
    <n v="0"/>
    <n v="0.88"/>
    <n v="0.11"/>
    <n v="15375"/>
    <n v="15375"/>
    <n v="15375"/>
    <n v="1910"/>
    <n v="1910"/>
    <n v="1910"/>
    <m/>
    <n v="0"/>
    <x v="0"/>
    <n v="0"/>
    <m/>
    <m/>
    <m/>
    <m/>
    <m/>
  </r>
  <r>
    <x v="13"/>
    <s v="KMSS"/>
    <x v="15"/>
    <m/>
    <s v="WASH activity and distribution of Hygiene Kits in Myitkyina and Lashio"/>
    <d v="2013-07-01T00:00:00"/>
    <d v="2014-03-31T00:00:00"/>
    <s v="Completed"/>
    <x v="1"/>
    <n v="9561"/>
    <n v="0.2"/>
    <n v="0.8"/>
    <m/>
    <m/>
    <m/>
    <n v="1"/>
    <n v="0"/>
    <n v="5383"/>
    <n v="1844"/>
    <n v="9066"/>
    <n v="0"/>
    <n v="0"/>
    <n v="0"/>
    <n v="245165"/>
    <n v="165239.41391941393"/>
    <x v="27"/>
    <n v="0"/>
    <n v="1"/>
    <n v="0.38"/>
    <n v="0.11"/>
    <n v="0.51"/>
    <m/>
  </r>
  <r>
    <x v="13"/>
    <s v="KMSS"/>
    <x v="15"/>
    <m/>
    <s v="Kachin Comprehensive humanitarian response phases 6"/>
    <d v="2015-06-01T00:00:00"/>
    <d v="2015-12-31T00:00:00"/>
    <s v="Active"/>
    <x v="3"/>
    <n v="6432"/>
    <n v="0.31"/>
    <n v="0.69"/>
    <n v="0.14000000000000001"/>
    <n v="0.01"/>
    <n v="0.85"/>
    <n v="1"/>
    <n v="0"/>
    <n v="2858"/>
    <n v="1972"/>
    <n v="6432"/>
    <n v="0"/>
    <n v="0"/>
    <n v="0"/>
    <n v="154118"/>
    <n v="0"/>
    <x v="0"/>
    <n v="154118"/>
    <n v="1"/>
    <n v="0.32"/>
    <n v="0.59"/>
    <n v="0.04"/>
    <m/>
  </r>
  <r>
    <x v="14"/>
    <m/>
    <x v="16"/>
    <m/>
    <s v="Secondment of a WASH emergency officer to UNICEF for work in Kachin"/>
    <d v="2013-01-03T00:00:00"/>
    <d v="2013-01-31T00:00:00"/>
    <s v="Completed"/>
    <x v="1"/>
    <n v="0"/>
    <n v="0.5"/>
    <n v="0.5"/>
    <n v="0.33"/>
    <n v="0.33"/>
    <n v="0.33"/>
    <n v="1"/>
    <n v="0"/>
    <m/>
    <m/>
    <m/>
    <m/>
    <m/>
    <m/>
    <n v="106270"/>
    <n v="106270"/>
    <x v="0"/>
    <n v="0"/>
    <n v="1"/>
    <n v="0.33"/>
    <n v="0.33"/>
    <n v="0.33"/>
    <m/>
  </r>
  <r>
    <x v="14"/>
    <m/>
    <x v="16"/>
    <m/>
    <s v="Secondment of a WASH emergency Capacity building to UNICEF for work in Kachin"/>
    <d v="2014-02-01T00:00:00"/>
    <d v="2014-07-31T00:00:00"/>
    <s v="Completed"/>
    <x v="2"/>
    <n v="0"/>
    <n v="0.5"/>
    <n v="0.5"/>
    <n v="0.33"/>
    <n v="0.33"/>
    <n v="0.33"/>
    <n v="1"/>
    <n v="0"/>
    <m/>
    <m/>
    <m/>
    <m/>
    <m/>
    <m/>
    <n v="50000"/>
    <n v="0"/>
    <x v="28"/>
    <n v="0"/>
    <n v="1"/>
    <n v="0.33"/>
    <n v="0.33"/>
    <n v="0.33"/>
    <m/>
  </r>
  <r>
    <x v="14"/>
    <m/>
    <x v="17"/>
    <m/>
    <m/>
    <d v="2012-04-17T00:00:00"/>
    <m/>
    <s v="Completed"/>
    <x v="0"/>
    <n v="86740"/>
    <n v="0.42569748674198754"/>
    <n v="0.56999999999999995"/>
    <n v="0"/>
    <n v="0.26861886096379989"/>
    <n v="0.73"/>
    <n v="1"/>
    <n v="0"/>
    <n v="36740"/>
    <n v="36740"/>
    <n v="36740"/>
    <m/>
    <m/>
    <m/>
    <n v="981022.61"/>
    <n v="981022.61"/>
    <x v="0"/>
    <n v="0"/>
    <m/>
    <m/>
    <m/>
    <m/>
    <m/>
  </r>
  <r>
    <x v="14"/>
    <m/>
    <x v="12"/>
    <m/>
    <m/>
    <d v="2012-08-23T00:00:00"/>
    <d v="2014-09-30T00:00:00"/>
    <s v="Completed"/>
    <x v="0"/>
    <n v="89815"/>
    <n v="0.61"/>
    <n v="0.39"/>
    <n v="6.2762344819907584E-2"/>
    <n v="0.60472081500862884"/>
    <n v="0.33500000000000002"/>
    <n v="1"/>
    <n v="0"/>
    <n v="86580"/>
    <n v="86822"/>
    <n v="86822"/>
    <m/>
    <m/>
    <m/>
    <n v="1652740"/>
    <n v="1067394.5833333333"/>
    <x v="29"/>
    <n v="0"/>
    <m/>
    <m/>
    <m/>
    <m/>
    <m/>
  </r>
  <r>
    <x v="14"/>
    <m/>
    <x v="12"/>
    <m/>
    <m/>
    <d v="2015-01-01T00:00:00"/>
    <s v="31/1/2015"/>
    <s v="Active"/>
    <x v="3"/>
    <m/>
    <m/>
    <m/>
    <m/>
    <m/>
    <m/>
    <m/>
    <m/>
    <m/>
    <m/>
    <m/>
    <m/>
    <m/>
    <m/>
    <n v="300000"/>
    <n v="0"/>
    <x v="0"/>
    <n v="300000"/>
    <m/>
    <m/>
    <m/>
    <m/>
    <m/>
  </r>
  <r>
    <x v="14"/>
    <m/>
    <x v="18"/>
    <m/>
    <m/>
    <d v="2014-04-01T00:00:00"/>
    <d v="2015-03-31T00:00:00"/>
    <s v="Completed"/>
    <x v="2"/>
    <m/>
    <m/>
    <m/>
    <m/>
    <m/>
    <m/>
    <m/>
    <m/>
    <m/>
    <m/>
    <m/>
    <m/>
    <m/>
    <m/>
    <n v="750000"/>
    <n v="0"/>
    <x v="30"/>
    <n v="185439.56043956045"/>
    <m/>
    <m/>
    <m/>
    <m/>
    <m/>
  </r>
  <r>
    <x v="14"/>
    <m/>
    <x v="17"/>
    <m/>
    <m/>
    <d v="2014-04-01T00:00:00"/>
    <d v="2014-12-31T00:00:00"/>
    <s v="Completed"/>
    <x v="2"/>
    <n v="10837"/>
    <n v="0.43323798099104921"/>
    <n v="0.56999999999999995"/>
    <n v="0.23798099104918335"/>
    <n v="0"/>
    <n v="0.76"/>
    <n v="1"/>
    <n v="0"/>
    <n v="10837"/>
    <m/>
    <m/>
    <m/>
    <m/>
    <m/>
    <n v="700000"/>
    <n v="0"/>
    <x v="31"/>
    <n v="0"/>
    <m/>
    <m/>
    <m/>
    <m/>
    <m/>
  </r>
  <r>
    <x v="14"/>
    <m/>
    <x v="17"/>
    <m/>
    <m/>
    <d v="2013-09-16T00:00:00"/>
    <d v="2014-06-30T00:00:00"/>
    <s v="Completed"/>
    <x v="1"/>
    <n v="9940"/>
    <n v="0.24557344064386319"/>
    <n v="0.75"/>
    <n v="0.23048289738430583"/>
    <n v="0"/>
    <n v="0.77"/>
    <n v="1"/>
    <n v="0"/>
    <n v="5989"/>
    <n v="5462"/>
    <n v="6137"/>
    <m/>
    <m/>
    <m/>
    <n v="514030"/>
    <n v="191641.84668989549"/>
    <x v="32"/>
    <n v="0"/>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8.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9.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0.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42">
  <location ref="B589:E593" firstHeaderRow="1" firstDataRow="2" firstDataCol="1" rowPageCount="1" colPageCount="1"/>
  <pivotFields count="94">
    <pivotField showAll="0"/>
    <pivotField showAll="0"/>
    <pivotField showAll="0"/>
    <pivotField showAll="0"/>
    <pivotField showAll="0"/>
    <pivotField showAll="0"/>
    <pivotField axis="axisPage" multipleItemSelectionAllowed="1" showAll="0">
      <items count="4">
        <item x="0"/>
        <item h="1" x="2"/>
        <item x="1"/>
        <item t="default"/>
      </items>
    </pivotField>
    <pivotField axis="axisRow" showAll="0">
      <items count="3">
        <item x="0"/>
        <item x="1"/>
        <item t="default"/>
      </items>
    </pivotField>
    <pivotField showAll="0"/>
    <pivotField showAll="0"/>
    <pivotField showAll="0"/>
    <pivotField showAll="0"/>
    <pivotField showAll="0" defaultSubtotal="0"/>
    <pivotField showAll="0"/>
    <pivotField showAll="0"/>
    <pivotField axis="axisCol" dataField="1" showAll="0" defaultSubtotal="0">
      <items count="2">
        <item x="1"/>
        <item x="0"/>
      </items>
    </pivotField>
    <pivotField showAll="0" defaultSubtotal="0"/>
    <pivotField showAll="0"/>
    <pivotField showAll="0" defaultSubtotal="0"/>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defaultSubtotal="0"/>
    <pivotField numFmtId="1"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7"/>
  </rowFields>
  <rowItems count="3">
    <i>
      <x/>
    </i>
    <i>
      <x v="1"/>
    </i>
    <i t="grand">
      <x/>
    </i>
  </rowItems>
  <colFields count="1">
    <field x="15"/>
  </colFields>
  <colItems count="3">
    <i>
      <x/>
    </i>
    <i>
      <x v="1"/>
    </i>
    <i t="grand">
      <x/>
    </i>
  </colItems>
  <pageFields count="1">
    <pageField fld="6" hier="-1"/>
  </pageFields>
  <dataFields count="1">
    <dataField name="Count of Targetted" fld="15" subtotal="count" baseField="0" baseItem="0" numFmtId="1"/>
  </dataFields>
  <formats count="3">
    <format dxfId="100">
      <pivotArea outline="0" collapsedLevelsAreSubtotals="1" fieldPosition="0"/>
    </format>
    <format dxfId="99">
      <pivotArea outline="0" collapsedLevelsAreSubtotals="1" fieldPosition="0"/>
    </format>
    <format dxfId="98">
      <pivotArea outline="0" fieldPosition="0">
        <references count="1">
          <reference field="4294967294" count="1">
            <x v="0"/>
          </reference>
        </references>
      </pivotArea>
    </format>
  </formats>
  <chartFormats count="6">
    <chartFormat chart="38" format="0" series="1">
      <pivotArea type="data" outline="0" fieldPosition="0">
        <references count="2">
          <reference field="4294967294" count="1" selected="0">
            <x v="0"/>
          </reference>
          <reference field="15" count="1" selected="0">
            <x v="0"/>
          </reference>
        </references>
      </pivotArea>
    </chartFormat>
    <chartFormat chart="38" format="1" series="1">
      <pivotArea type="data" outline="0" fieldPosition="0">
        <references count="2">
          <reference field="4294967294" count="1" selected="0">
            <x v="0"/>
          </reference>
          <reference field="15" count="1" selected="0">
            <x v="1"/>
          </reference>
        </references>
      </pivotArea>
    </chartFormat>
    <chartFormat chart="40" format="2" series="1">
      <pivotArea type="data" outline="0" fieldPosition="0">
        <references count="2">
          <reference field="4294967294" count="1" selected="0">
            <x v="0"/>
          </reference>
          <reference field="15" count="1" selected="0">
            <x v="0"/>
          </reference>
        </references>
      </pivotArea>
    </chartFormat>
    <chartFormat chart="40" format="3" series="1">
      <pivotArea type="data" outline="0" fieldPosition="0">
        <references count="2">
          <reference field="4294967294" count="1" selected="0">
            <x v="0"/>
          </reference>
          <reference field="15" count="1" selected="0">
            <x v="1"/>
          </reference>
        </references>
      </pivotArea>
    </chartFormat>
    <chartFormat chart="41" format="4" series="1">
      <pivotArea type="data" outline="0" fieldPosition="0">
        <references count="2">
          <reference field="4294967294" count="1" selected="0">
            <x v="0"/>
          </reference>
          <reference field="15" count="1" selected="0">
            <x v="0"/>
          </reference>
        </references>
      </pivotArea>
    </chartFormat>
    <chartFormat chart="41" format="5" series="1">
      <pivotArea type="data" outline="0" fieldPosition="0">
        <references count="2">
          <reference field="4294967294" count="1" selected="0">
            <x v="0"/>
          </reference>
          <reference field="15"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0.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8">
  <location ref="B13:E16" firstHeaderRow="0" firstDataRow="1" firstDataCol="1" rowPageCount="3" colPageCount="1"/>
  <pivotFields count="94">
    <pivotField showAll="0"/>
    <pivotField showAll="0"/>
    <pivotField axis="axisPage" showAll="0">
      <items count="11">
        <item x="2"/>
        <item x="1"/>
        <item x="9"/>
        <item x="7"/>
        <item x="0"/>
        <item x="8"/>
        <item x="4"/>
        <item x="5"/>
        <item x="3"/>
        <item x="6"/>
        <item t="default"/>
      </items>
    </pivotField>
    <pivotField showAll="0"/>
    <pivotField showAll="0"/>
    <pivotField showAll="0"/>
    <pivotField axis="axisPage" multipleItemSelectionAllowed="1" showAll="0">
      <items count="4">
        <item x="0"/>
        <item h="1" x="2"/>
        <item h="1" x="1"/>
        <item t="default"/>
      </items>
    </pivotField>
    <pivotField axis="axisRow" showAll="0">
      <items count="3">
        <item x="0"/>
        <item x="1"/>
        <item t="default"/>
      </items>
    </pivotField>
    <pivotField showAll="0"/>
    <pivotField showAll="0"/>
    <pivotField showAll="0"/>
    <pivotField showAll="0"/>
    <pivotField showAll="0" defaultSubtotal="0"/>
    <pivotField showAll="0"/>
    <pivotField showAll="0"/>
    <pivotField showAll="0" defaultSubtotal="0"/>
    <pivotField showAll="0" defaultSubtotal="0"/>
    <pivotField showAll="0"/>
    <pivotField axis="axisPage" showAll="0" defaultSubtotal="0">
      <items count="2">
        <item x="0"/>
        <item x="1"/>
      </items>
    </pivotField>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defaultSubtotal="0"/>
    <pivotField numFmtId="1" showAll="0"/>
    <pivotField showAll="0"/>
    <pivotField showAll="0"/>
    <pivotField showAll="0"/>
    <pivotField showAll="0"/>
    <pivotField dataField="1" dragToRow="0" dragToCol="0" dragToPage="0" showAll="0" defaultSubtotal="0"/>
    <pivotField dataField="1"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7"/>
  </rowFields>
  <rowItems count="3">
    <i>
      <x/>
    </i>
    <i>
      <x v="1"/>
    </i>
    <i t="grand">
      <x/>
    </i>
  </rowItems>
  <colFields count="1">
    <field x="-2"/>
  </colFields>
  <colItems count="3">
    <i>
      <x/>
    </i>
    <i i="1">
      <x v="1"/>
    </i>
    <i i="2">
      <x v="2"/>
    </i>
  </colItems>
  <pageFields count="3">
    <pageField fld="6" hier="-1"/>
    <pageField fld="2" hier="-1"/>
    <pageField fld="18" hier="-1"/>
  </pageFields>
  <dataFields count="3">
    <dataField name="% Water coverage" fld="84" baseField="0" baseItem="0" numFmtId="1"/>
    <dataField name="% Latrine coverage" fld="85" baseField="0" baseItem="0" numFmtId="1"/>
    <dataField name="% Bathroom coverage" fld="86" baseField="0" baseItem="0" numFmtId="1"/>
  </dataFields>
  <formats count="12">
    <format dxfId="146">
      <pivotArea outline="0" collapsedLevelsAreSubtotals="1" fieldPosition="0"/>
    </format>
    <format dxfId="145">
      <pivotArea field="7" type="button" dataOnly="0" labelOnly="1" outline="0" axis="axisRow" fieldPosition="0"/>
    </format>
    <format dxfId="144">
      <pivotArea dataOnly="0" labelOnly="1" outline="0" fieldPosition="0">
        <references count="1">
          <reference field="4294967294" count="3">
            <x v="0"/>
            <x v="1"/>
            <x v="2"/>
          </reference>
        </references>
      </pivotArea>
    </format>
    <format dxfId="143">
      <pivotArea type="all" dataOnly="0" outline="0" fieldPosition="0"/>
    </format>
    <format dxfId="142">
      <pivotArea outline="0" collapsedLevelsAreSubtotals="1" fieldPosition="0"/>
    </format>
    <format dxfId="141">
      <pivotArea field="7" type="button" dataOnly="0" labelOnly="1" outline="0" axis="axisRow" fieldPosition="0"/>
    </format>
    <format dxfId="140">
      <pivotArea dataOnly="0" labelOnly="1" fieldPosition="0">
        <references count="1">
          <reference field="7" count="0"/>
        </references>
      </pivotArea>
    </format>
    <format dxfId="139">
      <pivotArea dataOnly="0" labelOnly="1" grandRow="1" outline="0" fieldPosition="0"/>
    </format>
    <format dxfId="138">
      <pivotArea dataOnly="0" labelOnly="1" outline="0" fieldPosition="0">
        <references count="1">
          <reference field="4294967294" count="3">
            <x v="0"/>
            <x v="1"/>
            <x v="2"/>
          </reference>
        </references>
      </pivotArea>
    </format>
    <format dxfId="137">
      <pivotArea field="7" type="button" dataOnly="0" labelOnly="1" outline="0" axis="axisRow" fieldPosition="0"/>
    </format>
    <format dxfId="136">
      <pivotArea dataOnly="0" labelOnly="1" outline="0" fieldPosition="0">
        <references count="1">
          <reference field="4294967294" count="3">
            <x v="0"/>
            <x v="1"/>
            <x v="2"/>
          </reference>
        </references>
      </pivotArea>
    </format>
    <format dxfId="135">
      <pivotArea outline="0" collapsedLevelsAreSubtotals="1" fieldPosition="0"/>
    </format>
  </formats>
  <chartFormats count="15">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 chart="12" format="6" series="1">
      <pivotArea type="data" outline="0" fieldPosition="0">
        <references count="1">
          <reference field="4294967294" count="1" selected="0">
            <x v="0"/>
          </reference>
        </references>
      </pivotArea>
    </chartFormat>
    <chartFormat chart="12" format="7" series="1">
      <pivotArea type="data" outline="0" fieldPosition="0">
        <references count="1">
          <reference field="4294967294" count="1" selected="0">
            <x v="1"/>
          </reference>
        </references>
      </pivotArea>
    </chartFormat>
    <chartFormat chart="12" format="8" series="1">
      <pivotArea type="data" outline="0" fieldPosition="0">
        <references count="1">
          <reference field="4294967294" count="1" selected="0">
            <x v="2"/>
          </reference>
        </references>
      </pivotArea>
    </chartFormat>
    <chartFormat chart="14" format="10" series="1">
      <pivotArea type="data" outline="0" fieldPosition="0">
        <references count="1">
          <reference field="4294967294" count="1" selected="0">
            <x v="0"/>
          </reference>
        </references>
      </pivotArea>
    </chartFormat>
    <chartFormat chart="14" format="11" series="1">
      <pivotArea type="data" outline="0" fieldPosition="0">
        <references count="1">
          <reference field="4294967294" count="1" selected="0">
            <x v="1"/>
          </reference>
        </references>
      </pivotArea>
    </chartFormat>
    <chartFormat chart="14" format="12" series="1">
      <pivotArea type="data" outline="0" fieldPosition="0">
        <references count="1">
          <reference field="4294967294" count="1" selected="0">
            <x v="2"/>
          </reference>
        </references>
      </pivotArea>
    </chartFormat>
    <chartFormat chart="16" format="2" series="1">
      <pivotArea type="data" outline="0" fieldPosition="0">
        <references count="1">
          <reference field="4294967294" count="1" selected="0">
            <x v="2"/>
          </reference>
        </references>
      </pivotArea>
    </chartFormat>
    <chartFormat chart="16" format="3" series="1">
      <pivotArea type="data" outline="0" fieldPosition="0">
        <references count="1">
          <reference field="4294967294" count="1" selected="0">
            <x v="0"/>
          </reference>
        </references>
      </pivotArea>
    </chartFormat>
    <chartFormat chart="16" format="4" series="1">
      <pivotArea type="data" outline="0" fieldPosition="0">
        <references count="1">
          <reference field="4294967294" count="1" selected="0">
            <x v="1"/>
          </reference>
        </references>
      </pivotArea>
    </chartFormat>
    <chartFormat chart="5" format="6" series="1">
      <pivotArea type="data" outline="0" fieldPosition="0">
        <references count="1">
          <reference field="4294967294" count="1" selected="0">
            <x v="0"/>
          </reference>
        </references>
      </pivotArea>
    </chartFormat>
    <chartFormat chart="5" format="7" series="1">
      <pivotArea type="data" outline="0" fieldPosition="0">
        <references count="1">
          <reference field="4294967294" count="1" selected="0">
            <x v="1"/>
          </reference>
        </references>
      </pivotArea>
    </chartFormat>
    <chartFormat chart="5" format="8"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1.xml><?xml version="1.0" encoding="utf-8"?>
<pivotTableDefinition xmlns="http://schemas.openxmlformats.org/spreadsheetml/2006/main" name="PivotTable3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10">
  <location ref="B161:C166" firstHeaderRow="1" firstDataRow="1" firstDataCol="1" rowPageCount="4" colPageCount="1"/>
  <pivotFields count="94">
    <pivotField axis="axisPage" showAll="0">
      <items count="21">
        <item x="0"/>
        <item x="1"/>
        <item x="2"/>
        <item x="4"/>
        <item x="5"/>
        <item m="1" x="18"/>
        <item x="6"/>
        <item x="7"/>
        <item x="8"/>
        <item x="9"/>
        <item x="10"/>
        <item x="11"/>
        <item x="12"/>
        <item x="13"/>
        <item x="14"/>
        <item x="15"/>
        <item x="16"/>
        <item m="1" x="19"/>
        <item x="17"/>
        <item x="3"/>
        <item t="default"/>
      </items>
    </pivotField>
    <pivotField showAll="0"/>
    <pivotField showAll="0"/>
    <pivotField showAll="0"/>
    <pivotField showAll="0"/>
    <pivotField showAll="0"/>
    <pivotField axis="axisPage" multipleItemSelectionAllowed="1" showAll="0">
      <items count="4">
        <item x="0"/>
        <item x="2"/>
        <item x="1"/>
        <item t="default"/>
      </items>
    </pivotField>
    <pivotField axis="axisPage" showAll="0">
      <items count="3">
        <item x="0"/>
        <item x="1"/>
        <item t="default"/>
      </items>
    </pivotField>
    <pivotField showAll="0"/>
    <pivotField showAll="0"/>
    <pivotField showAll="0"/>
    <pivotField showAll="0"/>
    <pivotField showAll="0" defaultSubtotal="0"/>
    <pivotField showAll="0"/>
    <pivotField showAll="0"/>
    <pivotField showAll="0" defaultSubtotal="0"/>
    <pivotField showAll="0" defaultSubtotal="0"/>
    <pivotField showAll="0"/>
    <pivotField axis="axisPage" showAll="0" defaultSubtotal="0">
      <items count="2">
        <item x="0"/>
        <item x="1"/>
      </items>
    </pivotField>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axis="axisRow" dataField="1" showAll="0">
      <items count="7">
        <item x="1"/>
        <item m="1" x="4"/>
        <item x="2"/>
        <item x="3"/>
        <item m="1" x="5"/>
        <item x="0"/>
        <item t="default"/>
      </items>
    </pivotField>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defaultSubtotal="0"/>
    <pivotField numFmtId="1"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33"/>
  </rowFields>
  <rowItems count="5">
    <i>
      <x/>
    </i>
    <i>
      <x v="2"/>
    </i>
    <i>
      <x v="3"/>
    </i>
    <i>
      <x v="5"/>
    </i>
    <i t="grand">
      <x/>
    </i>
  </rowItems>
  <colItems count="1">
    <i/>
  </colItems>
  <pageFields count="4">
    <pageField fld="7" hier="-1"/>
    <pageField fld="0" hier="-1"/>
    <pageField fld="6" hier="-1"/>
    <pageField fld="18" hier="-1"/>
  </pageFields>
  <dataFields count="1">
    <dataField name="Count of Rank coverage" fld="33" subtotal="count" baseField="0" baseItem="0" numFmtId="1"/>
  </dataFields>
  <formats count="4">
    <format dxfId="150">
      <pivotArea outline="0" collapsedLevelsAreSubtotals="1" fieldPosition="0"/>
    </format>
    <format dxfId="149">
      <pivotArea field="6" type="button" dataOnly="0" labelOnly="1" outline="0" axis="axisPage" fieldPosition="2"/>
    </format>
    <format dxfId="148">
      <pivotArea outline="0" collapsedLevelsAreSubtotals="1" fieldPosition="0"/>
    </format>
    <format dxfId="147">
      <pivotArea outline="0" collapsedLevelsAreSubtotals="1" fieldPosition="0"/>
    </format>
  </formats>
  <chartFormats count="7">
    <chartFormat chart="8" format="0" series="1">
      <pivotArea type="data" outline="0" fieldPosition="0">
        <references count="1">
          <reference field="4294967294" count="1" selected="0">
            <x v="0"/>
          </reference>
        </references>
      </pivotArea>
    </chartFormat>
    <chartFormat chart="8" format="1">
      <pivotArea type="data" outline="0" fieldPosition="0">
        <references count="2">
          <reference field="4294967294" count="1" selected="0">
            <x v="0"/>
          </reference>
          <reference field="33" count="1" selected="0">
            <x v="0"/>
          </reference>
        </references>
      </pivotArea>
    </chartFormat>
    <chartFormat chart="8" format="2">
      <pivotArea type="data" outline="0" fieldPosition="0">
        <references count="2">
          <reference field="4294967294" count="1" selected="0">
            <x v="0"/>
          </reference>
          <reference field="33" count="1" selected="0">
            <x v="1"/>
          </reference>
        </references>
      </pivotArea>
    </chartFormat>
    <chartFormat chart="8" format="3">
      <pivotArea type="data" outline="0" fieldPosition="0">
        <references count="2">
          <reference field="4294967294" count="1" selected="0">
            <x v="0"/>
          </reference>
          <reference field="33" count="1" selected="0">
            <x v="3"/>
          </reference>
        </references>
      </pivotArea>
    </chartFormat>
    <chartFormat chart="8" format="4">
      <pivotArea type="data" outline="0" fieldPosition="0">
        <references count="2">
          <reference field="4294967294" count="1" selected="0">
            <x v="0"/>
          </reference>
          <reference field="33" count="1" selected="0">
            <x v="4"/>
          </reference>
        </references>
      </pivotArea>
    </chartFormat>
    <chartFormat chart="8" format="5">
      <pivotArea type="data" outline="0" fieldPosition="0">
        <references count="2">
          <reference field="4294967294" count="1" selected="0">
            <x v="0"/>
          </reference>
          <reference field="33" count="1" selected="0">
            <x v="5"/>
          </reference>
        </references>
      </pivotArea>
    </chartFormat>
    <chartFormat chart="8" format="6">
      <pivotArea type="data" outline="0" fieldPosition="0">
        <references count="2">
          <reference field="4294967294" count="1" selected="0">
            <x v="0"/>
          </reference>
          <reference field="3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2.xml><?xml version="1.0" encoding="utf-8"?>
<pivotTableDefinition xmlns="http://schemas.openxmlformats.org/spreadsheetml/2006/main" name="PivotTable25"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28">
  <location ref="B425:C428" firstHeaderRow="1" firstDataRow="1" firstDataCol="1" rowPageCount="3" colPageCount="1"/>
  <pivotFields count="94">
    <pivotField showAll="0"/>
    <pivotField showAll="0"/>
    <pivotField axis="axisPage" showAll="0">
      <items count="11">
        <item x="2"/>
        <item x="9"/>
        <item x="7"/>
        <item x="0"/>
        <item x="8"/>
        <item x="4"/>
        <item x="5"/>
        <item x="3"/>
        <item x="6"/>
        <item x="1"/>
        <item t="default"/>
      </items>
    </pivotField>
    <pivotField showAll="0"/>
    <pivotField showAll="0"/>
    <pivotField showAll="0"/>
    <pivotField axis="axisPage" multipleItemSelectionAllowed="1" showAll="0">
      <items count="4">
        <item x="0"/>
        <item x="2"/>
        <item x="1"/>
        <item t="default"/>
      </items>
    </pivotField>
    <pivotField axis="axisRow" showAll="0">
      <items count="3">
        <item x="0"/>
        <item x="1"/>
        <item t="default"/>
      </items>
    </pivotField>
    <pivotField showAll="0"/>
    <pivotField showAll="0"/>
    <pivotField showAll="0"/>
    <pivotField showAll="0"/>
    <pivotField showAll="0" defaultSubtotal="0"/>
    <pivotField showAll="0"/>
    <pivotField showAll="0"/>
    <pivotField showAll="0" defaultSubtotal="0"/>
    <pivotField showAll="0" defaultSubtotal="0"/>
    <pivotField showAll="0"/>
    <pivotField axis="axisPage" showAll="0" defaultSubtotal="0">
      <items count="2">
        <item x="0"/>
        <item x="1"/>
      </items>
    </pivotField>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defaultSubtotal="0"/>
    <pivotField numFmtId="1"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7"/>
  </rowFields>
  <rowItems count="3">
    <i>
      <x/>
    </i>
    <i>
      <x v="1"/>
    </i>
    <i t="grand">
      <x/>
    </i>
  </rowItems>
  <colItems count="1">
    <i/>
  </colItems>
  <pageFields count="3">
    <pageField fld="6" hier="-1"/>
    <pageField fld="2" hier="-1"/>
    <pageField fld="18" hier="-1"/>
  </pageFields>
  <dataFields count="1">
    <dataField name="% Coverage HP session at HH level" fld="90" baseField="0" baseItem="0" numFmtId="3"/>
  </dataFields>
  <formats count="2">
    <format dxfId="152">
      <pivotArea outline="0" collapsedLevelsAreSubtotals="1" fieldPosition="0"/>
    </format>
    <format dxfId="151">
      <pivotArea outline="0" collapsedLevelsAreSubtotals="1" fieldPosition="0"/>
    </format>
  </formats>
  <chartFormats count="1">
    <chartFormat chart="26" format="6"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3.xml><?xml version="1.0" encoding="utf-8"?>
<pivotTableDefinition xmlns="http://schemas.openxmlformats.org/spreadsheetml/2006/main" name="PivotTable5"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6">
  <location ref="B32:E51" firstHeaderRow="0" firstDataRow="1" firstDataCol="1" rowPageCount="3" colPageCount="1"/>
  <pivotFields count="94">
    <pivotField axis="axisRow" showAll="0">
      <items count="21">
        <item x="0"/>
        <item x="1"/>
        <item x="2"/>
        <item x="4"/>
        <item x="5"/>
        <item m="1" x="18"/>
        <item x="6"/>
        <item x="7"/>
        <item x="8"/>
        <item x="9"/>
        <item x="10"/>
        <item x="11"/>
        <item x="12"/>
        <item x="13"/>
        <item x="14"/>
        <item x="15"/>
        <item x="16"/>
        <item m="1" x="19"/>
        <item x="17"/>
        <item x="3"/>
        <item t="default"/>
      </items>
    </pivotField>
    <pivotField showAll="0"/>
    <pivotField axis="axisPage" showAll="0">
      <items count="11">
        <item x="2"/>
        <item x="1"/>
        <item x="9"/>
        <item x="7"/>
        <item x="0"/>
        <item x="8"/>
        <item x="4"/>
        <item x="5"/>
        <item x="3"/>
        <item x="6"/>
        <item t="default"/>
      </items>
    </pivotField>
    <pivotField showAll="0"/>
    <pivotField showAll="0"/>
    <pivotField showAll="0"/>
    <pivotField axis="axisPage" multipleItemSelectionAllowed="1" showAll="0">
      <items count="4">
        <item x="0"/>
        <item h="1" x="2"/>
        <item h="1" x="1"/>
        <item t="default"/>
      </items>
    </pivotField>
    <pivotField showAll="0"/>
    <pivotField showAll="0"/>
    <pivotField showAll="0"/>
    <pivotField showAll="0"/>
    <pivotField showAll="0"/>
    <pivotField showAll="0" defaultSubtotal="0"/>
    <pivotField showAll="0"/>
    <pivotField showAll="0"/>
    <pivotField showAll="0" defaultSubtotal="0"/>
    <pivotField showAll="0" defaultSubtotal="0"/>
    <pivotField showAll="0"/>
    <pivotField axis="axisPage" showAll="0" defaultSubtotal="0">
      <items count="2">
        <item x="0"/>
        <item x="1"/>
      </items>
    </pivotField>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defaultSubtotal="0"/>
    <pivotField numFmtId="1" showAll="0"/>
    <pivotField showAll="0"/>
    <pivotField showAll="0"/>
    <pivotField showAll="0"/>
    <pivotField showAll="0"/>
    <pivotField dataField="1" dragToRow="0" dragToCol="0" dragToPage="0" showAll="0" defaultSubtotal="0"/>
    <pivotField dataField="1"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0"/>
  </rowFields>
  <rowItems count="19">
    <i>
      <x/>
    </i>
    <i>
      <x v="1"/>
    </i>
    <i>
      <x v="2"/>
    </i>
    <i>
      <x v="3"/>
    </i>
    <i>
      <x v="4"/>
    </i>
    <i>
      <x v="6"/>
    </i>
    <i>
      <x v="7"/>
    </i>
    <i>
      <x v="8"/>
    </i>
    <i>
      <x v="9"/>
    </i>
    <i>
      <x v="10"/>
    </i>
    <i>
      <x v="11"/>
    </i>
    <i>
      <x v="12"/>
    </i>
    <i>
      <x v="13"/>
    </i>
    <i>
      <x v="14"/>
    </i>
    <i>
      <x v="15"/>
    </i>
    <i>
      <x v="16"/>
    </i>
    <i>
      <x v="18"/>
    </i>
    <i>
      <x v="19"/>
    </i>
    <i t="grand">
      <x/>
    </i>
  </rowItems>
  <colFields count="1">
    <field x="-2"/>
  </colFields>
  <colItems count="3">
    <i>
      <x/>
    </i>
    <i i="1">
      <x v="1"/>
    </i>
    <i i="2">
      <x v="2"/>
    </i>
  </colItems>
  <pageFields count="3">
    <pageField fld="6" hier="-1"/>
    <pageField fld="2" hier="-1"/>
    <pageField fld="18" hier="-1"/>
  </pageFields>
  <dataFields count="3">
    <dataField name="% Water Need coverage" fld="84" baseField="0" baseItem="0" numFmtId="1"/>
    <dataField name="%  Latrine need coverage" fld="85" baseField="0" baseItem="0" numFmtId="1"/>
    <dataField name="% Bathroom need coverage" fld="86" baseField="0" baseItem="0" numFmtId="1"/>
  </dataFields>
  <formats count="26">
    <format dxfId="178">
      <pivotArea outline="0" collapsedLevelsAreSubtotals="1" fieldPosition="0"/>
    </format>
    <format dxfId="177">
      <pivotArea field="0" type="button" dataOnly="0" labelOnly="1" outline="0" axis="axisRow" fieldPosition="0"/>
    </format>
    <format dxfId="176">
      <pivotArea dataOnly="0" labelOnly="1" outline="0" fieldPosition="0">
        <references count="1">
          <reference field="4294967294" count="3">
            <x v="0"/>
            <x v="1"/>
            <x v="2"/>
          </reference>
        </references>
      </pivotArea>
    </format>
    <format dxfId="175">
      <pivotArea collapsedLevelsAreSubtotals="1" fieldPosition="0">
        <references count="1">
          <reference field="0" count="0"/>
        </references>
      </pivotArea>
    </format>
    <format dxfId="174">
      <pivotArea dataOnly="0" labelOnly="1" outline="0" fieldPosition="0">
        <references count="1">
          <reference field="4294967294" count="3">
            <x v="0"/>
            <x v="1"/>
            <x v="2"/>
          </reference>
        </references>
      </pivotArea>
    </format>
    <format dxfId="173">
      <pivotArea grandRow="1" outline="0" collapsedLevelsAreSubtotals="1" fieldPosition="0"/>
    </format>
    <format dxfId="172">
      <pivotArea dataOnly="0" labelOnly="1" fieldPosition="0">
        <references count="1">
          <reference field="0" count="1">
            <x v="15"/>
          </reference>
        </references>
      </pivotArea>
    </format>
    <format dxfId="171">
      <pivotArea dataOnly="0" labelOnly="1" fieldPosition="0">
        <references count="1">
          <reference field="0" count="1">
            <x v="5"/>
          </reference>
        </references>
      </pivotArea>
    </format>
    <format dxfId="170">
      <pivotArea dataOnly="0" labelOnly="1" fieldPosition="0">
        <references count="1">
          <reference field="0" count="1">
            <x v="3"/>
          </reference>
        </references>
      </pivotArea>
    </format>
    <format dxfId="169">
      <pivotArea dataOnly="0" labelOnly="1" fieldPosition="0">
        <references count="1">
          <reference field="0" count="1">
            <x v="17"/>
          </reference>
        </references>
      </pivotArea>
    </format>
    <format dxfId="168">
      <pivotArea dataOnly="0" labelOnly="1" fieldPosition="0">
        <references count="1">
          <reference field="0" count="1">
            <x v="1"/>
          </reference>
        </references>
      </pivotArea>
    </format>
    <format dxfId="167">
      <pivotArea dataOnly="0" labelOnly="1" fieldPosition="0">
        <references count="1">
          <reference field="0" count="1">
            <x v="18"/>
          </reference>
        </references>
      </pivotArea>
    </format>
    <format dxfId="166">
      <pivotArea dataOnly="0" labelOnly="1" fieldPosition="0">
        <references count="1">
          <reference field="0" count="1">
            <x v="12"/>
          </reference>
        </references>
      </pivotArea>
    </format>
    <format dxfId="165">
      <pivotArea dataOnly="0" labelOnly="1" fieldPosition="0">
        <references count="1">
          <reference field="0" count="1">
            <x v="2"/>
          </reference>
        </references>
      </pivotArea>
    </format>
    <format dxfId="164">
      <pivotArea dataOnly="0" labelOnly="1" fieldPosition="0">
        <references count="1">
          <reference field="0" count="1">
            <x v="8"/>
          </reference>
        </references>
      </pivotArea>
    </format>
    <format dxfId="163">
      <pivotArea dataOnly="0" labelOnly="1" fieldPosition="0">
        <references count="1">
          <reference field="0" count="1">
            <x v="9"/>
          </reference>
        </references>
      </pivotArea>
    </format>
    <format dxfId="162">
      <pivotArea dataOnly="0" labelOnly="1" fieldPosition="0">
        <references count="1">
          <reference field="0" count="1">
            <x v="10"/>
          </reference>
        </references>
      </pivotArea>
    </format>
    <format dxfId="161">
      <pivotArea dataOnly="0" labelOnly="1" fieldPosition="0">
        <references count="1">
          <reference field="0" count="1">
            <x v="16"/>
          </reference>
        </references>
      </pivotArea>
    </format>
    <format dxfId="160">
      <pivotArea dataOnly="0" labelOnly="1" fieldPosition="0">
        <references count="1">
          <reference field="0" count="1">
            <x v="6"/>
          </reference>
        </references>
      </pivotArea>
    </format>
    <format dxfId="159">
      <pivotArea dataOnly="0" labelOnly="1" fieldPosition="0">
        <references count="1">
          <reference field="0" count="1">
            <x v="0"/>
          </reference>
        </references>
      </pivotArea>
    </format>
    <format dxfId="158">
      <pivotArea dataOnly="0" labelOnly="1" fieldPosition="0">
        <references count="1">
          <reference field="0" count="1">
            <x v="11"/>
          </reference>
        </references>
      </pivotArea>
    </format>
    <format dxfId="157">
      <pivotArea dataOnly="0" labelOnly="1" fieldPosition="0">
        <references count="1">
          <reference field="0" count="1">
            <x v="13"/>
          </reference>
        </references>
      </pivotArea>
    </format>
    <format dxfId="156">
      <pivotArea dataOnly="0" labelOnly="1" fieldPosition="0">
        <references count="1">
          <reference field="0" count="1">
            <x v="14"/>
          </reference>
        </references>
      </pivotArea>
    </format>
    <format dxfId="155">
      <pivotArea dataOnly="0" labelOnly="1" fieldPosition="0">
        <references count="1">
          <reference field="0" count="1">
            <x v="7"/>
          </reference>
        </references>
      </pivotArea>
    </format>
    <format dxfId="154">
      <pivotArea dataOnly="0" labelOnly="1" fieldPosition="0">
        <references count="1">
          <reference field="0" count="1">
            <x v="4"/>
          </reference>
        </references>
      </pivotArea>
    </format>
    <format dxfId="153">
      <pivotArea dataOnly="0" labelOnly="1" fieldPosition="0">
        <references count="1">
          <reference field="0" count="0"/>
        </references>
      </pivotArea>
    </format>
  </formats>
  <chartFormats count="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 chart="2" format="9" series="1">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1"/>
          </reference>
        </references>
      </pivotArea>
    </chartFormat>
    <chartFormat chart="2" format="11"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4.xml><?xml version="1.0" encoding="utf-8"?>
<pivotTableDefinition xmlns="http://schemas.openxmlformats.org/spreadsheetml/2006/main" name="PivotTable23"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28">
  <location ref="B374:C393" firstHeaderRow="1" firstDataRow="1" firstDataCol="1" rowPageCount="3" colPageCount="1"/>
  <pivotFields count="94">
    <pivotField axis="axisRow" showAll="0">
      <items count="21">
        <item x="0"/>
        <item x="1"/>
        <item x="2"/>
        <item x="4"/>
        <item x="5"/>
        <item m="1" x="18"/>
        <item x="6"/>
        <item x="7"/>
        <item x="8"/>
        <item x="9"/>
        <item x="10"/>
        <item x="11"/>
        <item x="12"/>
        <item x="13"/>
        <item x="14"/>
        <item x="15"/>
        <item x="16"/>
        <item m="1" x="19"/>
        <item x="17"/>
        <item x="3"/>
        <item t="default"/>
      </items>
    </pivotField>
    <pivotField showAll="0"/>
    <pivotField showAll="0"/>
    <pivotField showAll="0"/>
    <pivotField showAll="0"/>
    <pivotField showAll="0"/>
    <pivotField axis="axisPage" multipleItemSelectionAllowed="1" showAll="0">
      <items count="4">
        <item x="0"/>
        <item h="1" x="2"/>
        <item h="1" x="1"/>
        <item t="default"/>
      </items>
    </pivotField>
    <pivotField axis="axisPage" multipleItemSelectionAllowed="1" showAll="0">
      <items count="3">
        <item x="0"/>
        <item x="1"/>
        <item t="default"/>
      </items>
    </pivotField>
    <pivotField showAll="0"/>
    <pivotField showAll="0"/>
    <pivotField showAll="0"/>
    <pivotField showAll="0"/>
    <pivotField showAll="0" defaultSubtotal="0"/>
    <pivotField showAll="0"/>
    <pivotField showAll="0"/>
    <pivotField showAll="0" defaultSubtotal="0"/>
    <pivotField showAll="0" defaultSubtotal="0"/>
    <pivotField showAll="0"/>
    <pivotField axis="axisPage" showAll="0" defaultSubtotal="0">
      <items count="2">
        <item x="0"/>
        <item x="1"/>
      </items>
    </pivotField>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defaultSubtotal="0"/>
    <pivotField numFmtId="1"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0"/>
  </rowFields>
  <rowItems count="19">
    <i>
      <x/>
    </i>
    <i>
      <x v="1"/>
    </i>
    <i>
      <x v="2"/>
    </i>
    <i>
      <x v="3"/>
    </i>
    <i>
      <x v="4"/>
    </i>
    <i>
      <x v="6"/>
    </i>
    <i>
      <x v="7"/>
    </i>
    <i>
      <x v="8"/>
    </i>
    <i>
      <x v="9"/>
    </i>
    <i>
      <x v="10"/>
    </i>
    <i>
      <x v="11"/>
    </i>
    <i>
      <x v="12"/>
    </i>
    <i>
      <x v="13"/>
    </i>
    <i>
      <x v="14"/>
    </i>
    <i>
      <x v="15"/>
    </i>
    <i>
      <x v="16"/>
    </i>
    <i>
      <x v="18"/>
    </i>
    <i>
      <x v="19"/>
    </i>
    <i t="grand">
      <x/>
    </i>
  </rowItems>
  <colItems count="1">
    <i/>
  </colItems>
  <pageFields count="3">
    <pageField fld="6" hier="-1"/>
    <pageField fld="7" hier="-1"/>
    <pageField fld="18" hier="-1"/>
  </pageFields>
  <dataFields count="1">
    <dataField name="Sum of Coverage Full HK %" fld="89" baseField="0" baseItem="0"/>
  </dataFields>
  <formats count="2">
    <format dxfId="180">
      <pivotArea outline="0" collapsedLevelsAreSubtotals="1" fieldPosition="0"/>
    </format>
    <format dxfId="179">
      <pivotArea outline="0" collapsedLevelsAreSubtotals="1" fieldPosition="0"/>
    </format>
  </formats>
  <chartFormats count="2">
    <chartFormat chart="22" format="0" series="1">
      <pivotArea type="data" outline="0" fieldPosition="0">
        <references count="1">
          <reference field="4294967294" count="1" selected="0">
            <x v="0"/>
          </reference>
        </references>
      </pivotArea>
    </chartFormat>
    <chartFormat chart="27"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5.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52">
  <location ref="B737:F800" firstHeaderRow="0" firstDataRow="1" firstDataCol="1" rowPageCount="2" colPageCount="1"/>
  <pivotFields count="94">
    <pivotField axis="axisPage" showAll="0">
      <items count="21">
        <item x="0"/>
        <item x="1"/>
        <item x="2"/>
        <item x="4"/>
        <item x="5"/>
        <item m="1" x="18"/>
        <item x="6"/>
        <item x="7"/>
        <item x="8"/>
        <item x="9"/>
        <item x="10"/>
        <item x="11"/>
        <item x="12"/>
        <item x="13"/>
        <item x="14"/>
        <item x="15"/>
        <item x="16"/>
        <item m="1" x="19"/>
        <item x="17"/>
        <item x="3"/>
        <item t="default"/>
      </items>
    </pivotField>
    <pivotField showAll="0"/>
    <pivotField axis="axisRow" showAll="0">
      <items count="11">
        <item x="2"/>
        <item x="9"/>
        <item x="7"/>
        <item x="0"/>
        <item x="8"/>
        <item x="4"/>
        <item x="5"/>
        <item x="3"/>
        <item x="6"/>
        <item x="1"/>
        <item t="default"/>
      </items>
    </pivotField>
    <pivotField showAll="0"/>
    <pivotField showAll="0"/>
    <pivotField showAll="0"/>
    <pivotField axis="axisRow" dataField="1" multipleItemSelectionAllowed="1" showAll="0">
      <items count="4">
        <item x="0"/>
        <item x="2"/>
        <item x="1"/>
        <item t="default"/>
      </items>
    </pivotField>
    <pivotField axis="axisPage" showAll="0">
      <items count="3">
        <item x="0"/>
        <item x="1"/>
        <item t="default"/>
      </items>
    </pivotField>
    <pivotField showAll="0"/>
    <pivotField showAll="0"/>
    <pivotField dataField="1" showAll="0"/>
    <pivotField showAll="0"/>
    <pivotField showAll="0" defaultSubtotal="0"/>
    <pivotField showAll="0"/>
    <pivotField axis="axisRow" showAll="0">
      <items count="10">
        <item m="1" x="8"/>
        <item x="5"/>
        <item x="4"/>
        <item x="2"/>
        <item x="0"/>
        <item x="6"/>
        <item x="3"/>
        <item x="1"/>
        <item m="1" x="7"/>
        <item t="default"/>
      </items>
    </pivotField>
    <pivotField showAll="0" defaultSubtotal="0"/>
    <pivotField showAll="0" defaultSubtotal="0"/>
    <pivotField showAll="0"/>
    <pivotField showAll="0" defaultSubtotal="0"/>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defaultSubtotal="0"/>
    <pivotField numFmtId="1" showAll="0"/>
    <pivotField showAll="0"/>
    <pivotField showAll="0"/>
    <pivotField showAll="0"/>
    <pivotField showAll="0"/>
    <pivotField dataField="1"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3">
    <field x="14"/>
    <field x="6"/>
    <field x="2"/>
  </rowFields>
  <rowItems count="63">
    <i>
      <x v="1"/>
    </i>
    <i r="1">
      <x/>
    </i>
    <i r="2">
      <x/>
    </i>
    <i r="2">
      <x v="1"/>
    </i>
    <i r="2">
      <x v="2"/>
    </i>
    <i r="2">
      <x v="4"/>
    </i>
    <i r="2">
      <x v="9"/>
    </i>
    <i r="1">
      <x v="1"/>
    </i>
    <i r="2">
      <x v="1"/>
    </i>
    <i r="1">
      <x v="2"/>
    </i>
    <i r="2">
      <x v="2"/>
    </i>
    <i>
      <x v="2"/>
    </i>
    <i r="1">
      <x/>
    </i>
    <i r="2">
      <x/>
    </i>
    <i r="2">
      <x v="1"/>
    </i>
    <i r="2">
      <x v="2"/>
    </i>
    <i r="2">
      <x v="4"/>
    </i>
    <i r="2">
      <x v="5"/>
    </i>
    <i r="2">
      <x v="6"/>
    </i>
    <i r="2">
      <x v="8"/>
    </i>
    <i r="2">
      <x v="9"/>
    </i>
    <i>
      <x v="3"/>
    </i>
    <i r="1">
      <x/>
    </i>
    <i r="2">
      <x v="3"/>
    </i>
    <i r="2">
      <x v="4"/>
    </i>
    <i r="2">
      <x v="6"/>
    </i>
    <i r="2">
      <x v="7"/>
    </i>
    <i r="2">
      <x v="8"/>
    </i>
    <i r="1">
      <x v="1"/>
    </i>
    <i r="2">
      <x v="4"/>
    </i>
    <i r="1">
      <x v="2"/>
    </i>
    <i r="2">
      <x v="4"/>
    </i>
    <i>
      <x v="4"/>
    </i>
    <i r="1">
      <x/>
    </i>
    <i r="2">
      <x v="1"/>
    </i>
    <i r="2">
      <x v="3"/>
    </i>
    <i r="2">
      <x v="4"/>
    </i>
    <i r="2">
      <x v="5"/>
    </i>
    <i r="2">
      <x v="6"/>
    </i>
    <i r="2">
      <x v="7"/>
    </i>
    <i r="2">
      <x v="9"/>
    </i>
    <i r="1">
      <x v="1"/>
    </i>
    <i r="2">
      <x v="5"/>
    </i>
    <i r="2">
      <x v="9"/>
    </i>
    <i r="1">
      <x v="2"/>
    </i>
    <i r="2">
      <x v="3"/>
    </i>
    <i r="2">
      <x v="5"/>
    </i>
    <i r="2">
      <x v="8"/>
    </i>
    <i r="2">
      <x v="9"/>
    </i>
    <i>
      <x v="5"/>
    </i>
    <i r="1">
      <x/>
    </i>
    <i r="2">
      <x v="6"/>
    </i>
    <i>
      <x v="6"/>
    </i>
    <i r="1">
      <x/>
    </i>
    <i r="2">
      <x/>
    </i>
    <i r="2">
      <x v="1"/>
    </i>
    <i r="2">
      <x v="9"/>
    </i>
    <i>
      <x v="7"/>
    </i>
    <i r="1">
      <x/>
    </i>
    <i r="2">
      <x v="3"/>
    </i>
    <i r="1">
      <x v="1"/>
    </i>
    <i r="2">
      <x v="5"/>
    </i>
    <i t="grand">
      <x/>
    </i>
  </rowItems>
  <colFields count="1">
    <field x="-2"/>
  </colFields>
  <colItems count="4">
    <i>
      <x/>
    </i>
    <i i="1">
      <x v="1"/>
    </i>
    <i i="2">
      <x v="2"/>
    </i>
    <i i="3">
      <x v="3"/>
    </i>
  </colItems>
  <pageFields count="2">
    <pageField fld="7" hier="-1"/>
    <pageField fld="0" hier="-1"/>
  </pageFields>
  <dataFields count="4">
    <dataField name="Nb of sites" fld="6" subtotal="count" baseField="0" baseItem="0"/>
    <dataField name="Population targetted" fld="10" baseField="0" baseItem="0"/>
    <dataField name="% Water Need coverage" fld="84" baseField="0" baseItem="0" numFmtId="9"/>
    <dataField name="% Latrine need coverage" fld="85" baseField="0" baseItem="0"/>
  </dataFields>
  <formats count="45">
    <format dxfId="225">
      <pivotArea outline="0" collapsedLevelsAreSubtotals="1" fieldPosition="0"/>
    </format>
    <format dxfId="224">
      <pivotArea outline="0" collapsedLevelsAreSubtotals="1" fieldPosition="0"/>
    </format>
    <format dxfId="223">
      <pivotArea outline="0" collapsedLevelsAreSubtotals="1" fieldPosition="0"/>
    </format>
    <format dxfId="222">
      <pivotArea outline="0" collapsedLevelsAreSubtotals="1" fieldPosition="0">
        <references count="2">
          <reference field="4294967294" count="2" selected="0">
            <x v="2"/>
            <x v="3"/>
          </reference>
          <reference field="6" count="1" selected="0">
            <x v="0"/>
          </reference>
        </references>
      </pivotArea>
    </format>
    <format dxfId="221">
      <pivotArea dataOnly="0" labelOnly="1" fieldPosition="0">
        <references count="1">
          <reference field="6" count="1">
            <x v="1"/>
          </reference>
        </references>
      </pivotArea>
    </format>
    <format dxfId="220">
      <pivotArea dataOnly="0" labelOnly="1" fieldPosition="0">
        <references count="1">
          <reference field="6" count="1">
            <x v="0"/>
          </reference>
        </references>
      </pivotArea>
    </format>
    <format dxfId="219">
      <pivotArea outline="0" collapsedLevelsAreSubtotals="1" fieldPosition="0">
        <references count="2">
          <reference field="4294967294" count="2" selected="0">
            <x v="2"/>
            <x v="3"/>
          </reference>
          <reference field="6" count="1" selected="0">
            <x v="1"/>
          </reference>
        </references>
      </pivotArea>
    </format>
    <format dxfId="218">
      <pivotArea outline="0" fieldPosition="0">
        <references count="1">
          <reference field="4294967294" count="1">
            <x v="2"/>
          </reference>
        </references>
      </pivotArea>
    </format>
    <format dxfId="217">
      <pivotArea field="14" type="button" dataOnly="0" labelOnly="1" outline="0" axis="axisRow" fieldPosition="0"/>
    </format>
    <format dxfId="216">
      <pivotArea field="6" dataOnly="0" labelOnly="1" outline="0" axis="axisRow" fieldPosition="1">
        <references count="1">
          <reference field="4294967294" count="1" selected="0">
            <x v="0"/>
          </reference>
        </references>
      </pivotArea>
    </format>
    <format dxfId="215">
      <pivotArea field="6" dataOnly="0" labelOnly="1" outline="0" axis="axisRow" fieldPosition="1">
        <references count="1">
          <reference field="4294967294" count="1" selected="0">
            <x v="1"/>
          </reference>
        </references>
      </pivotArea>
    </format>
    <format dxfId="214">
      <pivotArea field="6" dataOnly="0" labelOnly="1" outline="0" axis="axisRow" fieldPosition="1">
        <references count="1">
          <reference field="4294967294" count="1" selected="0">
            <x v="2"/>
          </reference>
        </references>
      </pivotArea>
    </format>
    <format dxfId="213">
      <pivotArea field="6" dataOnly="0" labelOnly="1" outline="0" axis="axisRow" fieldPosition="1">
        <references count="1">
          <reference field="4294967294" count="1" selected="0">
            <x v="3"/>
          </reference>
        </references>
      </pivotArea>
    </format>
    <format dxfId="212">
      <pivotArea dataOnly="0" labelOnly="1" outline="0" fieldPosition="0">
        <references count="2">
          <reference field="4294967294" count="4">
            <x v="0"/>
            <x v="1"/>
            <x v="2"/>
            <x v="3"/>
          </reference>
          <reference field="6" count="1" selected="0">
            <x v="0"/>
          </reference>
        </references>
      </pivotArea>
    </format>
    <format dxfId="211">
      <pivotArea dataOnly="0" labelOnly="1" outline="0" fieldPosition="0">
        <references count="2">
          <reference field="4294967294" count="4">
            <x v="0"/>
            <x v="1"/>
            <x v="2"/>
            <x v="3"/>
          </reference>
          <reference field="6" count="1" selected="0">
            <x v="1"/>
          </reference>
        </references>
      </pivotArea>
    </format>
    <format dxfId="210">
      <pivotArea dataOnly="0" labelOnly="1" outline="0" fieldPosition="0">
        <references count="2">
          <reference field="4294967294" count="4">
            <x v="0"/>
            <x v="1"/>
            <x v="2"/>
            <x v="3"/>
          </reference>
          <reference field="6" count="1" selected="0">
            <x v="2"/>
          </reference>
        </references>
      </pivotArea>
    </format>
    <format dxfId="209">
      <pivotArea field="14" type="button" dataOnly="0" labelOnly="1" outline="0" axis="axisRow" fieldPosition="0"/>
    </format>
    <format dxfId="208">
      <pivotArea field="6" dataOnly="0" labelOnly="1" outline="0" axis="axisRow" fieldPosition="1">
        <references count="1">
          <reference field="4294967294" count="1" selected="0">
            <x v="0"/>
          </reference>
        </references>
      </pivotArea>
    </format>
    <format dxfId="207">
      <pivotArea field="6" dataOnly="0" labelOnly="1" outline="0" axis="axisRow" fieldPosition="1">
        <references count="1">
          <reference field="4294967294" count="1" selected="0">
            <x v="1"/>
          </reference>
        </references>
      </pivotArea>
    </format>
    <format dxfId="206">
      <pivotArea field="6" dataOnly="0" labelOnly="1" outline="0" axis="axisRow" fieldPosition="1">
        <references count="1">
          <reference field="4294967294" count="1" selected="0">
            <x v="2"/>
          </reference>
        </references>
      </pivotArea>
    </format>
    <format dxfId="205">
      <pivotArea field="6" dataOnly="0" labelOnly="1" outline="0" axis="axisRow" fieldPosition="1">
        <references count="1">
          <reference field="4294967294" count="1" selected="0">
            <x v="3"/>
          </reference>
        </references>
      </pivotArea>
    </format>
    <format dxfId="204">
      <pivotArea dataOnly="0" labelOnly="1" outline="0" fieldPosition="0">
        <references count="2">
          <reference field="4294967294" count="4">
            <x v="0"/>
            <x v="1"/>
            <x v="2"/>
            <x v="3"/>
          </reference>
          <reference field="6" count="1" selected="0">
            <x v="0"/>
          </reference>
        </references>
      </pivotArea>
    </format>
    <format dxfId="203">
      <pivotArea dataOnly="0" labelOnly="1" outline="0" fieldPosition="0">
        <references count="2">
          <reference field="4294967294" count="4">
            <x v="0"/>
            <x v="1"/>
            <x v="2"/>
            <x v="3"/>
          </reference>
          <reference field="6" count="1" selected="0">
            <x v="1"/>
          </reference>
        </references>
      </pivotArea>
    </format>
    <format dxfId="202">
      <pivotArea dataOnly="0" labelOnly="1" outline="0" fieldPosition="0">
        <references count="2">
          <reference field="4294967294" count="4">
            <x v="0"/>
            <x v="1"/>
            <x v="2"/>
            <x v="3"/>
          </reference>
          <reference field="6" count="1" selected="0">
            <x v="2"/>
          </reference>
        </references>
      </pivotArea>
    </format>
    <format dxfId="201">
      <pivotArea field="14" type="button" dataOnly="0" labelOnly="1" outline="0" axis="axisRow" fieldPosition="0"/>
    </format>
    <format dxfId="200">
      <pivotArea field="6" dataOnly="0" labelOnly="1" outline="0" axis="axisRow" fieldPosition="1">
        <references count="1">
          <reference field="4294967294" count="1" selected="0">
            <x v="0"/>
          </reference>
        </references>
      </pivotArea>
    </format>
    <format dxfId="199">
      <pivotArea field="6" dataOnly="0" labelOnly="1" outline="0" axis="axisRow" fieldPosition="1">
        <references count="1">
          <reference field="4294967294" count="1" selected="0">
            <x v="1"/>
          </reference>
        </references>
      </pivotArea>
    </format>
    <format dxfId="198">
      <pivotArea field="6" dataOnly="0" labelOnly="1" outline="0" axis="axisRow" fieldPosition="1">
        <references count="1">
          <reference field="4294967294" count="1" selected="0">
            <x v="2"/>
          </reference>
        </references>
      </pivotArea>
    </format>
    <format dxfId="197">
      <pivotArea field="6" dataOnly="0" labelOnly="1" outline="0" axis="axisRow" fieldPosition="1">
        <references count="1">
          <reference field="4294967294" count="1" selected="0">
            <x v="3"/>
          </reference>
        </references>
      </pivotArea>
    </format>
    <format dxfId="196">
      <pivotArea dataOnly="0" labelOnly="1" outline="0" fieldPosition="0">
        <references count="2">
          <reference field="4294967294" count="4">
            <x v="0"/>
            <x v="1"/>
            <x v="2"/>
            <x v="3"/>
          </reference>
          <reference field="6" count="1" selected="0">
            <x v="0"/>
          </reference>
        </references>
      </pivotArea>
    </format>
    <format dxfId="195">
      <pivotArea dataOnly="0" labelOnly="1" outline="0" fieldPosition="0">
        <references count="2">
          <reference field="4294967294" count="4">
            <x v="0"/>
            <x v="1"/>
            <x v="2"/>
            <x v="3"/>
          </reference>
          <reference field="6" count="1" selected="0">
            <x v="1"/>
          </reference>
        </references>
      </pivotArea>
    </format>
    <format dxfId="194">
      <pivotArea dataOnly="0" labelOnly="1" outline="0" fieldPosition="0">
        <references count="2">
          <reference field="4294967294" count="4">
            <x v="0"/>
            <x v="1"/>
            <x v="2"/>
            <x v="3"/>
          </reference>
          <reference field="6" count="1" selected="0">
            <x v="2"/>
          </reference>
        </references>
      </pivotArea>
    </format>
    <format dxfId="193">
      <pivotArea field="14" type="button" dataOnly="0" labelOnly="1" outline="0" axis="axisRow" fieldPosition="0"/>
    </format>
    <format dxfId="192">
      <pivotArea field="6" dataOnly="0" labelOnly="1" outline="0" axis="axisRow" fieldPosition="1">
        <references count="1">
          <reference field="4294967294" count="1" selected="0">
            <x v="0"/>
          </reference>
        </references>
      </pivotArea>
    </format>
    <format dxfId="191">
      <pivotArea field="6" dataOnly="0" labelOnly="1" outline="0" axis="axisRow" fieldPosition="1">
        <references count="1">
          <reference field="4294967294" count="1" selected="0">
            <x v="1"/>
          </reference>
        </references>
      </pivotArea>
    </format>
    <format dxfId="190">
      <pivotArea field="6" dataOnly="0" labelOnly="1" outline="0" axis="axisRow" fieldPosition="1">
        <references count="1">
          <reference field="4294967294" count="1" selected="0">
            <x v="2"/>
          </reference>
        </references>
      </pivotArea>
    </format>
    <format dxfId="189">
      <pivotArea field="6" dataOnly="0" labelOnly="1" outline="0" axis="axisRow" fieldPosition="1">
        <references count="1">
          <reference field="4294967294" count="1" selected="0">
            <x v="3"/>
          </reference>
        </references>
      </pivotArea>
    </format>
    <format dxfId="188">
      <pivotArea dataOnly="0" labelOnly="1" outline="0" fieldPosition="0">
        <references count="2">
          <reference field="4294967294" count="4">
            <x v="0"/>
            <x v="1"/>
            <x v="2"/>
            <x v="3"/>
          </reference>
          <reference field="6" count="1" selected="0">
            <x v="0"/>
          </reference>
        </references>
      </pivotArea>
    </format>
    <format dxfId="187">
      <pivotArea dataOnly="0" labelOnly="1" outline="0" fieldPosition="0">
        <references count="2">
          <reference field="4294967294" count="4">
            <x v="0"/>
            <x v="1"/>
            <x v="2"/>
            <x v="3"/>
          </reference>
          <reference field="6" count="1" selected="0">
            <x v="1"/>
          </reference>
        </references>
      </pivotArea>
    </format>
    <format dxfId="186">
      <pivotArea dataOnly="0" labelOnly="1" outline="0" fieldPosition="0">
        <references count="2">
          <reference field="4294967294" count="4">
            <x v="0"/>
            <x v="1"/>
            <x v="2"/>
            <x v="3"/>
          </reference>
          <reference field="6" count="1" selected="0">
            <x v="2"/>
          </reference>
        </references>
      </pivotArea>
    </format>
    <format dxfId="185">
      <pivotArea field="6" outline="0" collapsedLevelsAreSubtotals="1" axis="axisRow" fieldPosition="1">
        <references count="1">
          <reference field="4294967294" count="1" selected="0">
            <x v="3"/>
          </reference>
        </references>
      </pivotArea>
    </format>
    <format dxfId="184">
      <pivotArea dataOnly="0" labelOnly="1" outline="0" fieldPosition="0">
        <references count="1">
          <reference field="4294967294" count="4">
            <x v="0"/>
            <x v="1"/>
            <x v="2"/>
            <x v="3"/>
          </reference>
        </references>
      </pivotArea>
    </format>
    <format dxfId="183">
      <pivotArea dataOnly="0" labelOnly="1" outline="0" fieldPosition="0">
        <references count="1">
          <reference field="4294967294" count="4">
            <x v="0"/>
            <x v="1"/>
            <x v="2"/>
            <x v="3"/>
          </reference>
        </references>
      </pivotArea>
    </format>
    <format dxfId="182">
      <pivotArea dataOnly="0" labelOnly="1" outline="0" fieldPosition="0">
        <references count="1">
          <reference field="4294967294" count="4">
            <x v="0"/>
            <x v="1"/>
            <x v="2"/>
            <x v="3"/>
          </reference>
        </references>
      </pivotArea>
    </format>
    <format dxfId="181">
      <pivotArea dataOnly="0" labelOnly="1" outline="0" fieldPosition="0">
        <references count="1">
          <reference field="4294967294" count="4">
            <x v="0"/>
            <x v="1"/>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6.xml><?xml version="1.0" encoding="utf-8"?>
<pivotTableDefinition xmlns="http://schemas.openxmlformats.org/spreadsheetml/2006/main" name="PivotTable24"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28">
  <location ref="B402:C413" firstHeaderRow="1" firstDataRow="1" firstDataCol="1" rowPageCount="3" colPageCount="1"/>
  <pivotFields count="94">
    <pivotField showAll="0"/>
    <pivotField showAll="0"/>
    <pivotField axis="axisRow" showAll="0">
      <items count="11">
        <item x="2"/>
        <item x="9"/>
        <item x="7"/>
        <item x="0"/>
        <item x="8"/>
        <item x="4"/>
        <item x="5"/>
        <item x="3"/>
        <item x="6"/>
        <item x="1"/>
        <item t="default"/>
      </items>
    </pivotField>
    <pivotField showAll="0"/>
    <pivotField showAll="0"/>
    <pivotField showAll="0"/>
    <pivotField axis="axisPage" multipleItemSelectionAllowed="1" showAll="0">
      <items count="4">
        <item x="0"/>
        <item h="1" x="2"/>
        <item h="1" x="1"/>
        <item t="default"/>
      </items>
    </pivotField>
    <pivotField axis="axisPage" showAll="0">
      <items count="3">
        <item x="0"/>
        <item x="1"/>
        <item t="default"/>
      </items>
    </pivotField>
    <pivotField showAll="0"/>
    <pivotField showAll="0"/>
    <pivotField showAll="0"/>
    <pivotField showAll="0"/>
    <pivotField showAll="0" defaultSubtotal="0"/>
    <pivotField showAll="0"/>
    <pivotField showAll="0"/>
    <pivotField showAll="0" defaultSubtotal="0"/>
    <pivotField showAll="0" defaultSubtotal="0"/>
    <pivotField showAll="0"/>
    <pivotField axis="axisPage" showAll="0" defaultSubtotal="0">
      <items count="2">
        <item x="0"/>
        <item x="1"/>
      </items>
    </pivotField>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defaultSubtotal="0"/>
    <pivotField numFmtId="1"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2"/>
  </rowFields>
  <rowItems count="11">
    <i>
      <x/>
    </i>
    <i>
      <x v="1"/>
    </i>
    <i>
      <x v="2"/>
    </i>
    <i>
      <x v="3"/>
    </i>
    <i>
      <x v="4"/>
    </i>
    <i>
      <x v="5"/>
    </i>
    <i>
      <x v="6"/>
    </i>
    <i>
      <x v="7"/>
    </i>
    <i>
      <x v="8"/>
    </i>
    <i>
      <x v="9"/>
    </i>
    <i t="grand">
      <x/>
    </i>
  </rowItems>
  <colItems count="1">
    <i/>
  </colItems>
  <pageFields count="3">
    <pageField fld="6" hier="-1"/>
    <pageField fld="7" hier="-1"/>
    <pageField fld="18" hier="-1"/>
  </pageFields>
  <dataFields count="1">
    <dataField name="% Coverage Full HK" fld="89" baseField="0" baseItem="0"/>
  </dataFields>
  <formats count="2">
    <format dxfId="227">
      <pivotArea outline="0" collapsedLevelsAreSubtotals="1" fieldPosition="0"/>
    </format>
    <format dxfId="226">
      <pivotArea outline="0" collapsedLevelsAreSubtotals="1" fieldPosition="0"/>
    </format>
  </formats>
  <chartFormats count="2">
    <chartFormat chart="22" format="0" series="1">
      <pivotArea type="data" outline="0" fieldPosition="0">
        <references count="1">
          <reference field="4294967294" count="1" selected="0">
            <x v="0"/>
          </reference>
        </references>
      </pivotArea>
    </chartFormat>
    <chartFormat chart="24"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7.xml><?xml version="1.0" encoding="utf-8"?>
<pivotTableDefinition xmlns="http://schemas.openxmlformats.org/spreadsheetml/2006/main" name="PivotTable26"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36">
  <location ref="B445:C449" firstHeaderRow="1" firstDataRow="1" firstDataCol="1" rowPageCount="3" colPageCount="1"/>
  <pivotFields count="94">
    <pivotField showAll="0"/>
    <pivotField showAll="0"/>
    <pivotField showAll="0"/>
    <pivotField showAll="0"/>
    <pivotField showAll="0"/>
    <pivotField showAll="0"/>
    <pivotField axis="axisPage" multipleItemSelectionAllowed="1" showAll="0">
      <items count="4">
        <item x="0"/>
        <item h="1" x="2"/>
        <item h="1" x="1"/>
        <item t="default"/>
      </items>
    </pivotField>
    <pivotField axis="axisPage" showAll="0">
      <items count="3">
        <item x="0"/>
        <item x="1"/>
        <item t="default"/>
      </items>
    </pivotField>
    <pivotField showAll="0"/>
    <pivotField showAll="0"/>
    <pivotField showAll="0"/>
    <pivotField showAll="0"/>
    <pivotField showAll="0" defaultSubtotal="0"/>
    <pivotField showAll="0"/>
    <pivotField showAll="0"/>
    <pivotField showAll="0" defaultSubtotal="0"/>
    <pivotField showAll="0" defaultSubtotal="0"/>
    <pivotField showAll="0"/>
    <pivotField axis="axisPage" showAll="0" defaultSubtotal="0">
      <items count="2">
        <item x="0"/>
        <item x="1"/>
      </items>
    </pivotField>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defaultSubtotal="0"/>
    <pivotField numFmtId="1" showAll="0"/>
    <pivotField showAll="0"/>
    <pivotField showAll="0"/>
    <pivotField axis="axisRow" dataField="1" showAll="0">
      <items count="16">
        <item m="1" x="4"/>
        <item m="1" x="9"/>
        <item x="0"/>
        <item m="1" x="8"/>
        <item m="1" x="6"/>
        <item m="1" x="13"/>
        <item m="1" x="10"/>
        <item m="1" x="7"/>
        <item m="1" x="11"/>
        <item m="1" x="12"/>
        <item m="1" x="14"/>
        <item x="2"/>
        <item x="1"/>
        <item m="1" x="3"/>
        <item m="1" x="5"/>
        <item t="default"/>
      </items>
    </pivotField>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82"/>
  </rowFields>
  <rowItems count="4">
    <i>
      <x v="2"/>
    </i>
    <i>
      <x v="11"/>
    </i>
    <i>
      <x v="12"/>
    </i>
    <i t="grand">
      <x/>
    </i>
  </rowItems>
  <colItems count="1">
    <i/>
  </colItems>
  <pageFields count="3">
    <pageField fld="6" hier="-1"/>
    <pageField fld="7" hier="-1"/>
    <pageField fld="18" hier="-1"/>
  </pageFields>
  <dataFields count="1">
    <dataField name="Count of Community management organise and efficient in camps" fld="82" subtotal="count" baseField="0" baseItem="0" numFmtId="3"/>
  </dataFields>
  <formats count="5">
    <format dxfId="232">
      <pivotArea outline="0" collapsedLevelsAreSubtotals="1" fieldPosition="0"/>
    </format>
    <format dxfId="231">
      <pivotArea outline="0" collapsedLevelsAreSubtotals="1" fieldPosition="0"/>
    </format>
    <format dxfId="230">
      <pivotArea outline="0" fieldPosition="0">
        <references count="1">
          <reference field="4294967294" count="1">
            <x v="0"/>
          </reference>
        </references>
      </pivotArea>
    </format>
    <format dxfId="229">
      <pivotArea field="82" type="button" dataOnly="0" labelOnly="1" outline="0" axis="axisRow" fieldPosition="0"/>
    </format>
    <format dxfId="228">
      <pivotArea dataOnly="0" labelOnly="1" outline="0" axis="axisValues" fieldPosition="0"/>
    </format>
  </formats>
  <chartFormats count="20">
    <chartFormat chart="28" format="0" series="1">
      <pivotArea type="data" outline="0" fieldPosition="0">
        <references count="1">
          <reference field="4294967294" count="1" selected="0">
            <x v="0"/>
          </reference>
        </references>
      </pivotArea>
    </chartFormat>
    <chartFormat chart="28" format="1">
      <pivotArea type="data" outline="0" fieldPosition="0">
        <references count="2">
          <reference field="4294967294" count="1" selected="0">
            <x v="0"/>
          </reference>
          <reference field="82" count="1" selected="0">
            <x v="2"/>
          </reference>
        </references>
      </pivotArea>
    </chartFormat>
    <chartFormat chart="28" format="2">
      <pivotArea type="data" outline="0" fieldPosition="0">
        <references count="2">
          <reference field="4294967294" count="1" selected="0">
            <x v="0"/>
          </reference>
          <reference field="82" count="1" selected="0">
            <x v="7"/>
          </reference>
        </references>
      </pivotArea>
    </chartFormat>
    <chartFormat chart="28" format="3">
      <pivotArea type="data" outline="0" fieldPosition="0">
        <references count="2">
          <reference field="4294967294" count="1" selected="0">
            <x v="0"/>
          </reference>
          <reference field="82" count="1" selected="0">
            <x v="11"/>
          </reference>
        </references>
      </pivotArea>
    </chartFormat>
    <chartFormat chart="28" format="4">
      <pivotArea type="data" outline="0" fieldPosition="0">
        <references count="2">
          <reference field="4294967294" count="1" selected="0">
            <x v="0"/>
          </reference>
          <reference field="82" count="1" selected="0">
            <x v="12"/>
          </reference>
        </references>
      </pivotArea>
    </chartFormat>
    <chartFormat chart="28" format="5">
      <pivotArea type="data" outline="0" fieldPosition="0">
        <references count="2">
          <reference field="4294967294" count="1" selected="0">
            <x v="0"/>
          </reference>
          <reference field="82" count="1" selected="0">
            <x v="8"/>
          </reference>
        </references>
      </pivotArea>
    </chartFormat>
    <chartFormat chart="35" format="12" series="1">
      <pivotArea type="data" outline="0" fieldPosition="0">
        <references count="1">
          <reference field="4294967294" count="1" selected="0">
            <x v="0"/>
          </reference>
        </references>
      </pivotArea>
    </chartFormat>
    <chartFormat chart="35" format="13">
      <pivotArea type="data" outline="0" fieldPosition="0">
        <references count="2">
          <reference field="4294967294" count="1" selected="0">
            <x v="0"/>
          </reference>
          <reference field="82" count="1" selected="0">
            <x v="2"/>
          </reference>
        </references>
      </pivotArea>
    </chartFormat>
    <chartFormat chart="35" format="14">
      <pivotArea type="data" outline="0" fieldPosition="0">
        <references count="2">
          <reference field="4294967294" count="1" selected="0">
            <x v="0"/>
          </reference>
          <reference field="82" count="1" selected="0">
            <x v="7"/>
          </reference>
        </references>
      </pivotArea>
    </chartFormat>
    <chartFormat chart="35" format="15">
      <pivotArea type="data" outline="0" fieldPosition="0">
        <references count="2">
          <reference field="4294967294" count="1" selected="0">
            <x v="0"/>
          </reference>
          <reference field="82" count="1" selected="0">
            <x v="8"/>
          </reference>
        </references>
      </pivotArea>
    </chartFormat>
    <chartFormat chart="35" format="16">
      <pivotArea type="data" outline="0" fieldPosition="0">
        <references count="2">
          <reference field="4294967294" count="1" selected="0">
            <x v="0"/>
          </reference>
          <reference field="82" count="1" selected="0">
            <x v="11"/>
          </reference>
        </references>
      </pivotArea>
    </chartFormat>
    <chartFormat chart="35" format="17">
      <pivotArea type="data" outline="0" fieldPosition="0">
        <references count="2">
          <reference field="4294967294" count="1" selected="0">
            <x v="0"/>
          </reference>
          <reference field="82" count="1" selected="0">
            <x v="12"/>
          </reference>
        </references>
      </pivotArea>
    </chartFormat>
    <chartFormat chart="35" format="18">
      <pivotArea type="data" outline="0" fieldPosition="0">
        <references count="2">
          <reference field="4294967294" count="1" selected="0">
            <x v="0"/>
          </reference>
          <reference field="82" count="1" selected="0">
            <x v="0"/>
          </reference>
        </references>
      </pivotArea>
    </chartFormat>
    <chartFormat chart="28" format="6">
      <pivotArea type="data" outline="0" fieldPosition="0">
        <references count="2">
          <reference field="4294967294" count="1" selected="0">
            <x v="0"/>
          </reference>
          <reference field="82" count="1" selected="0">
            <x v="0"/>
          </reference>
        </references>
      </pivotArea>
    </chartFormat>
    <chartFormat chart="28" format="7">
      <pivotArea type="data" outline="0" fieldPosition="0">
        <references count="2">
          <reference field="4294967294" count="1" selected="0">
            <x v="0"/>
          </reference>
          <reference field="82" count="1" selected="0">
            <x v="10"/>
          </reference>
        </references>
      </pivotArea>
    </chartFormat>
    <chartFormat chart="35" format="19">
      <pivotArea type="data" outline="0" fieldPosition="0">
        <references count="2">
          <reference field="4294967294" count="1" selected="0">
            <x v="0"/>
          </reference>
          <reference field="82" count="1" selected="0">
            <x v="10"/>
          </reference>
        </references>
      </pivotArea>
    </chartFormat>
    <chartFormat chart="35" format="20">
      <pivotArea type="data" outline="0" fieldPosition="0">
        <references count="2">
          <reference field="4294967294" count="1" selected="0">
            <x v="0"/>
          </reference>
          <reference field="82" count="1" selected="0">
            <x v="14"/>
          </reference>
        </references>
      </pivotArea>
    </chartFormat>
    <chartFormat chart="28" format="8">
      <pivotArea type="data" outline="0" fieldPosition="0">
        <references count="2">
          <reference field="4294967294" count="1" selected="0">
            <x v="0"/>
          </reference>
          <reference field="82" count="1" selected="0">
            <x v="14"/>
          </reference>
        </references>
      </pivotArea>
    </chartFormat>
    <chartFormat chart="35" format="21">
      <pivotArea type="data" outline="0" fieldPosition="0">
        <references count="2">
          <reference field="4294967294" count="1" selected="0">
            <x v="0"/>
          </reference>
          <reference field="82" count="1" selected="0">
            <x v="13"/>
          </reference>
        </references>
      </pivotArea>
    </chartFormat>
    <chartFormat chart="28" format="9">
      <pivotArea type="data" outline="0" fieldPosition="0">
        <references count="2">
          <reference field="4294967294" count="1" selected="0">
            <x v="0"/>
          </reference>
          <reference field="82" count="1" selected="0">
            <x v="1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8.xml><?xml version="1.0" encoding="utf-8"?>
<pivotTableDefinition xmlns="http://schemas.openxmlformats.org/spreadsheetml/2006/main" name="PivotTable2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48">
  <location ref="B646:E666" firstHeaderRow="1" firstDataRow="2" firstDataCol="1" rowPageCount="3" colPageCount="1"/>
  <pivotFields count="94">
    <pivotField axis="axisRow" showAll="0">
      <items count="21">
        <item x="0"/>
        <item x="1"/>
        <item x="2"/>
        <item x="4"/>
        <item x="5"/>
        <item m="1" x="18"/>
        <item x="6"/>
        <item x="7"/>
        <item x="8"/>
        <item x="9"/>
        <item x="10"/>
        <item x="11"/>
        <item x="12"/>
        <item x="13"/>
        <item x="14"/>
        <item x="15"/>
        <item x="16"/>
        <item m="1" x="19"/>
        <item x="17"/>
        <item x="3"/>
        <item t="default"/>
      </items>
    </pivotField>
    <pivotField showAll="0"/>
    <pivotField axis="axisPage" showAll="0">
      <items count="11">
        <item x="2"/>
        <item x="1"/>
        <item x="9"/>
        <item x="7"/>
        <item x="0"/>
        <item x="8"/>
        <item x="4"/>
        <item x="5"/>
        <item x="3"/>
        <item x="6"/>
        <item t="default"/>
      </items>
    </pivotField>
    <pivotField showAll="0"/>
    <pivotField showAll="0"/>
    <pivotField showAll="0"/>
    <pivotField axis="axisPage" multipleItemSelectionAllowed="1" showAll="0">
      <items count="4">
        <item x="0"/>
        <item x="2"/>
        <item x="1"/>
        <item t="default"/>
      </items>
    </pivotField>
    <pivotField axis="axisPage" showAll="0">
      <items count="3">
        <item x="0"/>
        <item x="1"/>
        <item t="default"/>
      </items>
    </pivotField>
    <pivotField showAll="0"/>
    <pivotField showAll="0"/>
    <pivotField dataField="1" showAll="0"/>
    <pivotField showAll="0"/>
    <pivotField showAll="0" defaultSubtotal="0"/>
    <pivotField showAll="0"/>
    <pivotField showAll="0"/>
    <pivotField axis="axisCol" showAll="0" defaultSubtotal="0">
      <items count="2">
        <item x="1"/>
        <item x="0"/>
      </items>
    </pivotField>
    <pivotField showAll="0" defaultSubtotal="0"/>
    <pivotField showAll="0"/>
    <pivotField showAll="0" defaultSubtotal="0"/>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defaultSubtotal="0"/>
    <pivotField numFmtId="1"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0"/>
  </rowFields>
  <rowItems count="19">
    <i>
      <x/>
    </i>
    <i>
      <x v="1"/>
    </i>
    <i>
      <x v="2"/>
    </i>
    <i>
      <x v="3"/>
    </i>
    <i>
      <x v="4"/>
    </i>
    <i>
      <x v="6"/>
    </i>
    <i>
      <x v="7"/>
    </i>
    <i>
      <x v="8"/>
    </i>
    <i>
      <x v="9"/>
    </i>
    <i>
      <x v="10"/>
    </i>
    <i>
      <x v="11"/>
    </i>
    <i>
      <x v="12"/>
    </i>
    <i>
      <x v="13"/>
    </i>
    <i>
      <x v="14"/>
    </i>
    <i>
      <x v="15"/>
    </i>
    <i>
      <x v="16"/>
    </i>
    <i>
      <x v="18"/>
    </i>
    <i>
      <x v="19"/>
    </i>
    <i t="grand">
      <x/>
    </i>
  </rowItems>
  <colFields count="1">
    <field x="15"/>
  </colFields>
  <colItems count="3">
    <i>
      <x/>
    </i>
    <i>
      <x v="1"/>
    </i>
    <i t="grand">
      <x/>
    </i>
  </colItems>
  <pageFields count="3">
    <pageField fld="6" hier="-1"/>
    <pageField fld="2" hier="-1"/>
    <pageField fld="7" hier="-1"/>
  </pageFields>
  <dataFields count="1">
    <dataField name="Sum of Total PoP" fld="10" baseField="0" baseItem="0" numFmtId="1"/>
  </dataFields>
  <formats count="3">
    <format dxfId="235">
      <pivotArea outline="0" collapsedLevelsAreSubtotals="1" fieldPosition="0"/>
    </format>
    <format dxfId="234">
      <pivotArea outline="0" collapsedLevelsAreSubtotals="1" fieldPosition="0"/>
    </format>
    <format dxfId="233">
      <pivotArea outline="0" collapsedLevelsAreSubtotals="1" fieldPosition="0"/>
    </format>
  </formats>
  <chartFormats count="6">
    <chartFormat chart="42" format="0" series="1">
      <pivotArea type="data" outline="0" fieldPosition="0">
        <references count="2">
          <reference field="4294967294" count="1" selected="0">
            <x v="0"/>
          </reference>
          <reference field="15" count="1" selected="0">
            <x v="0"/>
          </reference>
        </references>
      </pivotArea>
    </chartFormat>
    <chartFormat chart="42" format="1" series="1">
      <pivotArea type="data" outline="0" fieldPosition="0">
        <references count="2">
          <reference field="4294967294" count="1" selected="0">
            <x v="0"/>
          </reference>
          <reference field="15" count="1" selected="0">
            <x v="1"/>
          </reference>
        </references>
      </pivotArea>
    </chartFormat>
    <chartFormat chart="44" format="0" series="1">
      <pivotArea type="data" outline="0" fieldPosition="0">
        <references count="2">
          <reference field="4294967294" count="1" selected="0">
            <x v="0"/>
          </reference>
          <reference field="15" count="1" selected="0">
            <x v="0"/>
          </reference>
        </references>
      </pivotArea>
    </chartFormat>
    <chartFormat chart="44" format="1" series="1">
      <pivotArea type="data" outline="0" fieldPosition="0">
        <references count="2">
          <reference field="4294967294" count="1" selected="0">
            <x v="0"/>
          </reference>
          <reference field="15" count="1" selected="0">
            <x v="1"/>
          </reference>
        </references>
      </pivotArea>
    </chartFormat>
    <chartFormat chart="46" format="0" series="1">
      <pivotArea type="data" outline="0" fieldPosition="0">
        <references count="2">
          <reference field="4294967294" count="1" selected="0">
            <x v="0"/>
          </reference>
          <reference field="15" count="1" selected="0">
            <x v="0"/>
          </reference>
        </references>
      </pivotArea>
    </chartFormat>
    <chartFormat chart="46" format="1" series="1">
      <pivotArea type="data" outline="0" fieldPosition="0">
        <references count="2">
          <reference field="4294967294" count="1" selected="0">
            <x v="0"/>
          </reference>
          <reference field="15"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9.xml><?xml version="1.0" encoding="utf-8"?>
<pivotTableDefinition xmlns="http://schemas.openxmlformats.org/spreadsheetml/2006/main" name="PivotTable19"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22">
  <location ref="B282:D293" firstHeaderRow="0" firstDataRow="1" firstDataCol="1" rowPageCount="2" colPageCount="1"/>
  <pivotFields count="94">
    <pivotField showAll="0"/>
    <pivotField showAll="0"/>
    <pivotField axis="axisRow" showAll="0">
      <items count="11">
        <item x="2"/>
        <item x="9"/>
        <item x="7"/>
        <item x="0"/>
        <item x="8"/>
        <item x="4"/>
        <item x="5"/>
        <item x="3"/>
        <item x="6"/>
        <item x="1"/>
        <item t="default"/>
      </items>
    </pivotField>
    <pivotField showAll="0"/>
    <pivotField showAll="0"/>
    <pivotField showAll="0"/>
    <pivotField axis="axisPage" multipleItemSelectionAllowed="1" showAll="0">
      <items count="4">
        <item x="0"/>
        <item h="1" x="2"/>
        <item h="1" x="1"/>
        <item t="default"/>
      </items>
    </pivotField>
    <pivotField showAll="0"/>
    <pivotField showAll="0"/>
    <pivotField showAll="0"/>
    <pivotField showAll="0"/>
    <pivotField showAll="0"/>
    <pivotField showAll="0" defaultSubtotal="0"/>
    <pivotField showAll="0"/>
    <pivotField showAll="0"/>
    <pivotField showAll="0" defaultSubtotal="0"/>
    <pivotField showAll="0" defaultSubtotal="0"/>
    <pivotField showAll="0"/>
    <pivotField axis="axisPage" showAll="0" defaultSubtotal="0">
      <items count="2">
        <item x="0"/>
        <item x="1"/>
      </items>
    </pivotField>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defaultSubtotal="0"/>
    <pivotField numFmtId="1"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2"/>
  </rowFields>
  <rowItems count="11">
    <i>
      <x/>
    </i>
    <i>
      <x v="1"/>
    </i>
    <i>
      <x v="2"/>
    </i>
    <i>
      <x v="3"/>
    </i>
    <i>
      <x v="4"/>
    </i>
    <i>
      <x v="5"/>
    </i>
    <i>
      <x v="6"/>
    </i>
    <i>
      <x v="7"/>
    </i>
    <i>
      <x v="8"/>
    </i>
    <i>
      <x v="9"/>
    </i>
    <i t="grand">
      <x/>
    </i>
  </rowItems>
  <colFields count="1">
    <field x="-2"/>
  </colFields>
  <colItems count="2">
    <i>
      <x/>
    </i>
    <i i="1">
      <x v="1"/>
    </i>
  </colItems>
  <pageFields count="2">
    <pageField fld="6" hier="-1"/>
    <pageField fld="18" hier="-1"/>
  </pageFields>
  <dataFields count="2">
    <dataField name="% Coverage Permanent Latrine" fld="87" baseField="0" baseItem="0" numFmtId="9"/>
    <dataField name="%  Coverage Emergency latrine" fld="88" baseField="0" baseItem="0" numFmtId="1"/>
  </dataFields>
  <formats count="5">
    <format dxfId="240">
      <pivotArea outline="0" collapsedLevelsAreSubtotals="1" fieldPosition="0"/>
    </format>
    <format dxfId="239">
      <pivotArea field="2" type="button" dataOnly="0" labelOnly="1" outline="0" axis="axisRow" fieldPosition="0"/>
    </format>
    <format dxfId="238">
      <pivotArea dataOnly="0" labelOnly="1" outline="0" fieldPosition="0">
        <references count="1">
          <reference field="4294967294" count="2">
            <x v="0"/>
            <x v="1"/>
          </reference>
        </references>
      </pivotArea>
    </format>
    <format dxfId="237">
      <pivotArea outline="0" collapsedLevelsAreSubtotals="1" fieldPosition="0"/>
    </format>
    <format dxfId="236">
      <pivotArea dataOnly="0" labelOnly="1" outline="0" fieldPosition="0">
        <references count="1">
          <reference field="4294967294" count="2">
            <x v="0"/>
            <x v="1"/>
          </reference>
        </references>
      </pivotArea>
    </format>
  </formats>
  <chartFormats count="8">
    <chartFormat chart="12" format="0" series="1">
      <pivotArea type="data" outline="0" fieldPosition="0">
        <references count="1">
          <reference field="4294967294" count="1" selected="0">
            <x v="0"/>
          </reference>
        </references>
      </pivotArea>
    </chartFormat>
    <chartFormat chart="12" format="1" series="1">
      <pivotArea type="data" outline="0" fieldPosition="0">
        <references count="1">
          <reference field="4294967294" count="1" selected="0">
            <x v="1"/>
          </reference>
        </references>
      </pivotArea>
    </chartFormat>
    <chartFormat chart="16" format="0" series="1">
      <pivotArea type="data" outline="0" fieldPosition="0">
        <references count="1">
          <reference field="4294967294" count="1" selected="0">
            <x v="0"/>
          </reference>
        </references>
      </pivotArea>
    </chartFormat>
    <chartFormat chart="16" format="1" series="1">
      <pivotArea type="data" outline="0" fieldPosition="0">
        <references count="1">
          <reference field="4294967294" count="1" selected="0">
            <x v="1"/>
          </reference>
        </references>
      </pivotArea>
    </chartFormat>
    <chartFormat chart="18" format="0" series="1">
      <pivotArea type="data" outline="0" fieldPosition="0">
        <references count="1">
          <reference field="4294967294" count="1" selected="0">
            <x v="0"/>
          </reference>
        </references>
      </pivotArea>
    </chartFormat>
    <chartFormat chart="18" format="1" series="1">
      <pivotArea type="data" outline="0" fieldPosition="0">
        <references count="1">
          <reference field="4294967294" count="1" selected="0">
            <x v="1"/>
          </reference>
        </references>
      </pivotArea>
    </chartFormat>
    <chartFormat chart="20" format="0" series="1">
      <pivotArea type="data" outline="0" fieldPosition="0">
        <references count="1">
          <reference field="4294967294" count="1" selected="0">
            <x v="0"/>
          </reference>
        </references>
      </pivotArea>
    </chartFormat>
    <chartFormat chart="20"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6">
  <location ref="B118:E124" firstHeaderRow="0" firstDataRow="1" firstDataCol="1" rowPageCount="3" colPageCount="1"/>
  <pivotFields count="94">
    <pivotField showAll="0"/>
    <pivotField showAll="0"/>
    <pivotField showAll="0"/>
    <pivotField showAll="0"/>
    <pivotField showAll="0"/>
    <pivotField showAll="0"/>
    <pivotField axis="axisPage" multipleItemSelectionAllowed="1" showAll="0">
      <items count="4">
        <item x="0"/>
        <item h="1" x="2"/>
        <item h="1" x="1"/>
        <item t="default"/>
      </items>
    </pivotField>
    <pivotField axis="axisPage" showAll="0">
      <items count="3">
        <item x="0"/>
        <item x="1"/>
        <item t="default"/>
      </items>
    </pivotField>
    <pivotField showAll="0"/>
    <pivotField showAll="0"/>
    <pivotField showAll="0"/>
    <pivotField axis="axisRow" showAll="0">
      <items count="7">
        <item x="1"/>
        <item x="0"/>
        <item x="3"/>
        <item x="2"/>
        <item x="4"/>
        <item m="1" x="5"/>
        <item t="default"/>
      </items>
    </pivotField>
    <pivotField showAll="0" defaultSubtotal="0"/>
    <pivotField showAll="0"/>
    <pivotField showAll="0"/>
    <pivotField showAll="0" defaultSubtotal="0"/>
    <pivotField showAll="0" defaultSubtotal="0"/>
    <pivotField showAll="0"/>
    <pivotField axis="axisPage" showAll="0" defaultSubtotal="0">
      <items count="2">
        <item x="0"/>
        <item x="1"/>
      </items>
    </pivotField>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defaultSubtotal="0"/>
    <pivotField numFmtId="1" showAll="0"/>
    <pivotField showAll="0"/>
    <pivotField showAll="0"/>
    <pivotField showAll="0"/>
    <pivotField showAll="0"/>
    <pivotField dataField="1" dragToRow="0" dragToCol="0" dragToPage="0" showAll="0" defaultSubtotal="0"/>
    <pivotField dataField="1"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11"/>
  </rowFields>
  <rowItems count="6">
    <i>
      <x/>
    </i>
    <i>
      <x v="1"/>
    </i>
    <i>
      <x v="2"/>
    </i>
    <i>
      <x v="3"/>
    </i>
    <i>
      <x v="4"/>
    </i>
    <i t="grand">
      <x/>
    </i>
  </rowItems>
  <colFields count="1">
    <field x="-2"/>
  </colFields>
  <colItems count="3">
    <i>
      <x/>
    </i>
    <i i="1">
      <x v="1"/>
    </i>
    <i i="2">
      <x v="2"/>
    </i>
  </colItems>
  <pageFields count="3">
    <pageField fld="6" hier="-1"/>
    <pageField fld="7" hier="-1"/>
    <pageField fld="18" hier="-1"/>
  </pageFields>
  <dataFields count="3">
    <dataField name="% Water Need coverage" fld="84" baseField="0" baseItem="0" numFmtId="1"/>
    <dataField name="% Latrine need coverage" fld="85" baseField="0" baseItem="0" numFmtId="1"/>
    <dataField name="% Bathroom need coverage" fld="86" baseField="0" baseItem="0" numFmtId="1"/>
  </dataFields>
  <formats count="6">
    <format dxfId="106">
      <pivotArea outline="0" collapsedLevelsAreSubtotals="1" fieldPosition="0"/>
    </format>
    <format dxfId="105">
      <pivotArea field="11" type="button" dataOnly="0" labelOnly="1" outline="0" axis="axisRow" fieldPosition="0"/>
    </format>
    <format dxfId="104">
      <pivotArea dataOnly="0" labelOnly="1" outline="0" fieldPosition="0">
        <references count="1">
          <reference field="4294967294" count="3">
            <x v="0"/>
            <x v="1"/>
            <x v="2"/>
          </reference>
        </references>
      </pivotArea>
    </format>
    <format dxfId="103">
      <pivotArea outline="0" collapsedLevelsAreSubtotals="1" fieldPosition="0"/>
    </format>
    <format dxfId="102">
      <pivotArea dataOnly="0" labelOnly="1" outline="0" fieldPosition="0">
        <references count="1">
          <reference field="4294967294" count="3">
            <x v="0"/>
            <x v="1"/>
            <x v="2"/>
          </reference>
        </references>
      </pivotArea>
    </format>
    <format dxfId="101">
      <pivotArea dataOnly="0" outline="0" fieldPosition="0">
        <references count="1">
          <reference field="4294967294" count="3">
            <x v="0"/>
            <x v="1"/>
            <x v="2"/>
          </reference>
        </references>
      </pivotArea>
    </format>
  </formats>
  <chartFormats count="9">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 chart="2" format="0" series="1">
      <pivotArea type="data" outline="0" fieldPosition="0">
        <references count="1">
          <reference field="4294967294" count="1" selected="0">
            <x v="0"/>
          </reference>
        </references>
      </pivotArea>
    </chartFormat>
    <chartFormat chart="2" format="1" series="1">
      <pivotArea type="data" outline="0" fieldPosition="0">
        <references count="1">
          <reference field="4294967294" count="1" selected="0">
            <x v="1"/>
          </reference>
        </references>
      </pivotArea>
    </chartFormat>
    <chartFormat chart="2" format="2" series="1">
      <pivotArea type="data" outline="0" fieldPosition="0">
        <references count="1">
          <reference field="4294967294" count="1" selected="0">
            <x v="2"/>
          </reference>
        </references>
      </pivotArea>
    </chartFormat>
    <chartFormat chart="4" format="18" series="1">
      <pivotArea type="data" outline="0" fieldPosition="0">
        <references count="1">
          <reference field="4294967294" count="1" selected="0">
            <x v="0"/>
          </reference>
        </references>
      </pivotArea>
    </chartFormat>
    <chartFormat chart="4" format="19" series="1">
      <pivotArea type="data" outline="0" fieldPosition="0">
        <references count="1">
          <reference field="4294967294" count="1" selected="0">
            <x v="1"/>
          </reference>
        </references>
      </pivotArea>
    </chartFormat>
    <chartFormat chart="4" format="20"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0.xml><?xml version="1.0" encoding="utf-8"?>
<pivotTableDefinition xmlns="http://schemas.openxmlformats.org/spreadsheetml/2006/main" name="PivotTable28"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50">
  <location ref="B681:E685" firstHeaderRow="1" firstDataRow="2" firstDataCol="1" rowPageCount="2" colPageCount="1"/>
  <pivotFields count="94">
    <pivotField showAll="0"/>
    <pivotField showAll="0"/>
    <pivotField axis="axisPage" showAll="0">
      <items count="11">
        <item x="2"/>
        <item x="1"/>
        <item x="9"/>
        <item x="7"/>
        <item x="0"/>
        <item x="8"/>
        <item x="4"/>
        <item x="5"/>
        <item x="3"/>
        <item x="6"/>
        <item t="default"/>
      </items>
    </pivotField>
    <pivotField showAll="0"/>
    <pivotField showAll="0"/>
    <pivotField showAll="0"/>
    <pivotField axis="axisPage" multipleItemSelectionAllowed="1" showAll="0">
      <items count="4">
        <item x="0"/>
        <item x="2"/>
        <item x="1"/>
        <item t="default"/>
      </items>
    </pivotField>
    <pivotField axis="axisRow" showAll="0">
      <items count="3">
        <item x="0"/>
        <item x="1"/>
        <item t="default"/>
      </items>
    </pivotField>
    <pivotField showAll="0"/>
    <pivotField showAll="0"/>
    <pivotField showAll="0"/>
    <pivotField showAll="0"/>
    <pivotField showAll="0" defaultSubtotal="0"/>
    <pivotField showAll="0"/>
    <pivotField showAll="0"/>
    <pivotField showAll="0" defaultSubtotal="0"/>
    <pivotField showAll="0" defaultSubtotal="0"/>
    <pivotField showAll="0"/>
    <pivotField axis="axisCol" dataField="1" showAll="0" defaultSubtotal="0">
      <items count="2">
        <item x="0"/>
        <item x="1"/>
      </items>
    </pivotField>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defaultSubtotal="0"/>
    <pivotField numFmtId="1"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7"/>
  </rowFields>
  <rowItems count="3">
    <i>
      <x/>
    </i>
    <i>
      <x v="1"/>
    </i>
    <i t="grand">
      <x/>
    </i>
  </rowItems>
  <colFields count="1">
    <field x="18"/>
  </colFields>
  <colItems count="3">
    <i>
      <x/>
    </i>
    <i>
      <x v="1"/>
    </i>
    <i t="grand">
      <x/>
    </i>
  </colItems>
  <pageFields count="2">
    <pageField fld="6" hier="-1"/>
    <pageField fld="2" hier="-1"/>
  </pageFields>
  <dataFields count="1">
    <dataField name="Count of Documented" fld="18" subtotal="count" baseField="0" baseItem="0"/>
  </dataFields>
  <formats count="3">
    <format dxfId="243">
      <pivotArea outline="0" collapsedLevelsAreSubtotals="1" fieldPosition="0"/>
    </format>
    <format dxfId="242">
      <pivotArea outline="0" collapsedLevelsAreSubtotals="1" fieldPosition="0"/>
    </format>
    <format dxfId="241">
      <pivotArea outline="0" collapsedLevelsAreSubtotals="1" fieldPosition="0"/>
    </format>
  </formats>
  <chartFormats count="2">
    <chartFormat chart="48" format="0" series="1">
      <pivotArea type="data" outline="0" fieldPosition="0">
        <references count="2">
          <reference field="4294967294" count="1" selected="0">
            <x v="0"/>
          </reference>
          <reference field="18" count="1" selected="0">
            <x v="0"/>
          </reference>
        </references>
      </pivotArea>
    </chartFormat>
    <chartFormat chart="48" format="1" series="1">
      <pivotArea type="data" outline="0" fieldPosition="0">
        <references count="2">
          <reference field="4294967294" count="1" selected="0">
            <x v="0"/>
          </reference>
          <reference field="18"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1.xml><?xml version="1.0" encoding="utf-8"?>
<pivotTableDefinition xmlns="http://schemas.openxmlformats.org/spreadsheetml/2006/main" name="PivotTable17"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50">
  <location ref="B630:E634" firstHeaderRow="1" firstDataRow="2" firstDataCol="1" rowPageCount="2" colPageCount="1"/>
  <pivotFields count="94">
    <pivotField showAll="0"/>
    <pivotField showAll="0"/>
    <pivotField axis="axisPage" showAll="0">
      <items count="11">
        <item x="2"/>
        <item x="1"/>
        <item x="9"/>
        <item x="7"/>
        <item x="0"/>
        <item x="8"/>
        <item x="4"/>
        <item x="5"/>
        <item x="3"/>
        <item x="6"/>
        <item t="default"/>
      </items>
    </pivotField>
    <pivotField showAll="0"/>
    <pivotField showAll="0"/>
    <pivotField showAll="0"/>
    <pivotField axis="axisPage" multipleItemSelectionAllowed="1" showAll="0">
      <items count="4">
        <item x="0"/>
        <item x="2"/>
        <item x="1"/>
        <item t="default"/>
      </items>
    </pivotField>
    <pivotField axis="axisRow" showAll="0">
      <items count="3">
        <item x="0"/>
        <item x="1"/>
        <item t="default"/>
      </items>
    </pivotField>
    <pivotField showAll="0"/>
    <pivotField showAll="0"/>
    <pivotField dataField="1" showAll="0"/>
    <pivotField showAll="0"/>
    <pivotField showAll="0" defaultSubtotal="0"/>
    <pivotField showAll="0"/>
    <pivotField showAll="0"/>
    <pivotField axis="axisCol" showAll="0" defaultSubtotal="0">
      <items count="2">
        <item x="1"/>
        <item x="0"/>
      </items>
    </pivotField>
    <pivotField showAll="0" defaultSubtotal="0"/>
    <pivotField showAll="0"/>
    <pivotField showAll="0" defaultSubtotal="0"/>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defaultSubtotal="0"/>
    <pivotField numFmtId="1"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7"/>
  </rowFields>
  <rowItems count="3">
    <i>
      <x/>
    </i>
    <i>
      <x v="1"/>
    </i>
    <i t="grand">
      <x/>
    </i>
  </rowItems>
  <colFields count="1">
    <field x="15"/>
  </colFields>
  <colItems count="3">
    <i>
      <x/>
    </i>
    <i>
      <x v="1"/>
    </i>
    <i t="grand">
      <x/>
    </i>
  </colItems>
  <pageFields count="2">
    <pageField fld="6" hier="-1"/>
    <pageField fld="2" hier="-1"/>
  </pageFields>
  <dataFields count="1">
    <dataField name="Sum of Total PoP" fld="10" baseField="0" baseItem="0" numFmtId="1"/>
  </dataFields>
  <formats count="3">
    <format dxfId="246">
      <pivotArea outline="0" collapsedLevelsAreSubtotals="1" fieldPosition="0"/>
    </format>
    <format dxfId="245">
      <pivotArea outline="0" collapsedLevelsAreSubtotals="1" fieldPosition="0"/>
    </format>
    <format dxfId="244">
      <pivotArea outline="0" collapsedLevelsAreSubtotals="1" fieldPosition="0"/>
    </format>
  </formats>
  <chartFormats count="6">
    <chartFormat chart="44" format="0" series="1">
      <pivotArea type="data" outline="0" fieldPosition="0">
        <references count="2">
          <reference field="4294967294" count="1" selected="0">
            <x v="0"/>
          </reference>
          <reference field="15" count="1" selected="0">
            <x v="0"/>
          </reference>
        </references>
      </pivotArea>
    </chartFormat>
    <chartFormat chart="44" format="1" series="1">
      <pivotArea type="data" outline="0" fieldPosition="0">
        <references count="2">
          <reference field="4294967294" count="1" selected="0">
            <x v="0"/>
          </reference>
          <reference field="15" count="1" selected="0">
            <x v="1"/>
          </reference>
        </references>
      </pivotArea>
    </chartFormat>
    <chartFormat chart="47" format="4" series="1">
      <pivotArea type="data" outline="0" fieldPosition="0">
        <references count="2">
          <reference field="4294967294" count="1" selected="0">
            <x v="0"/>
          </reference>
          <reference field="15" count="1" selected="0">
            <x v="0"/>
          </reference>
        </references>
      </pivotArea>
    </chartFormat>
    <chartFormat chart="47" format="5" series="1">
      <pivotArea type="data" outline="0" fieldPosition="0">
        <references count="2">
          <reference field="4294967294" count="1" selected="0">
            <x v="0"/>
          </reference>
          <reference field="15" count="1" selected="0">
            <x v="1"/>
          </reference>
        </references>
      </pivotArea>
    </chartFormat>
    <chartFormat chart="49" format="4" series="1">
      <pivotArea type="data" outline="0" fieldPosition="0">
        <references count="2">
          <reference field="4294967294" count="1" selected="0">
            <x v="0"/>
          </reference>
          <reference field="15" count="1" selected="0">
            <x v="0"/>
          </reference>
        </references>
      </pivotArea>
    </chartFormat>
    <chartFormat chart="49" format="5" series="1">
      <pivotArea type="data" outline="0" fieldPosition="0">
        <references count="2">
          <reference field="4294967294" count="1" selected="0">
            <x v="0"/>
          </reference>
          <reference field="15"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2.xml><?xml version="1.0" encoding="utf-8"?>
<pivotTableDefinition xmlns="http://schemas.openxmlformats.org/spreadsheetml/2006/main" name="PivotTable30"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1">
  <location ref="Z83:AC235" firstHeaderRow="0" firstDataRow="1" firstDataCol="1" rowPageCount="4" colPageCount="1"/>
  <pivotFields count="94">
    <pivotField axis="axisPage" showAll="0">
      <items count="21">
        <item x="0"/>
        <item x="1"/>
        <item x="2"/>
        <item x="4"/>
        <item x="5"/>
        <item m="1" x="18"/>
        <item x="6"/>
        <item x="7"/>
        <item x="8"/>
        <item x="9"/>
        <item x="10"/>
        <item x="11"/>
        <item x="12"/>
        <item x="13"/>
        <item x="14"/>
        <item x="15"/>
        <item x="16"/>
        <item m="1" x="19"/>
        <item x="17"/>
        <item x="3"/>
        <item t="default"/>
      </items>
    </pivotField>
    <pivotField showAll="0"/>
    <pivotField axis="axisPage" showAll="0">
      <items count="11">
        <item x="2"/>
        <item x="1"/>
        <item x="9"/>
        <item x="7"/>
        <item x="0"/>
        <item x="8"/>
        <item x="4"/>
        <item x="5"/>
        <item x="3"/>
        <item x="6"/>
        <item t="default"/>
      </items>
    </pivotField>
    <pivotField axis="axisRow" showAll="0">
      <items count="196">
        <item x="63"/>
        <item x="18"/>
        <item x="19"/>
        <item x="0"/>
        <item x="1"/>
        <item x="20"/>
        <item x="21"/>
        <item x="74"/>
        <item x="2"/>
        <item x="137"/>
        <item x="22"/>
        <item m="1" x="194"/>
        <item x="23"/>
        <item x="149"/>
        <item x="150"/>
        <item x="51"/>
        <item x="52"/>
        <item x="24"/>
        <item x="12"/>
        <item x="13"/>
        <item x="54"/>
        <item m="1" x="177"/>
        <item x="25"/>
        <item x="143"/>
        <item x="111"/>
        <item x="112"/>
        <item x="113"/>
        <item x="75"/>
        <item x="151"/>
        <item x="152"/>
        <item x="153"/>
        <item x="26"/>
        <item x="27"/>
        <item m="1" x="188"/>
        <item x="28"/>
        <item x="14"/>
        <item x="76"/>
        <item x="4"/>
        <item m="1" x="176"/>
        <item m="1" x="183"/>
        <item x="114"/>
        <item x="115"/>
        <item x="138"/>
        <item x="77"/>
        <item x="78"/>
        <item x="79"/>
        <item x="80"/>
        <item x="42"/>
        <item x="43"/>
        <item x="44"/>
        <item x="116"/>
        <item x="66"/>
        <item x="41"/>
        <item m="1" x="190"/>
        <item x="55"/>
        <item x="117"/>
        <item x="118"/>
        <item x="119"/>
        <item x="15"/>
        <item x="30"/>
        <item x="31"/>
        <item x="5"/>
        <item x="81"/>
        <item x="82"/>
        <item x="83"/>
        <item x="84"/>
        <item x="85"/>
        <item m="1" x="182"/>
        <item x="87"/>
        <item x="88"/>
        <item x="89"/>
        <item m="1" x="178"/>
        <item x="154"/>
        <item x="155"/>
        <item x="90"/>
        <item x="156"/>
        <item x="157"/>
        <item x="158"/>
        <item x="159"/>
        <item x="56"/>
        <item x="57"/>
        <item x="120"/>
        <item x="91"/>
        <item x="92"/>
        <item x="121"/>
        <item x="93"/>
        <item x="58"/>
        <item x="59"/>
        <item x="94"/>
        <item x="64"/>
        <item x="65"/>
        <item x="68"/>
        <item x="60"/>
        <item x="122"/>
        <item x="123"/>
        <item x="32"/>
        <item x="45"/>
        <item x="95"/>
        <item m="1" x="187"/>
        <item x="46"/>
        <item x="47"/>
        <item x="108"/>
        <item x="109"/>
        <item x="6"/>
        <item x="62"/>
        <item m="1" x="191"/>
        <item x="97"/>
        <item m="1" x="179"/>
        <item x="139"/>
        <item x="140"/>
        <item x="141"/>
        <item x="110"/>
        <item x="48"/>
        <item x="33"/>
        <item x="142"/>
        <item x="124"/>
        <item x="7"/>
        <item x="34"/>
        <item x="40"/>
        <item x="69"/>
        <item m="1" x="192"/>
        <item x="160"/>
        <item x="72"/>
        <item x="98"/>
        <item x="99"/>
        <item x="125"/>
        <item x="145"/>
        <item x="126"/>
        <item x="100"/>
        <item x="101"/>
        <item x="102"/>
        <item x="103"/>
        <item x="104"/>
        <item x="105"/>
        <item x="106"/>
        <item m="1" x="189"/>
        <item x="161"/>
        <item x="16"/>
        <item m="1" x="175"/>
        <item x="8"/>
        <item m="1" x="180"/>
        <item x="162"/>
        <item x="163"/>
        <item x="164"/>
        <item x="165"/>
        <item x="166"/>
        <item x="35"/>
        <item x="9"/>
        <item x="36"/>
        <item x="127"/>
        <item x="128"/>
        <item x="167"/>
        <item x="146"/>
        <item x="147"/>
        <item x="129"/>
        <item x="73"/>
        <item m="1" x="193"/>
        <item x="10"/>
        <item x="107"/>
        <item x="130"/>
        <item x="131"/>
        <item x="132"/>
        <item x="133"/>
        <item x="134"/>
        <item x="135"/>
        <item x="168"/>
        <item x="169"/>
        <item x="170"/>
        <item x="37"/>
        <item x="171"/>
        <item x="136"/>
        <item x="11"/>
        <item x="38"/>
        <item x="174"/>
        <item x="50"/>
        <item x="173"/>
        <item x="172"/>
        <item m="1" x="185"/>
        <item x="53"/>
        <item x="96"/>
        <item x="3"/>
        <item x="29"/>
        <item x="86"/>
        <item x="61"/>
        <item x="148"/>
        <item m="1" x="184"/>
        <item x="17"/>
        <item m="1" x="181"/>
        <item x="144"/>
        <item x="39"/>
        <item m="1" x="186"/>
        <item x="71"/>
        <item x="70"/>
        <item x="67"/>
        <item x="49"/>
        <item t="default"/>
      </items>
    </pivotField>
    <pivotField showAll="0"/>
    <pivotField showAll="0"/>
    <pivotField axis="axisPage" multipleItemSelectionAllowed="1" showAll="0">
      <items count="4">
        <item x="0"/>
        <item h="1" x="2"/>
        <item h="1" x="1"/>
        <item t="default"/>
      </items>
    </pivotField>
    <pivotField axis="axisPage" showAll="0">
      <items count="3">
        <item x="0"/>
        <item x="1"/>
        <item t="default"/>
      </items>
    </pivotField>
    <pivotField showAll="0"/>
    <pivotField showAll="0"/>
    <pivotField showAll="0"/>
    <pivotField showAll="0"/>
    <pivotField showAll="0" defaultSubtotal="0"/>
    <pivotField showAll="0"/>
    <pivotField showAll="0"/>
    <pivotField showAll="0"/>
    <pivotField showAll="0" defaultSubtotal="0"/>
    <pivotField showAll="0"/>
    <pivotField showAll="0"/>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pivotField numFmtId="1" showAll="0"/>
    <pivotField showAll="0"/>
    <pivotField showAll="0"/>
    <pivotField showAll="0"/>
    <pivotField showAll="0"/>
    <pivotField dataField="1" dragToRow="0" dragToCol="0" dragToPage="0" showAll="0" defaultSubtotal="0"/>
    <pivotField dataField="1"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3"/>
  </rowFields>
  <rowItems count="152">
    <i>
      <x v="1"/>
    </i>
    <i>
      <x v="2"/>
    </i>
    <i>
      <x v="3"/>
    </i>
    <i>
      <x v="4"/>
    </i>
    <i>
      <x v="5"/>
    </i>
    <i>
      <x v="6"/>
    </i>
    <i>
      <x v="7"/>
    </i>
    <i>
      <x v="8"/>
    </i>
    <i>
      <x v="9"/>
    </i>
    <i>
      <x v="10"/>
    </i>
    <i>
      <x v="12"/>
    </i>
    <i>
      <x v="13"/>
    </i>
    <i>
      <x v="15"/>
    </i>
    <i>
      <x v="16"/>
    </i>
    <i>
      <x v="17"/>
    </i>
    <i>
      <x v="19"/>
    </i>
    <i>
      <x v="20"/>
    </i>
    <i>
      <x v="22"/>
    </i>
    <i>
      <x v="24"/>
    </i>
    <i>
      <x v="25"/>
    </i>
    <i>
      <x v="26"/>
    </i>
    <i>
      <x v="27"/>
    </i>
    <i>
      <x v="29"/>
    </i>
    <i>
      <x v="30"/>
    </i>
    <i>
      <x v="31"/>
    </i>
    <i>
      <x v="32"/>
    </i>
    <i>
      <x v="34"/>
    </i>
    <i>
      <x v="35"/>
    </i>
    <i>
      <x v="36"/>
    </i>
    <i>
      <x v="37"/>
    </i>
    <i>
      <x v="40"/>
    </i>
    <i>
      <x v="41"/>
    </i>
    <i>
      <x v="42"/>
    </i>
    <i>
      <x v="43"/>
    </i>
    <i>
      <x v="44"/>
    </i>
    <i>
      <x v="45"/>
    </i>
    <i>
      <x v="47"/>
    </i>
    <i>
      <x v="48"/>
    </i>
    <i>
      <x v="49"/>
    </i>
    <i>
      <x v="50"/>
    </i>
    <i>
      <x v="51"/>
    </i>
    <i>
      <x v="52"/>
    </i>
    <i>
      <x v="54"/>
    </i>
    <i>
      <x v="55"/>
    </i>
    <i>
      <x v="56"/>
    </i>
    <i>
      <x v="57"/>
    </i>
    <i>
      <x v="58"/>
    </i>
    <i>
      <x v="59"/>
    </i>
    <i>
      <x v="60"/>
    </i>
    <i>
      <x v="61"/>
    </i>
    <i>
      <x v="62"/>
    </i>
    <i>
      <x v="63"/>
    </i>
    <i>
      <x v="64"/>
    </i>
    <i>
      <x v="65"/>
    </i>
    <i>
      <x v="66"/>
    </i>
    <i>
      <x v="68"/>
    </i>
    <i>
      <x v="70"/>
    </i>
    <i>
      <x v="72"/>
    </i>
    <i>
      <x v="73"/>
    </i>
    <i>
      <x v="75"/>
    </i>
    <i>
      <x v="76"/>
    </i>
    <i>
      <x v="77"/>
    </i>
    <i>
      <x v="78"/>
    </i>
    <i>
      <x v="79"/>
    </i>
    <i>
      <x v="80"/>
    </i>
    <i>
      <x v="81"/>
    </i>
    <i>
      <x v="82"/>
    </i>
    <i>
      <x v="83"/>
    </i>
    <i>
      <x v="84"/>
    </i>
    <i>
      <x v="86"/>
    </i>
    <i>
      <x v="87"/>
    </i>
    <i>
      <x v="88"/>
    </i>
    <i>
      <x v="89"/>
    </i>
    <i>
      <x v="90"/>
    </i>
    <i>
      <x v="91"/>
    </i>
    <i>
      <x v="92"/>
    </i>
    <i>
      <x v="93"/>
    </i>
    <i>
      <x v="94"/>
    </i>
    <i>
      <x v="95"/>
    </i>
    <i>
      <x v="96"/>
    </i>
    <i>
      <x v="97"/>
    </i>
    <i>
      <x v="99"/>
    </i>
    <i>
      <x v="100"/>
    </i>
    <i>
      <x v="101"/>
    </i>
    <i>
      <x v="102"/>
    </i>
    <i>
      <x v="103"/>
    </i>
    <i>
      <x v="104"/>
    </i>
    <i>
      <x v="108"/>
    </i>
    <i>
      <x v="109"/>
    </i>
    <i>
      <x v="110"/>
    </i>
    <i>
      <x v="111"/>
    </i>
    <i>
      <x v="112"/>
    </i>
    <i>
      <x v="113"/>
    </i>
    <i>
      <x v="114"/>
    </i>
    <i>
      <x v="115"/>
    </i>
    <i>
      <x v="116"/>
    </i>
    <i>
      <x v="117"/>
    </i>
    <i>
      <x v="118"/>
    </i>
    <i>
      <x v="119"/>
    </i>
    <i>
      <x v="121"/>
    </i>
    <i>
      <x v="122"/>
    </i>
    <i>
      <x v="123"/>
    </i>
    <i>
      <x v="124"/>
    </i>
    <i>
      <x v="125"/>
    </i>
    <i>
      <x v="127"/>
    </i>
    <i>
      <x v="128"/>
    </i>
    <i>
      <x v="129"/>
    </i>
    <i>
      <x v="130"/>
    </i>
    <i>
      <x v="136"/>
    </i>
    <i>
      <x v="137"/>
    </i>
    <i>
      <x v="139"/>
    </i>
    <i>
      <x v="141"/>
    </i>
    <i>
      <x v="142"/>
    </i>
    <i>
      <x v="143"/>
    </i>
    <i>
      <x v="144"/>
    </i>
    <i>
      <x v="145"/>
    </i>
    <i>
      <x v="146"/>
    </i>
    <i>
      <x v="147"/>
    </i>
    <i>
      <x v="148"/>
    </i>
    <i>
      <x v="149"/>
    </i>
    <i>
      <x v="150"/>
    </i>
    <i>
      <x v="151"/>
    </i>
    <i>
      <x v="152"/>
    </i>
    <i>
      <x v="153"/>
    </i>
    <i>
      <x v="154"/>
    </i>
    <i>
      <x v="155"/>
    </i>
    <i>
      <x v="157"/>
    </i>
    <i>
      <x v="159"/>
    </i>
    <i>
      <x v="160"/>
    </i>
    <i>
      <x v="161"/>
    </i>
    <i>
      <x v="162"/>
    </i>
    <i>
      <x v="163"/>
    </i>
    <i>
      <x v="164"/>
    </i>
    <i>
      <x v="165"/>
    </i>
    <i>
      <x v="166"/>
    </i>
    <i>
      <x v="168"/>
    </i>
    <i>
      <x v="169"/>
    </i>
    <i>
      <x v="170"/>
    </i>
    <i>
      <x v="171"/>
    </i>
    <i>
      <x v="172"/>
    </i>
    <i>
      <x v="173"/>
    </i>
    <i>
      <x v="174"/>
    </i>
    <i>
      <x v="175"/>
    </i>
    <i>
      <x v="178"/>
    </i>
    <i>
      <x v="181"/>
    </i>
    <i>
      <x v="182"/>
    </i>
    <i>
      <x v="186"/>
    </i>
    <i>
      <x v="188"/>
    </i>
    <i>
      <x v="189"/>
    </i>
    <i>
      <x v="193"/>
    </i>
    <i>
      <x v="194"/>
    </i>
    <i t="grand">
      <x/>
    </i>
  </rowItems>
  <colFields count="1">
    <field x="-2"/>
  </colFields>
  <colItems count="3">
    <i>
      <x/>
    </i>
    <i i="1">
      <x v="1"/>
    </i>
    <i i="2">
      <x v="2"/>
    </i>
  </colItems>
  <pageFields count="4">
    <pageField fld="0" hier="-1"/>
    <pageField fld="2" hier="-1"/>
    <pageField fld="7" hier="-1"/>
    <pageField fld="6" hier="-1"/>
  </pageFields>
  <dataFields count="3">
    <dataField name="% Water Need coverage" fld="84" baseField="0" baseItem="0" numFmtId="9"/>
    <dataField name="% Latrine need coverage" fld="85" baseField="0" baseItem="0" numFmtId="1"/>
    <dataField name="% Bathroom need coverage" fld="86" baseField="0" baseItem="0" numFmtId="1"/>
  </dataFields>
  <formats count="1">
    <format dxfId="247">
      <pivotArea outline="0" collapsedLevelsAreSubtotals="1" fieldPosition="0"/>
    </format>
  </formats>
  <chartFormats count="3">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3.xml><?xml version="1.0" encoding="utf-8"?>
<pivotTableDefinition xmlns="http://schemas.openxmlformats.org/spreadsheetml/2006/main" name="PivotTable27"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36">
  <location ref="B464:C469" firstHeaderRow="1" firstDataRow="1" firstDataCol="1" rowPageCount="3" colPageCount="1"/>
  <pivotFields count="94">
    <pivotField showAll="0"/>
    <pivotField showAll="0"/>
    <pivotField showAll="0"/>
    <pivotField showAll="0"/>
    <pivotField showAll="0"/>
    <pivotField showAll="0"/>
    <pivotField axis="axisPage" multipleItemSelectionAllowed="1" showAll="0">
      <items count="4">
        <item x="0"/>
        <item h="1" x="2"/>
        <item h="1" x="1"/>
        <item t="default"/>
      </items>
    </pivotField>
    <pivotField axis="axisPage" showAll="0">
      <items count="3">
        <item x="0"/>
        <item x="1"/>
        <item t="default"/>
      </items>
    </pivotField>
    <pivotField showAll="0"/>
    <pivotField showAll="0"/>
    <pivotField showAll="0"/>
    <pivotField showAll="0"/>
    <pivotField showAll="0" defaultSubtotal="0"/>
    <pivotField showAll="0"/>
    <pivotField showAll="0"/>
    <pivotField showAll="0" defaultSubtotal="0"/>
    <pivotField showAll="0" defaultSubtotal="0"/>
    <pivotField showAll="0"/>
    <pivotField axis="axisPage" showAll="0" defaultSubtotal="0">
      <items count="2">
        <item x="0"/>
        <item x="1"/>
      </items>
    </pivotField>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axis="axisRow" dataField="1" showAll="0">
      <items count="8">
        <item x="0"/>
        <item x="1"/>
        <item x="2"/>
        <item x="3"/>
        <item m="1" x="5"/>
        <item m="1" x="6"/>
        <item m="1" x="4"/>
        <item t="default"/>
      </items>
    </pivotField>
    <pivotField showAll="0"/>
    <pivotField numFmtId="1" showAll="0"/>
    <pivotField showAll="0"/>
    <pivotField numFmtId="1" showAll="0"/>
    <pivotField showAll="0"/>
    <pivotField numFmtId="1" showAll="0"/>
    <pivotField showAll="0"/>
    <pivotField numFmtId="9" showAll="0"/>
    <pivotField numFmtId="1" showAll="0"/>
    <pivotField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defaultSubtotal="0"/>
    <pivotField numFmtId="1"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45"/>
  </rowFields>
  <rowItems count="5">
    <i>
      <x/>
    </i>
    <i>
      <x v="1"/>
    </i>
    <i>
      <x v="2"/>
    </i>
    <i>
      <x v="3"/>
    </i>
    <i t="grand">
      <x/>
    </i>
  </rowItems>
  <colItems count="1">
    <i/>
  </colItems>
  <pageFields count="3">
    <pageField fld="6" hier="-1"/>
    <pageField fld="7" hier="-1"/>
    <pageField fld="18" hier="-1"/>
  </pageFields>
  <dataFields count="1">
    <dataField name="Count of Latrines gender sperated" fld="45" subtotal="count" baseField="0" baseItem="0" numFmtId="1"/>
  </dataFields>
  <formats count="3">
    <format dxfId="250">
      <pivotArea outline="0" collapsedLevelsAreSubtotals="1" fieldPosition="0"/>
    </format>
    <format dxfId="249">
      <pivotArea outline="0" collapsedLevelsAreSubtotals="1" fieldPosition="0"/>
    </format>
    <format dxfId="248">
      <pivotArea outline="0" fieldPosition="0">
        <references count="1">
          <reference field="4294967294" count="1">
            <x v="0"/>
          </reference>
        </references>
      </pivotArea>
    </format>
  </formats>
  <chartFormats count="15">
    <chartFormat chart="30" format="15" series="1">
      <pivotArea type="data" outline="0" fieldPosition="0">
        <references count="1">
          <reference field="4294967294" count="1" selected="0">
            <x v="0"/>
          </reference>
        </references>
      </pivotArea>
    </chartFormat>
    <chartFormat chart="30" format="16">
      <pivotArea type="data" outline="0" fieldPosition="0">
        <references count="2">
          <reference field="4294967294" count="1" selected="0">
            <x v="0"/>
          </reference>
          <reference field="45" count="1" selected="0">
            <x v="0"/>
          </reference>
        </references>
      </pivotArea>
    </chartFormat>
    <chartFormat chart="30" format="17">
      <pivotArea type="data" outline="0" fieldPosition="0">
        <references count="2">
          <reference field="4294967294" count="1" selected="0">
            <x v="0"/>
          </reference>
          <reference field="45" count="1" selected="0">
            <x v="1"/>
          </reference>
        </references>
      </pivotArea>
    </chartFormat>
    <chartFormat chart="30" format="18">
      <pivotArea type="data" outline="0" fieldPosition="0">
        <references count="2">
          <reference field="4294967294" count="1" selected="0">
            <x v="0"/>
          </reference>
          <reference field="45" count="1" selected="0">
            <x v="2"/>
          </reference>
        </references>
      </pivotArea>
    </chartFormat>
    <chartFormat chart="30" format="19">
      <pivotArea type="data" outline="0" fieldPosition="0">
        <references count="2">
          <reference field="4294967294" count="1" selected="0">
            <x v="0"/>
          </reference>
          <reference field="45" count="1" selected="0">
            <x v="3"/>
          </reference>
        </references>
      </pivotArea>
    </chartFormat>
    <chartFormat chart="30" format="20">
      <pivotArea type="data" outline="0" fieldPosition="0">
        <references count="2">
          <reference field="4294967294" count="1" selected="0">
            <x v="0"/>
          </reference>
          <reference field="45" count="1" selected="0">
            <x v="6"/>
          </reference>
        </references>
      </pivotArea>
    </chartFormat>
    <chartFormat chart="30" format="21">
      <pivotArea type="data" outline="0" fieldPosition="0">
        <references count="2">
          <reference field="4294967294" count="1" selected="0">
            <x v="0"/>
          </reference>
          <reference field="45" count="1" selected="0">
            <x v="4"/>
          </reference>
        </references>
      </pivotArea>
    </chartFormat>
    <chartFormat chart="30" format="22">
      <pivotArea type="data" outline="0" fieldPosition="0">
        <references count="2">
          <reference field="4294967294" count="1" selected="0">
            <x v="0"/>
          </reference>
          <reference field="45" count="1" selected="0">
            <x v="5"/>
          </reference>
        </references>
      </pivotArea>
    </chartFormat>
    <chartFormat chart="35" format="30" series="1">
      <pivotArea type="data" outline="0" fieldPosition="0">
        <references count="1">
          <reference field="4294967294" count="1" selected="0">
            <x v="0"/>
          </reference>
        </references>
      </pivotArea>
    </chartFormat>
    <chartFormat chart="35" format="31">
      <pivotArea type="data" outline="0" fieldPosition="0">
        <references count="2">
          <reference field="4294967294" count="1" selected="0">
            <x v="0"/>
          </reference>
          <reference field="45" count="1" selected="0">
            <x v="0"/>
          </reference>
        </references>
      </pivotArea>
    </chartFormat>
    <chartFormat chart="35" format="32">
      <pivotArea type="data" outline="0" fieldPosition="0">
        <references count="2">
          <reference field="4294967294" count="1" selected="0">
            <x v="0"/>
          </reference>
          <reference field="45" count="1" selected="0">
            <x v="1"/>
          </reference>
        </references>
      </pivotArea>
    </chartFormat>
    <chartFormat chart="35" format="33">
      <pivotArea type="data" outline="0" fieldPosition="0">
        <references count="2">
          <reference field="4294967294" count="1" selected="0">
            <x v="0"/>
          </reference>
          <reference field="45" count="1" selected="0">
            <x v="2"/>
          </reference>
        </references>
      </pivotArea>
    </chartFormat>
    <chartFormat chart="35" format="34">
      <pivotArea type="data" outline="0" fieldPosition="0">
        <references count="2">
          <reference field="4294967294" count="1" selected="0">
            <x v="0"/>
          </reference>
          <reference field="45" count="1" selected="0">
            <x v="3"/>
          </reference>
        </references>
      </pivotArea>
    </chartFormat>
    <chartFormat chart="35" format="35">
      <pivotArea type="data" outline="0" fieldPosition="0">
        <references count="2">
          <reference field="4294967294" count="1" selected="0">
            <x v="0"/>
          </reference>
          <reference field="45" count="1" selected="0">
            <x v="4"/>
          </reference>
        </references>
      </pivotArea>
    </chartFormat>
    <chartFormat chart="35" format="36">
      <pivotArea type="data" outline="0" fieldPosition="0">
        <references count="2">
          <reference field="4294967294" count="1" selected="0">
            <x v="0"/>
          </reference>
          <reference field="45"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4.xml><?xml version="1.0" encoding="utf-8"?>
<pivotTableDefinition xmlns="http://schemas.openxmlformats.org/spreadsheetml/2006/main" name="PivotTable14"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42">
  <location ref="B610:E622" firstHeaderRow="1" firstDataRow="2" firstDataCol="1" rowPageCount="2" colPageCount="1"/>
  <pivotFields count="94">
    <pivotField showAll="0"/>
    <pivotField showAll="0"/>
    <pivotField axis="axisRow" showAll="0">
      <items count="11">
        <item x="2"/>
        <item x="9"/>
        <item x="7"/>
        <item x="0"/>
        <item x="8"/>
        <item x="4"/>
        <item x="5"/>
        <item x="3"/>
        <item x="6"/>
        <item x="1"/>
        <item t="default"/>
      </items>
    </pivotField>
    <pivotField showAll="0"/>
    <pivotField showAll="0"/>
    <pivotField showAll="0"/>
    <pivotField axis="axisPage" multipleItemSelectionAllowed="1" showAll="0">
      <items count="4">
        <item x="0"/>
        <item h="1" x="2"/>
        <item x="1"/>
        <item t="default"/>
      </items>
    </pivotField>
    <pivotField axis="axisPage" showAll="0">
      <items count="3">
        <item x="0"/>
        <item x="1"/>
        <item t="default"/>
      </items>
    </pivotField>
    <pivotField showAll="0"/>
    <pivotField showAll="0"/>
    <pivotField showAll="0"/>
    <pivotField showAll="0"/>
    <pivotField showAll="0" defaultSubtotal="0"/>
    <pivotField showAll="0"/>
    <pivotField showAll="0"/>
    <pivotField axis="axisCol" dataField="1" showAll="0" defaultSubtotal="0">
      <items count="2">
        <item x="1"/>
        <item x="0"/>
      </items>
    </pivotField>
    <pivotField showAll="0" defaultSubtotal="0"/>
    <pivotField showAll="0"/>
    <pivotField showAll="0" defaultSubtotal="0"/>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defaultSubtotal="0"/>
    <pivotField numFmtId="1"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2"/>
  </rowFields>
  <rowItems count="11">
    <i>
      <x/>
    </i>
    <i>
      <x v="1"/>
    </i>
    <i>
      <x v="2"/>
    </i>
    <i>
      <x v="3"/>
    </i>
    <i>
      <x v="4"/>
    </i>
    <i>
      <x v="5"/>
    </i>
    <i>
      <x v="6"/>
    </i>
    <i>
      <x v="7"/>
    </i>
    <i>
      <x v="8"/>
    </i>
    <i>
      <x v="9"/>
    </i>
    <i t="grand">
      <x/>
    </i>
  </rowItems>
  <colFields count="1">
    <field x="15"/>
  </colFields>
  <colItems count="3">
    <i>
      <x/>
    </i>
    <i>
      <x v="1"/>
    </i>
    <i t="grand">
      <x/>
    </i>
  </colItems>
  <pageFields count="2">
    <pageField fld="6" hier="-1"/>
    <pageField fld="7" hier="-1"/>
  </pageFields>
  <dataFields count="1">
    <dataField name="Count of Targetted" fld="15" subtotal="count" baseField="0" baseItem="0" numFmtId="1"/>
  </dataFields>
  <formats count="3">
    <format dxfId="253">
      <pivotArea outline="0" collapsedLevelsAreSubtotals="1" fieldPosition="0"/>
    </format>
    <format dxfId="252">
      <pivotArea outline="0" collapsedLevelsAreSubtotals="1" fieldPosition="0"/>
    </format>
    <format dxfId="251">
      <pivotArea outline="0" fieldPosition="0">
        <references count="1">
          <reference field="4294967294" count="1">
            <x v="0"/>
          </reference>
        </references>
      </pivotArea>
    </format>
  </formats>
  <chartFormats count="4">
    <chartFormat chart="38" format="0" series="1">
      <pivotArea type="data" outline="0" fieldPosition="0">
        <references count="2">
          <reference field="4294967294" count="1" selected="0">
            <x v="0"/>
          </reference>
          <reference field="15" count="1" selected="0">
            <x v="0"/>
          </reference>
        </references>
      </pivotArea>
    </chartFormat>
    <chartFormat chart="38" format="1" series="1">
      <pivotArea type="data" outline="0" fieldPosition="0">
        <references count="2">
          <reference field="4294967294" count="1" selected="0">
            <x v="0"/>
          </reference>
          <reference field="15" count="1" selected="0">
            <x v="1"/>
          </reference>
        </references>
      </pivotArea>
    </chartFormat>
    <chartFormat chart="40" format="0" series="1">
      <pivotArea type="data" outline="0" fieldPosition="0">
        <references count="2">
          <reference field="4294967294" count="1" selected="0">
            <x v="0"/>
          </reference>
          <reference field="15" count="1" selected="0">
            <x v="0"/>
          </reference>
        </references>
      </pivotArea>
    </chartFormat>
    <chartFormat chart="40" format="1" series="1">
      <pivotArea type="data" outline="0" fieldPosition="0">
        <references count="2">
          <reference field="4294967294" count="1" selected="0">
            <x v="0"/>
          </reference>
          <reference field="15"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5.xml><?xml version="1.0" encoding="utf-8"?>
<pivotTableDefinition xmlns="http://schemas.openxmlformats.org/spreadsheetml/2006/main" name="PivotTable18"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20">
  <location ref="B252:D271" firstHeaderRow="0" firstDataRow="1" firstDataCol="1" rowPageCount="2" colPageCount="1"/>
  <pivotFields count="94">
    <pivotField axis="axisRow" showAll="0">
      <items count="21">
        <item x="0"/>
        <item x="1"/>
        <item x="2"/>
        <item x="4"/>
        <item x="5"/>
        <item m="1" x="18"/>
        <item x="6"/>
        <item x="7"/>
        <item x="8"/>
        <item x="9"/>
        <item x="10"/>
        <item x="11"/>
        <item x="12"/>
        <item x="13"/>
        <item x="14"/>
        <item x="15"/>
        <item x="16"/>
        <item m="1" x="19"/>
        <item x="17"/>
        <item x="3"/>
        <item t="default"/>
      </items>
    </pivotField>
    <pivotField showAll="0"/>
    <pivotField showAll="0"/>
    <pivotField showAll="0"/>
    <pivotField showAll="0"/>
    <pivotField showAll="0"/>
    <pivotField axis="axisPage" multipleItemSelectionAllowed="1" showAll="0">
      <items count="4">
        <item x="0"/>
        <item h="1" x="2"/>
        <item h="1" x="1"/>
        <item t="default"/>
      </items>
    </pivotField>
    <pivotField showAll="0"/>
    <pivotField showAll="0"/>
    <pivotField showAll="0"/>
    <pivotField showAll="0"/>
    <pivotField showAll="0"/>
    <pivotField showAll="0" defaultSubtotal="0"/>
    <pivotField showAll="0"/>
    <pivotField showAll="0"/>
    <pivotField showAll="0" defaultSubtotal="0"/>
    <pivotField showAll="0" defaultSubtotal="0"/>
    <pivotField showAll="0"/>
    <pivotField axis="axisPage" showAll="0" defaultSubtotal="0">
      <items count="2">
        <item x="0"/>
        <item x="1"/>
      </items>
    </pivotField>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defaultSubtotal="0"/>
    <pivotField numFmtId="1"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0"/>
  </rowFields>
  <rowItems count="19">
    <i>
      <x/>
    </i>
    <i>
      <x v="1"/>
    </i>
    <i>
      <x v="2"/>
    </i>
    <i>
      <x v="3"/>
    </i>
    <i>
      <x v="4"/>
    </i>
    <i>
      <x v="6"/>
    </i>
    <i>
      <x v="7"/>
    </i>
    <i>
      <x v="8"/>
    </i>
    <i>
      <x v="9"/>
    </i>
    <i>
      <x v="10"/>
    </i>
    <i>
      <x v="11"/>
    </i>
    <i>
      <x v="12"/>
    </i>
    <i>
      <x v="13"/>
    </i>
    <i>
      <x v="14"/>
    </i>
    <i>
      <x v="15"/>
    </i>
    <i>
      <x v="16"/>
    </i>
    <i>
      <x v="18"/>
    </i>
    <i>
      <x v="19"/>
    </i>
    <i t="grand">
      <x/>
    </i>
  </rowItems>
  <colFields count="1">
    <field x="-2"/>
  </colFields>
  <colItems count="2">
    <i>
      <x/>
    </i>
    <i i="1">
      <x v="1"/>
    </i>
  </colItems>
  <pageFields count="2">
    <pageField fld="6" hier="-1"/>
    <pageField fld="18" hier="-1"/>
  </pageFields>
  <dataFields count="2">
    <dataField name="% Coverage Permanent Latrine" fld="87" baseField="0" baseItem="0" numFmtId="9"/>
    <dataField name="% Coverage Emergency latrine" fld="88" baseField="0" baseItem="0" numFmtId="1"/>
  </dataFields>
  <formats count="5">
    <format dxfId="258">
      <pivotArea outline="0" collapsedLevelsAreSubtotals="1" fieldPosition="0"/>
    </format>
    <format dxfId="257">
      <pivotArea field="0" type="button" dataOnly="0" labelOnly="1" outline="0" axis="axisRow" fieldPosition="0"/>
    </format>
    <format dxfId="256">
      <pivotArea dataOnly="0" labelOnly="1" outline="0" fieldPosition="0">
        <references count="1">
          <reference field="4294967294" count="2">
            <x v="0"/>
            <x v="1"/>
          </reference>
        </references>
      </pivotArea>
    </format>
    <format dxfId="255">
      <pivotArea outline="0" collapsedLevelsAreSubtotals="1" fieldPosition="0"/>
    </format>
    <format dxfId="254">
      <pivotArea dataOnly="0" labelOnly="1" outline="0" fieldPosition="0">
        <references count="1">
          <reference field="4294967294" count="2">
            <x v="0"/>
            <x v="1"/>
          </reference>
        </references>
      </pivotArea>
    </format>
  </formats>
  <chartFormats count="8">
    <chartFormat chart="12" format="0" series="1">
      <pivotArea type="data" outline="0" fieldPosition="0">
        <references count="1">
          <reference field="4294967294" count="1" selected="0">
            <x v="0"/>
          </reference>
        </references>
      </pivotArea>
    </chartFormat>
    <chartFormat chart="12" format="1" series="1">
      <pivotArea type="data" outline="0" fieldPosition="0">
        <references count="1">
          <reference field="4294967294" count="1" selected="0">
            <x v="1"/>
          </reference>
        </references>
      </pivotArea>
    </chartFormat>
    <chartFormat chart="14" format="2" series="1">
      <pivotArea type="data" outline="0" fieldPosition="0">
        <references count="1">
          <reference field="4294967294" count="1" selected="0">
            <x v="0"/>
          </reference>
        </references>
      </pivotArea>
    </chartFormat>
    <chartFormat chart="14" format="3" series="1">
      <pivotArea type="data" outline="0" fieldPosition="0">
        <references count="1">
          <reference field="4294967294" count="1" selected="0">
            <x v="1"/>
          </reference>
        </references>
      </pivotArea>
    </chartFormat>
    <chartFormat chart="15" format="6" series="1">
      <pivotArea type="data" outline="0" fieldPosition="0">
        <references count="1">
          <reference field="4294967294" count="1" selected="0">
            <x v="0"/>
          </reference>
        </references>
      </pivotArea>
    </chartFormat>
    <chartFormat chart="15" format="7" series="1">
      <pivotArea type="data" outline="0" fieldPosition="0">
        <references count="1">
          <reference field="4294967294" count="1" selected="0">
            <x v="1"/>
          </reference>
        </references>
      </pivotArea>
    </chartFormat>
    <chartFormat chart="19" format="4" series="1">
      <pivotArea type="data" outline="0" fieldPosition="0">
        <references count="1">
          <reference field="4294967294" count="1" selected="0">
            <x v="0"/>
          </reference>
        </references>
      </pivotArea>
    </chartFormat>
    <chartFormat chart="19" format="5"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6.xml><?xml version="1.0" encoding="utf-8"?>
<pivotTableDefinition xmlns="http://schemas.openxmlformats.org/spreadsheetml/2006/main" name="PivotTable6"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38">
  <location ref="B178:D181" firstHeaderRow="0" firstDataRow="1" firstDataCol="1" rowPageCount="2" colPageCount="1"/>
  <pivotFields count="94">
    <pivotField showAll="0"/>
    <pivotField showAll="0"/>
    <pivotField showAll="0"/>
    <pivotField showAll="0"/>
    <pivotField showAll="0"/>
    <pivotField showAll="0"/>
    <pivotField axis="axisPage" multipleItemSelectionAllowed="1" showAll="0">
      <items count="4">
        <item x="0"/>
        <item h="1" x="2"/>
        <item h="1" x="1"/>
        <item t="default"/>
      </items>
    </pivotField>
    <pivotField axis="axisRow" showAll="0">
      <items count="3">
        <item x="0"/>
        <item x="1"/>
        <item t="default"/>
      </items>
    </pivotField>
    <pivotField showAll="0"/>
    <pivotField showAll="0"/>
    <pivotField showAll="0"/>
    <pivotField showAll="0"/>
    <pivotField showAll="0" defaultSubtotal="0"/>
    <pivotField showAll="0"/>
    <pivotField showAll="0"/>
    <pivotField showAll="0" defaultSubtotal="0"/>
    <pivotField showAll="0" defaultSubtotal="0"/>
    <pivotField showAll="0"/>
    <pivotField axis="axisPage" showAll="0" defaultSubtotal="0">
      <items count="2">
        <item x="0"/>
        <item x="1"/>
      </items>
    </pivotField>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defaultSubtotal="0"/>
    <pivotField numFmtId="1" showAll="0"/>
    <pivotField showAll="0"/>
    <pivotField showAll="0"/>
    <pivotField showAll="0"/>
    <pivotField showAl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s>
  <rowFields count="1">
    <field x="7"/>
  </rowFields>
  <rowItems count="3">
    <i>
      <x/>
    </i>
    <i>
      <x v="1"/>
    </i>
    <i t="grand">
      <x/>
    </i>
  </rowItems>
  <colFields count="1">
    <field x="-2"/>
  </colFields>
  <colItems count="2">
    <i>
      <x/>
    </i>
    <i i="1">
      <x v="1"/>
    </i>
  </colItems>
  <pageFields count="2">
    <pageField fld="6" hier="-1"/>
    <pageField fld="18" hier="-1"/>
  </pageFields>
  <dataFields count="2">
    <dataField name="% Water Need coverage" fld="84" baseField="0" baseItem="0" numFmtId="1"/>
    <dataField name="% Coverage projection end of project" fld="91" baseField="0" baseItem="0"/>
  </dataFields>
  <formats count="7">
    <format dxfId="265">
      <pivotArea outline="0" collapsedLevelsAreSubtotals="1" fieldPosition="0"/>
    </format>
    <format dxfId="264">
      <pivotArea field="7" type="button" dataOnly="0" labelOnly="1" outline="0" axis="axisRow" fieldPosition="0"/>
    </format>
    <format dxfId="263">
      <pivotArea dataOnly="0" labelOnly="1" outline="0" fieldPosition="0">
        <references count="1">
          <reference field="4294967294" count="2">
            <x v="0"/>
            <x v="1"/>
          </reference>
        </references>
      </pivotArea>
    </format>
    <format dxfId="262">
      <pivotArea outline="0" collapsedLevelsAreSubtotals="1" fieldPosition="0"/>
    </format>
    <format dxfId="261">
      <pivotArea dataOnly="0" labelOnly="1" outline="0" fieldPosition="0">
        <references count="1">
          <reference field="4294967294" count="2">
            <x v="0"/>
            <x v="1"/>
          </reference>
        </references>
      </pivotArea>
    </format>
    <format dxfId="260">
      <pivotArea outline="0" collapsedLevelsAreSubtotals="1" fieldPosition="0"/>
    </format>
    <format dxfId="259">
      <pivotArea dataOnly="0" labelOnly="1" outline="0" fieldPosition="0">
        <references count="1">
          <reference field="4294967294" count="2">
            <x v="0"/>
            <x v="1"/>
          </reference>
        </references>
      </pivotArea>
    </format>
  </formats>
  <chartFormats count="2">
    <chartFormat chart="34" format="0" series="1">
      <pivotArea type="data" outline="0" fieldPosition="0">
        <references count="1">
          <reference field="4294967294" count="1" selected="0">
            <x v="0"/>
          </reference>
        </references>
      </pivotArea>
    </chartFormat>
    <chartFormat chart="34"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7.xml><?xml version="1.0" encoding="utf-8"?>
<pivotTableDefinition xmlns="http://schemas.openxmlformats.org/spreadsheetml/2006/main" name="PivotTable20"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20">
  <location ref="B304:D307" firstHeaderRow="0" firstDataRow="1" firstDataCol="1" rowPageCount="2" colPageCount="1"/>
  <pivotFields count="94">
    <pivotField showAll="0"/>
    <pivotField showAll="0"/>
    <pivotField showAll="0"/>
    <pivotField showAll="0"/>
    <pivotField showAll="0"/>
    <pivotField showAll="0"/>
    <pivotField axis="axisPage" multipleItemSelectionAllowed="1" showAll="0">
      <items count="4">
        <item x="0"/>
        <item x="2"/>
        <item x="1"/>
        <item t="default"/>
      </items>
    </pivotField>
    <pivotField axis="axisRow" showAll="0">
      <items count="3">
        <item x="0"/>
        <item x="1"/>
        <item t="default"/>
      </items>
    </pivotField>
    <pivotField showAll="0"/>
    <pivotField showAll="0"/>
    <pivotField showAll="0"/>
    <pivotField showAll="0"/>
    <pivotField showAll="0" defaultSubtotal="0"/>
    <pivotField showAll="0"/>
    <pivotField showAll="0"/>
    <pivotField showAll="0" defaultSubtotal="0"/>
    <pivotField showAll="0" defaultSubtotal="0"/>
    <pivotField showAll="0"/>
    <pivotField axis="axisPage" showAll="0" defaultSubtotal="0">
      <items count="2">
        <item x="0"/>
        <item x="1"/>
      </items>
    </pivotField>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defaultSubtotal="0"/>
    <pivotField numFmtId="1"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7"/>
  </rowFields>
  <rowItems count="3">
    <i>
      <x/>
    </i>
    <i>
      <x v="1"/>
    </i>
    <i t="grand">
      <x/>
    </i>
  </rowItems>
  <colFields count="1">
    <field x="-2"/>
  </colFields>
  <colItems count="2">
    <i>
      <x/>
    </i>
    <i i="1">
      <x v="1"/>
    </i>
  </colItems>
  <pageFields count="2">
    <pageField fld="6" hier="-1"/>
    <pageField fld="18" hier="-1"/>
  </pageFields>
  <dataFields count="2">
    <dataField name="%Coverage Permanent Latrine" fld="87" baseField="0" baseItem="0" numFmtId="9"/>
    <dataField name="% Coverage Emergency latrine" fld="88" baseField="0" baseItem="0" numFmtId="1"/>
  </dataFields>
  <formats count="5">
    <format dxfId="270">
      <pivotArea outline="0" collapsedLevelsAreSubtotals="1" fieldPosition="0"/>
    </format>
    <format dxfId="269">
      <pivotArea field="7" type="button" dataOnly="0" labelOnly="1" outline="0" axis="axisRow" fieldPosition="0"/>
    </format>
    <format dxfId="268">
      <pivotArea dataOnly="0" labelOnly="1" outline="0" fieldPosition="0">
        <references count="1">
          <reference field="4294967294" count="2">
            <x v="0"/>
            <x v="1"/>
          </reference>
        </references>
      </pivotArea>
    </format>
    <format dxfId="267">
      <pivotArea outline="0" collapsedLevelsAreSubtotals="1" fieldPosition="0"/>
    </format>
    <format dxfId="266">
      <pivotArea dataOnly="0" labelOnly="1" outline="0" fieldPosition="0">
        <references count="1">
          <reference field="4294967294" count="2">
            <x v="0"/>
            <x v="1"/>
          </reference>
        </references>
      </pivotArea>
    </format>
  </formats>
  <chartFormats count="8">
    <chartFormat chart="12" format="0" series="1">
      <pivotArea type="data" outline="0" fieldPosition="0">
        <references count="1">
          <reference field="4294967294" count="1" selected="0">
            <x v="0"/>
          </reference>
        </references>
      </pivotArea>
    </chartFormat>
    <chartFormat chart="12" format="1" series="1">
      <pivotArea type="data" outline="0" fieldPosition="0">
        <references count="1">
          <reference field="4294967294" count="1" selected="0">
            <x v="1"/>
          </reference>
        </references>
      </pivotArea>
    </chartFormat>
    <chartFormat chart="14" format="0" series="1">
      <pivotArea type="data" outline="0" fieldPosition="0">
        <references count="1">
          <reference field="4294967294" count="1" selected="0">
            <x v="0"/>
          </reference>
        </references>
      </pivotArea>
    </chartFormat>
    <chartFormat chart="14" format="1" series="1">
      <pivotArea type="data" outline="0" fieldPosition="0">
        <references count="1">
          <reference field="4294967294" count="1" selected="0">
            <x v="1"/>
          </reference>
        </references>
      </pivotArea>
    </chartFormat>
    <chartFormat chart="16" format="0" series="1">
      <pivotArea type="data" outline="0" fieldPosition="0">
        <references count="1">
          <reference field="4294967294" count="1" selected="0">
            <x v="0"/>
          </reference>
        </references>
      </pivotArea>
    </chartFormat>
    <chartFormat chart="16" format="1" series="1">
      <pivotArea type="data" outline="0" fieldPosition="0">
        <references count="1">
          <reference field="4294967294" count="1" selected="0">
            <x v="1"/>
          </reference>
        </references>
      </pivotArea>
    </chartFormat>
    <chartFormat chart="18" format="0" series="1">
      <pivotArea type="data" outline="0" fieldPosition="0">
        <references count="1">
          <reference field="4294967294" count="1" selected="0">
            <x v="0"/>
          </reference>
        </references>
      </pivotArea>
    </chartFormat>
    <chartFormat chart="18"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8.xml><?xml version="1.0" encoding="utf-8"?>
<pivotTableDefinition xmlns="http://schemas.openxmlformats.org/spreadsheetml/2006/main" name="PivotTable9"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47">
  <location ref="B322:D325" firstHeaderRow="0" firstDataRow="1" firstDataCol="1" rowPageCount="2" colPageCount="1"/>
  <pivotFields count="94">
    <pivotField showAll="0"/>
    <pivotField showAll="0"/>
    <pivotField showAll="0"/>
    <pivotField showAll="0"/>
    <pivotField showAll="0"/>
    <pivotField showAll="0"/>
    <pivotField axis="axisPage" multipleItemSelectionAllowed="1" showAll="0">
      <items count="4">
        <item x="0"/>
        <item h="1" x="2"/>
        <item h="1" x="1"/>
        <item t="default"/>
      </items>
    </pivotField>
    <pivotField axis="axisRow" showAll="0">
      <items count="3">
        <item x="0"/>
        <item x="1"/>
        <item t="default"/>
      </items>
    </pivotField>
    <pivotField showAll="0"/>
    <pivotField showAll="0"/>
    <pivotField showAll="0"/>
    <pivotField showAll="0"/>
    <pivotField showAll="0" defaultSubtotal="0"/>
    <pivotField showAll="0"/>
    <pivotField showAll="0"/>
    <pivotField showAll="0" defaultSubtotal="0"/>
    <pivotField showAll="0" defaultSubtotal="0"/>
    <pivotField showAll="0"/>
    <pivotField axis="axisPage" showAll="0" defaultSubtotal="0">
      <items count="2">
        <item x="0"/>
        <item x="1"/>
      </items>
    </pivotField>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defaultSubtotal="0"/>
    <pivotField numFmtId="1" showAll="0"/>
    <pivotField showAll="0"/>
    <pivotField showAll="0"/>
    <pivotField showAll="0"/>
    <pivotField showAll="0"/>
    <pivotField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 dragToRow="0" dragToCol="0" dragToPage="0" showAll="0" defaultSubtotal="0"/>
  </pivotFields>
  <rowFields count="1">
    <field x="7"/>
  </rowFields>
  <rowItems count="3">
    <i>
      <x/>
    </i>
    <i>
      <x v="1"/>
    </i>
    <i t="grand">
      <x/>
    </i>
  </rowItems>
  <colFields count="1">
    <field x="-2"/>
  </colFields>
  <colItems count="2">
    <i>
      <x/>
    </i>
    <i i="1">
      <x v="1"/>
    </i>
  </colItems>
  <pageFields count="2">
    <pageField fld="6" hier="-1"/>
    <pageField fld="18" hier="-1"/>
  </pageFields>
  <dataFields count="2">
    <dataField name="% Latrine need coverage" fld="85" baseField="0" baseItem="0" numFmtId="1"/>
    <dataField name="% Projection latrine need coverage EOP" fld="92" baseField="0" baseItem="0" numFmtId="1"/>
  </dataFields>
  <formats count="4">
    <format dxfId="274">
      <pivotArea outline="0" collapsedLevelsAreSubtotals="1" fieldPosition="0"/>
    </format>
    <format dxfId="273">
      <pivotArea outline="0" collapsedLevelsAreSubtotals="1" fieldPosition="0"/>
    </format>
    <format dxfId="272">
      <pivotArea field="7" type="button" dataOnly="0" labelOnly="1" outline="0" axis="axisRow" fieldPosition="0"/>
    </format>
    <format dxfId="271">
      <pivotArea dataOnly="0" labelOnly="1" outline="0" fieldPosition="0">
        <references count="1">
          <reference field="4294967294" count="2">
            <x v="0"/>
            <x v="1"/>
          </reference>
        </references>
      </pivotArea>
    </format>
  </formats>
  <chartFormats count="2">
    <chartFormat chart="36" format="6" series="1">
      <pivotArea type="data" outline="0" fieldPosition="0">
        <references count="1">
          <reference field="4294967294" count="1" selected="0">
            <x v="0"/>
          </reference>
        </references>
      </pivotArea>
    </chartFormat>
    <chartFormat chart="36" format="7"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9.xml><?xml version="1.0" encoding="utf-8"?>
<pivotTableDefinition xmlns="http://schemas.openxmlformats.org/spreadsheetml/2006/main" name="PivotTable10"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44">
  <location ref="B334:D337" firstHeaderRow="0" firstDataRow="1" firstDataCol="1" rowPageCount="2" colPageCount="1"/>
  <pivotFields count="94">
    <pivotField showAll="0"/>
    <pivotField showAll="0"/>
    <pivotField showAll="0"/>
    <pivotField showAll="0"/>
    <pivotField showAll="0"/>
    <pivotField showAll="0"/>
    <pivotField axis="axisPage" multipleItemSelectionAllowed="1" showAll="0">
      <items count="4">
        <item x="0"/>
        <item x="2"/>
        <item x="1"/>
        <item t="default"/>
      </items>
    </pivotField>
    <pivotField axis="axisRow" showAll="0">
      <items count="3">
        <item x="0"/>
        <item x="1"/>
        <item t="default"/>
      </items>
    </pivotField>
    <pivotField showAll="0"/>
    <pivotField showAll="0"/>
    <pivotField showAll="0"/>
    <pivotField showAll="0"/>
    <pivotField showAll="0" defaultSubtotal="0"/>
    <pivotField showAll="0"/>
    <pivotField showAll="0"/>
    <pivotField showAll="0" defaultSubtotal="0"/>
    <pivotField showAll="0" defaultSubtotal="0"/>
    <pivotField showAll="0"/>
    <pivotField axis="axisPage" showAll="0" defaultSubtotal="0">
      <items count="2">
        <item x="0"/>
        <item x="1"/>
      </items>
    </pivotField>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defaultSubtotal="0"/>
    <pivotField numFmtId="1" showAll="0"/>
    <pivotField showAll="0"/>
    <pivotField showAll="0"/>
    <pivotField showAll="0"/>
    <pivotField showAll="0"/>
    <pivotField dragToRow="0" dragToCol="0" dragToPage="0" showAll="0" defaultSubtotal="0"/>
    <pivotField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s>
  <rowFields count="1">
    <field x="7"/>
  </rowFields>
  <rowItems count="3">
    <i>
      <x/>
    </i>
    <i>
      <x v="1"/>
    </i>
    <i t="grand">
      <x/>
    </i>
  </rowItems>
  <colFields count="1">
    <field x="-2"/>
  </colFields>
  <colItems count="2">
    <i>
      <x/>
    </i>
    <i i="1">
      <x v="1"/>
    </i>
  </colItems>
  <pageFields count="2">
    <pageField fld="6" hier="-1"/>
    <pageField fld="18" hier="-1"/>
  </pageFields>
  <dataFields count="2">
    <dataField name="% Bathroom need coverage" fld="86" baseField="0" baseItem="0" numFmtId="1"/>
    <dataField name="% Projection Bathrrom coverage EOP" fld="93" baseField="0" baseItem="0"/>
  </dataFields>
  <formats count="5">
    <format dxfId="279">
      <pivotArea outline="0" collapsedLevelsAreSubtotals="1" fieldPosition="0"/>
    </format>
    <format dxfId="278">
      <pivotArea field="7" type="button" dataOnly="0" labelOnly="1" outline="0" axis="axisRow" fieldPosition="0"/>
    </format>
    <format dxfId="277">
      <pivotArea dataOnly="0" labelOnly="1" outline="0" fieldPosition="0">
        <references count="1">
          <reference field="4294967294" count="2">
            <x v="0"/>
            <x v="1"/>
          </reference>
        </references>
      </pivotArea>
    </format>
    <format dxfId="276">
      <pivotArea outline="0" collapsedLevelsAreSubtotals="1" fieldPosition="0"/>
    </format>
    <format dxfId="275">
      <pivotArea dataOnly="0" labelOnly="1" outline="0" fieldPosition="0">
        <references count="1">
          <reference field="4294967294" count="2">
            <x v="0"/>
            <x v="1"/>
          </reference>
        </references>
      </pivotArea>
    </format>
  </formats>
  <chartFormats count="6">
    <chartFormat chart="38" format="0" series="1">
      <pivotArea type="data" outline="0" fieldPosition="0">
        <references count="1">
          <reference field="4294967294" count="1" selected="0">
            <x v="0"/>
          </reference>
        </references>
      </pivotArea>
    </chartFormat>
    <chartFormat chart="38" format="1" series="1">
      <pivotArea type="data" outline="0" fieldPosition="0">
        <references count="1">
          <reference field="4294967294" count="1" selected="0">
            <x v="1"/>
          </reference>
        </references>
      </pivotArea>
    </chartFormat>
    <chartFormat chart="40" format="0" series="1">
      <pivotArea type="data" outline="0" fieldPosition="0">
        <references count="1">
          <reference field="4294967294" count="1" selected="0">
            <x v="0"/>
          </reference>
        </references>
      </pivotArea>
    </chartFormat>
    <chartFormat chart="40" format="1" series="1">
      <pivotArea type="data" outline="0" fieldPosition="0">
        <references count="1">
          <reference field="4294967294" count="1" selected="0">
            <x v="1"/>
          </reference>
        </references>
      </pivotArea>
    </chartFormat>
    <chartFormat chart="42" format="0" series="1">
      <pivotArea type="data" outline="0" fieldPosition="0">
        <references count="1">
          <reference field="4294967294" count="1" selected="0">
            <x v="0"/>
          </reference>
        </references>
      </pivotArea>
    </chartFormat>
    <chartFormat chart="42"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15"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18">
  <location ref="B194:E214" firstHeaderRow="1" firstDataRow="2" firstDataCol="1" rowPageCount="2" colPageCount="1"/>
  <pivotFields count="94">
    <pivotField axis="axisRow" showAll="0">
      <items count="21">
        <item x="0"/>
        <item x="1"/>
        <item x="2"/>
        <item x="4"/>
        <item x="5"/>
        <item m="1" x="18"/>
        <item x="6"/>
        <item x="7"/>
        <item x="8"/>
        <item x="9"/>
        <item x="10"/>
        <item x="11"/>
        <item x="12"/>
        <item x="13"/>
        <item x="14"/>
        <item x="15"/>
        <item x="16"/>
        <item m="1" x="19"/>
        <item x="17"/>
        <item x="3"/>
        <item t="default"/>
      </items>
    </pivotField>
    <pivotField showAll="0"/>
    <pivotField showAll="0"/>
    <pivotField showAll="0"/>
    <pivotField showAll="0"/>
    <pivotField showAll="0"/>
    <pivotField axis="axisPage" multipleItemSelectionAllowed="1" showAll="0">
      <items count="4">
        <item x="0"/>
        <item x="2"/>
        <item x="1"/>
        <item t="default"/>
      </items>
    </pivotField>
    <pivotField axis="axisCol" showAll="0">
      <items count="3">
        <item x="0"/>
        <item x="1"/>
        <item t="default"/>
      </items>
    </pivotField>
    <pivotField showAll="0"/>
    <pivotField showAll="0"/>
    <pivotField showAll="0"/>
    <pivotField showAll="0"/>
    <pivotField showAll="0" defaultSubtotal="0"/>
    <pivotField showAll="0"/>
    <pivotField showAll="0"/>
    <pivotField showAll="0" defaultSubtotal="0"/>
    <pivotField showAll="0" defaultSubtotal="0"/>
    <pivotField showAll="0"/>
    <pivotField axis="axisPage" showAll="0" defaultSubtotal="0">
      <items count="2">
        <item x="0"/>
        <item x="1"/>
      </items>
    </pivotField>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dataField="1"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defaultSubtotal="0"/>
    <pivotField numFmtId="1"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0"/>
  </rowFields>
  <rowItems count="19">
    <i>
      <x/>
    </i>
    <i>
      <x v="1"/>
    </i>
    <i>
      <x v="2"/>
    </i>
    <i>
      <x v="3"/>
    </i>
    <i>
      <x v="4"/>
    </i>
    <i>
      <x v="6"/>
    </i>
    <i>
      <x v="7"/>
    </i>
    <i>
      <x v="8"/>
    </i>
    <i>
      <x v="9"/>
    </i>
    <i>
      <x v="10"/>
    </i>
    <i>
      <x v="11"/>
    </i>
    <i>
      <x v="12"/>
    </i>
    <i>
      <x v="13"/>
    </i>
    <i>
      <x v="14"/>
    </i>
    <i>
      <x v="15"/>
    </i>
    <i>
      <x v="16"/>
    </i>
    <i>
      <x v="18"/>
    </i>
    <i>
      <x v="19"/>
    </i>
    <i t="grand">
      <x/>
    </i>
  </rowItems>
  <colFields count="1">
    <field x="7"/>
  </colFields>
  <colItems count="3">
    <i>
      <x/>
    </i>
    <i>
      <x v="1"/>
    </i>
    <i t="grand">
      <x/>
    </i>
  </colItems>
  <pageFields count="2">
    <pageField fld="6" hier="-1"/>
    <pageField fld="18" hier="-1"/>
  </pageFields>
  <dataFields count="1">
    <dataField name="Sum of # Semi permanent latrines missing" fld="55" baseField="0" baseItem="0" numFmtId="1"/>
  </dataFields>
  <formats count="4">
    <format dxfId="110">
      <pivotArea outline="0" collapsedLevelsAreSubtotals="1" fieldPosition="0"/>
    </format>
    <format dxfId="109">
      <pivotArea outline="0" collapsedLevelsAreSubtotals="1" fieldPosition="0"/>
    </format>
    <format dxfId="108">
      <pivotArea dataOnly="0" labelOnly="1" fieldPosition="0">
        <references count="1">
          <reference field="7" count="0"/>
        </references>
      </pivotArea>
    </format>
    <format dxfId="107">
      <pivotArea dataOnly="0" labelOnly="1" grandCol="1" outline="0" fieldPosition="0"/>
    </format>
  </formats>
  <chartFormats count="10">
    <chartFormat chart="10" format="0" series="1">
      <pivotArea type="data" outline="0" fieldPosition="0">
        <references count="2">
          <reference field="4294967294" count="1" selected="0">
            <x v="0"/>
          </reference>
          <reference field="7" count="1" selected="0">
            <x v="0"/>
          </reference>
        </references>
      </pivotArea>
    </chartFormat>
    <chartFormat chart="10" format="1" series="1">
      <pivotArea type="data" outline="0" fieldPosition="0">
        <references count="2">
          <reference field="4294967294" count="1" selected="0">
            <x v="0"/>
          </reference>
          <reference field="7" count="1" selected="0">
            <x v="1"/>
          </reference>
        </references>
      </pivotArea>
    </chartFormat>
    <chartFormat chart="12" format="2" series="1">
      <pivotArea type="data" outline="0" fieldPosition="0">
        <references count="2">
          <reference field="4294967294" count="1" selected="0">
            <x v="0"/>
          </reference>
          <reference field="7" count="1" selected="0">
            <x v="0"/>
          </reference>
        </references>
      </pivotArea>
    </chartFormat>
    <chartFormat chart="12" format="3" series="1">
      <pivotArea type="data" outline="0" fieldPosition="0">
        <references count="2">
          <reference field="4294967294" count="1" selected="0">
            <x v="0"/>
          </reference>
          <reference field="7" count="1" selected="0">
            <x v="1"/>
          </reference>
        </references>
      </pivotArea>
    </chartFormat>
    <chartFormat chart="13" format="4" series="1">
      <pivotArea type="data" outline="0" fieldPosition="0">
        <references count="2">
          <reference field="4294967294" count="1" selected="0">
            <x v="0"/>
          </reference>
          <reference field="7" count="1" selected="0">
            <x v="0"/>
          </reference>
        </references>
      </pivotArea>
    </chartFormat>
    <chartFormat chart="13" format="5" series="1">
      <pivotArea type="data" outline="0" fieldPosition="0">
        <references count="2">
          <reference field="4294967294" count="1" selected="0">
            <x v="0"/>
          </reference>
          <reference field="7" count="1" selected="0">
            <x v="1"/>
          </reference>
        </references>
      </pivotArea>
    </chartFormat>
    <chartFormat chart="14" format="2" series="1">
      <pivotArea type="data" outline="0" fieldPosition="0">
        <references count="2">
          <reference field="4294967294" count="1" selected="0">
            <x v="0"/>
          </reference>
          <reference field="7" count="1" selected="0">
            <x v="0"/>
          </reference>
        </references>
      </pivotArea>
    </chartFormat>
    <chartFormat chart="14" format="3" series="1">
      <pivotArea type="data" outline="0" fieldPosition="0">
        <references count="2">
          <reference field="4294967294" count="1" selected="0">
            <x v="0"/>
          </reference>
          <reference field="7" count="1" selected="0">
            <x v="1"/>
          </reference>
        </references>
      </pivotArea>
    </chartFormat>
    <chartFormat chart="16" format="0" series="1">
      <pivotArea type="data" outline="0" fieldPosition="0">
        <references count="2">
          <reference field="4294967294" count="1" selected="0">
            <x v="0"/>
          </reference>
          <reference field="7" count="1" selected="0">
            <x v="0"/>
          </reference>
        </references>
      </pivotArea>
    </chartFormat>
    <chartFormat chart="16" format="1" series="1">
      <pivotArea type="data" outline="0" fieldPosition="0">
        <references count="2">
          <reference field="4294967294" count="1" selected="0">
            <x v="0"/>
          </reference>
          <reference field="7"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0.xml><?xml version="1.0" encoding="utf-8"?>
<pivotTableDefinition xmlns="http://schemas.openxmlformats.org/spreadsheetml/2006/main" name="PivotTable16"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18">
  <location ref="B221:M225" firstHeaderRow="1" firstDataRow="2" firstDataCol="1" rowPageCount="2" colPageCount="1"/>
  <pivotFields count="94">
    <pivotField showAll="0"/>
    <pivotField showAll="0"/>
    <pivotField axis="axisCol" showAll="0">
      <items count="11">
        <item x="2"/>
        <item x="1"/>
        <item x="9"/>
        <item x="7"/>
        <item x="0"/>
        <item x="8"/>
        <item x="4"/>
        <item x="5"/>
        <item x="3"/>
        <item x="6"/>
        <item t="default"/>
      </items>
    </pivotField>
    <pivotField showAll="0"/>
    <pivotField showAll="0"/>
    <pivotField showAll="0"/>
    <pivotField axis="axisPage" multipleItemSelectionAllowed="1" showAll="0">
      <items count="4">
        <item x="0"/>
        <item x="2"/>
        <item x="1"/>
        <item t="default"/>
      </items>
    </pivotField>
    <pivotField axis="axisRow" showAll="0">
      <items count="3">
        <item x="0"/>
        <item x="1"/>
        <item t="default"/>
      </items>
    </pivotField>
    <pivotField showAll="0"/>
    <pivotField showAll="0"/>
    <pivotField showAll="0"/>
    <pivotField showAll="0"/>
    <pivotField showAll="0" defaultSubtotal="0"/>
    <pivotField showAll="0"/>
    <pivotField showAll="0"/>
    <pivotField showAll="0" defaultSubtotal="0"/>
    <pivotField showAll="0" defaultSubtotal="0"/>
    <pivotField showAll="0"/>
    <pivotField axis="axisPage" showAll="0" defaultSubtotal="0">
      <items count="2">
        <item x="0"/>
        <item x="1"/>
      </items>
    </pivotField>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dataField="1"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defaultSubtotal="0"/>
    <pivotField numFmtId="1"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7"/>
  </rowFields>
  <rowItems count="3">
    <i>
      <x/>
    </i>
    <i>
      <x v="1"/>
    </i>
    <i t="grand">
      <x/>
    </i>
  </rowItems>
  <colFields count="1">
    <field x="2"/>
  </colFields>
  <colItems count="11">
    <i>
      <x/>
    </i>
    <i>
      <x v="1"/>
    </i>
    <i>
      <x v="2"/>
    </i>
    <i>
      <x v="3"/>
    </i>
    <i>
      <x v="4"/>
    </i>
    <i>
      <x v="5"/>
    </i>
    <i>
      <x v="6"/>
    </i>
    <i>
      <x v="7"/>
    </i>
    <i>
      <x v="8"/>
    </i>
    <i>
      <x v="9"/>
    </i>
    <i t="grand">
      <x/>
    </i>
  </colItems>
  <pageFields count="2">
    <pageField fld="6" hier="-1"/>
    <pageField fld="18" hier="-1"/>
  </pageFields>
  <dataFields count="1">
    <dataField name="Sum of # Semi permanent latrines missing" fld="55" baseField="0" baseItem="0" numFmtId="1"/>
  </dataFields>
  <formats count="4">
    <format dxfId="283">
      <pivotArea outline="0" collapsedLevelsAreSubtotals="1" fieldPosition="0"/>
    </format>
    <format dxfId="282">
      <pivotArea outline="0" collapsedLevelsAreSubtotals="1" fieldPosition="0"/>
    </format>
    <format dxfId="281">
      <pivotArea dataOnly="0" labelOnly="1" fieldPosition="0">
        <references count="1">
          <reference field="2" count="0"/>
        </references>
      </pivotArea>
    </format>
    <format dxfId="280">
      <pivotArea dataOnly="0" labelOnly="1" grandCol="1" outline="0" fieldPosition="0"/>
    </format>
  </formats>
  <chartFormats count="24">
    <chartFormat chart="8" format="0" series="1">
      <pivotArea type="data" outline="0" fieldPosition="0">
        <references count="2">
          <reference field="4294967294" count="1" selected="0">
            <x v="0"/>
          </reference>
          <reference field="7" count="1" selected="0">
            <x v="0"/>
          </reference>
        </references>
      </pivotArea>
    </chartFormat>
    <chartFormat chart="8" format="1" series="1">
      <pivotArea type="data" outline="0" fieldPosition="0">
        <references count="2">
          <reference field="4294967294" count="1" selected="0">
            <x v="0"/>
          </reference>
          <reference field="7" count="1" selected="0">
            <x v="1"/>
          </reference>
        </references>
      </pivotArea>
    </chartFormat>
    <chartFormat chart="10" format="0" series="1">
      <pivotArea type="data" outline="0" fieldPosition="0">
        <references count="2">
          <reference field="4294967294" count="1" selected="0">
            <x v="0"/>
          </reference>
          <reference field="7" count="1" selected="0">
            <x v="0"/>
          </reference>
        </references>
      </pivotArea>
    </chartFormat>
    <chartFormat chart="10" format="1" series="1">
      <pivotArea type="data" outline="0" fieldPosition="0">
        <references count="2">
          <reference field="4294967294" count="1" selected="0">
            <x v="0"/>
          </reference>
          <reference field="7" count="1" selected="0">
            <x v="1"/>
          </reference>
        </references>
      </pivotArea>
    </chartFormat>
    <chartFormat chart="14" format="0" series="1">
      <pivotArea type="data" outline="0" fieldPosition="0">
        <references count="2">
          <reference field="4294967294" count="1" selected="0">
            <x v="0"/>
          </reference>
          <reference field="2" count="1" selected="0">
            <x v="0"/>
          </reference>
        </references>
      </pivotArea>
    </chartFormat>
    <chartFormat chart="14" format="1" series="1">
      <pivotArea type="data" outline="0" fieldPosition="0">
        <references count="2">
          <reference field="4294967294" count="1" selected="0">
            <x v="0"/>
          </reference>
          <reference field="2" count="1" selected="0">
            <x v="1"/>
          </reference>
        </references>
      </pivotArea>
    </chartFormat>
    <chartFormat chart="14" format="2" series="1">
      <pivotArea type="data" outline="0" fieldPosition="0">
        <references count="2">
          <reference field="4294967294" count="1" selected="0">
            <x v="0"/>
          </reference>
          <reference field="2" count="1" selected="0">
            <x v="2"/>
          </reference>
        </references>
      </pivotArea>
    </chartFormat>
    <chartFormat chart="14" format="3" series="1">
      <pivotArea type="data" outline="0" fieldPosition="0">
        <references count="2">
          <reference field="4294967294" count="1" selected="0">
            <x v="0"/>
          </reference>
          <reference field="2" count="1" selected="0">
            <x v="3"/>
          </reference>
        </references>
      </pivotArea>
    </chartFormat>
    <chartFormat chart="14" format="4" series="1">
      <pivotArea type="data" outline="0" fieldPosition="0">
        <references count="2">
          <reference field="4294967294" count="1" selected="0">
            <x v="0"/>
          </reference>
          <reference field="2" count="1" selected="0">
            <x v="4"/>
          </reference>
        </references>
      </pivotArea>
    </chartFormat>
    <chartFormat chart="14" format="5" series="1">
      <pivotArea type="data" outline="0" fieldPosition="0">
        <references count="2">
          <reference field="4294967294" count="1" selected="0">
            <x v="0"/>
          </reference>
          <reference field="2" count="1" selected="0">
            <x v="5"/>
          </reference>
        </references>
      </pivotArea>
    </chartFormat>
    <chartFormat chart="14" format="6" series="1">
      <pivotArea type="data" outline="0" fieldPosition="0">
        <references count="2">
          <reference field="4294967294" count="1" selected="0">
            <x v="0"/>
          </reference>
          <reference field="2" count="1" selected="0">
            <x v="6"/>
          </reference>
        </references>
      </pivotArea>
    </chartFormat>
    <chartFormat chart="14" format="7" series="1">
      <pivotArea type="data" outline="0" fieldPosition="0">
        <references count="2">
          <reference field="4294967294" count="1" selected="0">
            <x v="0"/>
          </reference>
          <reference field="2" count="1" selected="0">
            <x v="7"/>
          </reference>
        </references>
      </pivotArea>
    </chartFormat>
    <chartFormat chart="14" format="8" series="1">
      <pivotArea type="data" outline="0" fieldPosition="0">
        <references count="2">
          <reference field="4294967294" count="1" selected="0">
            <x v="0"/>
          </reference>
          <reference field="2" count="1" selected="0">
            <x v="8"/>
          </reference>
        </references>
      </pivotArea>
    </chartFormat>
    <chartFormat chart="14" format="9" series="1">
      <pivotArea type="data" outline="0" fieldPosition="0">
        <references count="2">
          <reference field="4294967294" count="1" selected="0">
            <x v="0"/>
          </reference>
          <reference field="2" count="1" selected="0">
            <x v="9"/>
          </reference>
        </references>
      </pivotArea>
    </chartFormat>
    <chartFormat chart="16" format="0" series="1">
      <pivotArea type="data" outline="0" fieldPosition="0">
        <references count="2">
          <reference field="4294967294" count="1" selected="0">
            <x v="0"/>
          </reference>
          <reference field="2" count="1" selected="0">
            <x v="0"/>
          </reference>
        </references>
      </pivotArea>
    </chartFormat>
    <chartFormat chart="16" format="1" series="1">
      <pivotArea type="data" outline="0" fieldPosition="0">
        <references count="2">
          <reference field="4294967294" count="1" selected="0">
            <x v="0"/>
          </reference>
          <reference field="2" count="1" selected="0">
            <x v="1"/>
          </reference>
        </references>
      </pivotArea>
    </chartFormat>
    <chartFormat chart="16" format="2" series="1">
      <pivotArea type="data" outline="0" fieldPosition="0">
        <references count="2">
          <reference field="4294967294" count="1" selected="0">
            <x v="0"/>
          </reference>
          <reference field="2" count="1" selected="0">
            <x v="2"/>
          </reference>
        </references>
      </pivotArea>
    </chartFormat>
    <chartFormat chart="16" format="3" series="1">
      <pivotArea type="data" outline="0" fieldPosition="0">
        <references count="2">
          <reference field="4294967294" count="1" selected="0">
            <x v="0"/>
          </reference>
          <reference field="2" count="1" selected="0">
            <x v="3"/>
          </reference>
        </references>
      </pivotArea>
    </chartFormat>
    <chartFormat chart="16" format="4" series="1">
      <pivotArea type="data" outline="0" fieldPosition="0">
        <references count="2">
          <reference field="4294967294" count="1" selected="0">
            <x v="0"/>
          </reference>
          <reference field="2" count="1" selected="0">
            <x v="4"/>
          </reference>
        </references>
      </pivotArea>
    </chartFormat>
    <chartFormat chart="16" format="5" series="1">
      <pivotArea type="data" outline="0" fieldPosition="0">
        <references count="2">
          <reference field="4294967294" count="1" selected="0">
            <x v="0"/>
          </reference>
          <reference field="2" count="1" selected="0">
            <x v="5"/>
          </reference>
        </references>
      </pivotArea>
    </chartFormat>
    <chartFormat chart="16" format="6" series="1">
      <pivotArea type="data" outline="0" fieldPosition="0">
        <references count="2">
          <reference field="4294967294" count="1" selected="0">
            <x v="0"/>
          </reference>
          <reference field="2" count="1" selected="0">
            <x v="6"/>
          </reference>
        </references>
      </pivotArea>
    </chartFormat>
    <chartFormat chart="16" format="7" series="1">
      <pivotArea type="data" outline="0" fieldPosition="0">
        <references count="2">
          <reference field="4294967294" count="1" selected="0">
            <x v="0"/>
          </reference>
          <reference field="2" count="1" selected="0">
            <x v="7"/>
          </reference>
        </references>
      </pivotArea>
    </chartFormat>
    <chartFormat chart="16" format="8" series="1">
      <pivotArea type="data" outline="0" fieldPosition="0">
        <references count="2">
          <reference field="4294967294" count="1" selected="0">
            <x v="0"/>
          </reference>
          <reference field="2" count="1" selected="0">
            <x v="8"/>
          </reference>
        </references>
      </pivotArea>
    </chartFormat>
    <chartFormat chart="16" format="9" series="1">
      <pivotArea type="data" outline="0" fieldPosition="0">
        <references count="2">
          <reference field="4294967294" count="1" selected="0">
            <x v="0"/>
          </reference>
          <reference field="2"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1.xml><?xml version="1.0" encoding="utf-8"?>
<pivotTableDefinition xmlns="http://schemas.openxmlformats.org/spreadsheetml/2006/main" name="PivotTable10" cacheId="2" dataOnRows="1" applyNumberFormats="0" applyBorderFormats="0" applyFontFormats="0" applyPatternFormats="0" applyAlignmentFormats="0" applyWidthHeightFormats="1" dataCaption="Data" updatedVersion="5" minRefreshableVersion="3" showMemberPropertyTips="0" itemPrintTitles="1" createdVersion="4" indent="0" compact="0" compactData="0" gridDropZones="1" chartFormat="59">
  <location ref="B33:C45" firstHeaderRow="2" firstDataRow="2" firstDataCol="1" rowPageCount="1" colPageCount="1"/>
  <pivotFields count="32">
    <pivotField compact="0" outline="0" subtotalTop="0" showAll="0" includeNewItemsInFilter="1"/>
    <pivotField compact="0" outline="0" subtotalTop="0" showAll="0" includeNewItemsInFilter="1"/>
    <pivotField axis="axisRow" compact="0" outline="0" subtotalTop="0" showAll="0" includeNewItemsInFilter="1">
      <items count="24">
        <item x="1"/>
        <item x="3"/>
        <item x="12"/>
        <item x="13"/>
        <item h="1" x="0"/>
        <item x="17"/>
        <item x="2"/>
        <item x="18"/>
        <item x="4"/>
        <item m="1" x="22"/>
        <item x="6"/>
        <item x="9"/>
        <item m="1" x="20"/>
        <item x="11"/>
        <item x="14"/>
        <item m="1" x="19"/>
        <item m="1" x="21"/>
        <item x="16"/>
        <item x="10"/>
        <item x="5"/>
        <item x="7"/>
        <item x="8"/>
        <item x="15"/>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multipleItemSelectionAllowed="1" showAll="0" defaultSubtotal="0"/>
    <pivotField compact="0" outline="0" subtotalTop="0" showAll="0" includeNewItemsInFilter="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ubtotalTop="0" showAll="0" includeNewItemsInFilter="1"/>
    <pivotField compact="0" outline="0" showAll="0" defaultSubtotal="0"/>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numFmtId="3" outline="0" subtotalTop="0" showAll="0" includeNewItemsInFilter="1"/>
    <pivotField compact="0" outline="0" showAll="0" defaultSubtotal="0"/>
    <pivotField axis="axisPage" dataField="1" compact="0" outline="0" multipleItemSelectionAllowed="1" showAll="0" defaultSubtotal="0">
      <items count="47">
        <item h="1" x="0"/>
        <item x="31"/>
        <item m="1" x="38"/>
        <item x="1"/>
        <item m="1" x="40"/>
        <item x="5"/>
        <item m="1" x="37"/>
        <item x="8"/>
        <item x="9"/>
        <item x="10"/>
        <item x="11"/>
        <item m="1" x="33"/>
        <item x="13"/>
        <item x="14"/>
        <item m="1" x="39"/>
        <item x="19"/>
        <item x="20"/>
        <item x="22"/>
        <item m="1" x="35"/>
        <item m="1" x="46"/>
        <item x="27"/>
        <item x="28"/>
        <item x="29"/>
        <item x="32"/>
        <item h="1" m="1" x="44"/>
        <item h="1" x="4"/>
        <item h="1" x="6"/>
        <item h="1" m="1" x="36"/>
        <item h="1" m="1" x="42"/>
        <item h="1" m="1" x="41"/>
        <item h="1" x="7"/>
        <item h="1" m="1" x="43"/>
        <item h="1" x="17"/>
        <item h="1" x="25"/>
        <item h="1" x="26"/>
        <item h="1" x="30"/>
        <item h="1" m="1" x="45"/>
        <item h="1" m="1" x="34"/>
        <item h="1" x="2"/>
        <item h="1" x="18"/>
        <item h="1" x="21"/>
        <item h="1" x="23"/>
        <item h="1" x="15"/>
        <item h="1" x="16"/>
        <item h="1" x="24"/>
        <item h="1" x="12"/>
        <item h="1" x="3"/>
      </items>
    </pivotField>
    <pivotField compact="0" numFmtId="3" outline="0" showAll="0" defaultSubtotal="0"/>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1">
    <field x="2"/>
  </rowFields>
  <rowItems count="11">
    <i>
      <x/>
    </i>
    <i>
      <x v="2"/>
    </i>
    <i>
      <x v="5"/>
    </i>
    <i>
      <x v="6"/>
    </i>
    <i>
      <x v="10"/>
    </i>
    <i>
      <x v="11"/>
    </i>
    <i>
      <x v="13"/>
    </i>
    <i>
      <x v="17"/>
    </i>
    <i>
      <x v="19"/>
    </i>
    <i>
      <x v="22"/>
    </i>
    <i t="grand">
      <x/>
    </i>
  </rowItems>
  <colItems count="1">
    <i/>
  </colItems>
  <pageFields count="1">
    <pageField fld="25" hier="-1"/>
  </pageFields>
  <dataFields count="1">
    <dataField name="Sum of Approximate fund 2014 regarding project date implementation" fld="25" baseField="0" baseItem="0" numFmtId="166"/>
  </dataFields>
  <formats count="7">
    <format dxfId="8">
      <pivotArea outline="0" fieldPosition="0"/>
    </format>
    <format dxfId="7">
      <pivotArea type="origin" dataOnly="0" labelOnly="1" outline="0" fieldPosition="0"/>
    </format>
    <format dxfId="6">
      <pivotArea field="2" type="button" dataOnly="0" labelOnly="1" outline="0" axis="axisRow" fieldPosition="0"/>
    </format>
    <format dxfId="5">
      <pivotArea dataOnly="0" labelOnly="1" grandRow="1" outline="0" fieldPosition="0"/>
    </format>
    <format dxfId="4">
      <pivotArea outline="0" fieldPosition="0"/>
    </format>
    <format dxfId="3">
      <pivotArea type="topRight" dataOnly="0" labelOnly="1" outline="0" fieldPosition="0"/>
    </format>
    <format dxfId="2">
      <pivotArea outline="0" collapsedLevelsAreSubtotals="1" fieldPosition="0"/>
    </format>
  </formats>
  <chartFormats count="7">
    <chartFormat chart="56" format="38" series="1">
      <pivotArea type="data" outline="0" fieldPosition="0">
        <references count="1">
          <reference field="4294967294" count="1" selected="0">
            <x v="0"/>
          </reference>
        </references>
      </pivotArea>
    </chartFormat>
    <chartFormat chart="57" format="40" series="1">
      <pivotArea type="data" outline="0" fieldPosition="0">
        <references count="1">
          <reference field="4294967294" count="1" selected="0">
            <x v="0"/>
          </reference>
        </references>
      </pivotArea>
    </chartFormat>
    <chartFormat chart="57" format="41">
      <pivotArea type="data" outline="0" fieldPosition="0">
        <references count="2">
          <reference field="4294967294" count="1" selected="0">
            <x v="0"/>
          </reference>
          <reference field="2" count="1" selected="0">
            <x v="11"/>
          </reference>
        </references>
      </pivotArea>
    </chartFormat>
    <chartFormat chart="57" format="42">
      <pivotArea type="data" outline="0" fieldPosition="0">
        <references count="2">
          <reference field="4294967294" count="1" selected="0">
            <x v="0"/>
          </reference>
          <reference field="2" count="1" selected="0">
            <x v="15"/>
          </reference>
        </references>
      </pivotArea>
    </chartFormat>
    <chartFormat chart="57" format="43">
      <pivotArea type="data" outline="0" fieldPosition="0">
        <references count="2">
          <reference field="4294967294" count="1" selected="0">
            <x v="0"/>
          </reference>
          <reference field="2" count="1" selected="0">
            <x v="17"/>
          </reference>
        </references>
      </pivotArea>
    </chartFormat>
    <chartFormat chart="57" format="44">
      <pivotArea type="data" outline="0" fieldPosition="0">
        <references count="2">
          <reference field="4294967294" count="1" selected="0">
            <x v="0"/>
          </reference>
          <reference field="2" count="1" selected="0">
            <x v="16"/>
          </reference>
        </references>
      </pivotArea>
    </chartFormat>
    <chartFormat chart="57" format="45">
      <pivotArea type="data" outline="0" fieldPosition="0">
        <references count="2">
          <reference field="4294967294" count="1" selected="0">
            <x v="0"/>
          </reference>
          <reference field="2" count="1" selected="0">
            <x v="10"/>
          </reference>
        </references>
      </pivotArea>
    </chartFormat>
  </chartFormats>
  <pivotTableStyleInfo showRowHeaders="1" showColHeaders="1" showRowStripes="0" showColStripes="0" showLastColumn="1"/>
</pivotTableDefinition>
</file>

<file path=xl/pivotTables/pivotTable32.xml><?xml version="1.0" encoding="utf-8"?>
<pivotTableDefinition xmlns="http://schemas.openxmlformats.org/spreadsheetml/2006/main" name="PivotTable5" cacheId="2" dataOnRows="1" applyNumberFormats="0" applyBorderFormats="0" applyFontFormats="0" applyPatternFormats="0" applyAlignmentFormats="0" applyWidthHeightFormats="1" dataCaption="Data" updatedVersion="5" minRefreshableVersion="3" showMemberPropertyTips="0" itemPrintTitles="1" createdVersion="4" indent="0" compact="0" compactData="0" gridDropZones="1" chartFormat="17">
  <location ref="B69:U73" firstHeaderRow="1" firstDataRow="2" firstDataCol="1"/>
  <pivotFields count="32">
    <pivotField compact="0" outline="0" subtotalTop="0" showAll="0" includeNewItemsInFilter="1"/>
    <pivotField compact="0" outline="0" subtotalTop="0" showAll="0" includeNewItemsInFilter="1"/>
    <pivotField axis="axisCol" compact="0" outline="0" subtotalTop="0" multipleItemSelectionAllowed="1" showAll="0" includeNewItemsInFilter="1">
      <items count="24">
        <item x="1"/>
        <item x="3"/>
        <item m="1" x="19"/>
        <item x="12"/>
        <item h="1" x="0"/>
        <item x="17"/>
        <item x="4"/>
        <item h="1" m="1" x="22"/>
        <item x="9"/>
        <item x="14"/>
        <item m="1" x="21"/>
        <item x="16"/>
        <item x="2"/>
        <item x="18"/>
        <item x="11"/>
        <item x="13"/>
        <item x="6"/>
        <item m="1" x="20"/>
        <item x="10"/>
        <item x="5"/>
        <item x="7"/>
        <item x="8"/>
        <item x="15"/>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howAll="0" defaultSubtotal="0"/>
    <pivotField compact="0" outline="0" subtotalTop="0" showAll="0" includeNewItemsInFilter="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numFmtId="3" outline="0" subtotalTop="0" showAll="0" includeNewItemsInFilter="1"/>
    <pivotField dataField="1" compact="0" numFmtId="3" outline="0" showAll="0" defaultSubtotal="0"/>
    <pivotField dataField="1" compact="0" numFmtId="3" outline="0" showAll="0" defaultSubtotal="0"/>
    <pivotField dataField="1" compact="0" numFmtId="3" outline="0" showAll="0" defaultSubtotal="0"/>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1">
    <field x="-2"/>
  </rowFields>
  <rowItems count="3">
    <i>
      <x/>
    </i>
    <i i="1">
      <x v="1"/>
    </i>
    <i i="2">
      <x v="2"/>
    </i>
  </rowItems>
  <colFields count="1">
    <field x="2"/>
  </colFields>
  <colItems count="19">
    <i>
      <x/>
    </i>
    <i>
      <x v="1"/>
    </i>
    <i>
      <x v="3"/>
    </i>
    <i>
      <x v="5"/>
    </i>
    <i>
      <x v="6"/>
    </i>
    <i>
      <x v="8"/>
    </i>
    <i>
      <x v="9"/>
    </i>
    <i>
      <x v="11"/>
    </i>
    <i>
      <x v="12"/>
    </i>
    <i>
      <x v="13"/>
    </i>
    <i>
      <x v="14"/>
    </i>
    <i>
      <x v="15"/>
    </i>
    <i>
      <x v="16"/>
    </i>
    <i>
      <x v="18"/>
    </i>
    <i>
      <x v="19"/>
    </i>
    <i>
      <x v="20"/>
    </i>
    <i>
      <x v="21"/>
    </i>
    <i>
      <x v="22"/>
    </i>
    <i t="grand">
      <x/>
    </i>
  </colItems>
  <dataFields count="3">
    <dataField name="Before 2014" fld="24" baseField="0" baseItem="0"/>
    <dataField name="2014" fld="25" baseField="0" baseItem="0"/>
    <dataField name="2015" fld="26" baseField="0" baseItem="0"/>
  </dataFields>
  <formats count="10">
    <format dxfId="18">
      <pivotArea outline="0" fieldPosition="0"/>
    </format>
    <format dxfId="17">
      <pivotArea type="origin" dataOnly="0" labelOnly="1" outline="0" fieldPosition="0"/>
    </format>
    <format dxfId="16">
      <pivotArea field="2" type="button" dataOnly="0" labelOnly="1" outline="0" axis="axisCol" fieldPosition="0"/>
    </format>
    <format dxfId="15">
      <pivotArea dataOnly="0" labelOnly="1" grandRow="1" outline="0" fieldPosition="0"/>
    </format>
    <format dxfId="14">
      <pivotArea outline="0" fieldPosition="0"/>
    </format>
    <format dxfId="13">
      <pivotArea type="topRight" dataOnly="0" labelOnly="1" outline="0" fieldPosition="0"/>
    </format>
    <format dxfId="12">
      <pivotArea type="all" dataOnly="0" outline="0" fieldPosition="0"/>
    </format>
    <format dxfId="11">
      <pivotArea outline="0" collapsedLevelsAreSubtotals="1" fieldPosition="0"/>
    </format>
    <format dxfId="10">
      <pivotArea field="-2" type="button" dataOnly="0" labelOnly="1" outline="0" axis="axisRow" fieldPosition="0"/>
    </format>
    <format dxfId="9">
      <pivotArea dataOnly="0" labelOnly="1" outline="0" fieldPosition="0">
        <references count="1">
          <reference field="4294967294" count="2">
            <x v="0"/>
            <x v="1"/>
          </reference>
        </references>
      </pivotArea>
    </format>
  </formats>
  <chartFormats count="38">
    <chartFormat chart="7" format="0" series="1">
      <pivotArea type="data" outline="0" fieldPosition="0">
        <references count="1">
          <reference field="4294967294" count="1" selected="0">
            <x v="0"/>
          </reference>
        </references>
      </pivotArea>
    </chartFormat>
    <chartFormat chart="8" format="1" series="1">
      <pivotArea type="data" outline="0" fieldPosition="0">
        <references count="1">
          <reference field="4294967294" count="1" selected="0">
            <x v="0"/>
          </reference>
        </references>
      </pivotArea>
    </chartFormat>
    <chartFormat chart="15" format="2" series="1">
      <pivotArea type="data" outline="0" fieldPosition="0">
        <references count="2">
          <reference field="4294967294" count="1" selected="0">
            <x v="0"/>
          </reference>
          <reference field="2" count="1" selected="0">
            <x v="0"/>
          </reference>
        </references>
      </pivotArea>
    </chartFormat>
    <chartFormat chart="15" format="3" series="1">
      <pivotArea type="data" outline="0" fieldPosition="0">
        <references count="2">
          <reference field="4294967294" count="1" selected="0">
            <x v="0"/>
          </reference>
          <reference field="2" count="1" selected="0">
            <x v="1"/>
          </reference>
        </references>
      </pivotArea>
    </chartFormat>
    <chartFormat chart="15" format="4" series="1">
      <pivotArea type="data" outline="0" fieldPosition="0">
        <references count="2">
          <reference field="4294967294" count="1" selected="0">
            <x v="0"/>
          </reference>
          <reference field="2" count="1" selected="0">
            <x v="2"/>
          </reference>
        </references>
      </pivotArea>
    </chartFormat>
    <chartFormat chart="15" format="5" series="1">
      <pivotArea type="data" outline="0" fieldPosition="0">
        <references count="2">
          <reference field="4294967294" count="1" selected="0">
            <x v="0"/>
          </reference>
          <reference field="2" count="1" selected="0">
            <x v="3"/>
          </reference>
        </references>
      </pivotArea>
    </chartFormat>
    <chartFormat chart="15" format="6" series="1">
      <pivotArea type="data" outline="0" fieldPosition="0">
        <references count="2">
          <reference field="4294967294" count="1" selected="0">
            <x v="0"/>
          </reference>
          <reference field="2" count="1" selected="0">
            <x v="5"/>
          </reference>
        </references>
      </pivotArea>
    </chartFormat>
    <chartFormat chart="15" format="7" series="1">
      <pivotArea type="data" outline="0" fieldPosition="0">
        <references count="2">
          <reference field="4294967294" count="1" selected="0">
            <x v="0"/>
          </reference>
          <reference field="2" count="1" selected="0">
            <x v="6"/>
          </reference>
        </references>
      </pivotArea>
    </chartFormat>
    <chartFormat chart="15" format="8" series="1">
      <pivotArea type="data" outline="0" fieldPosition="0">
        <references count="2">
          <reference field="4294967294" count="1" selected="0">
            <x v="0"/>
          </reference>
          <reference field="2" count="1" selected="0">
            <x v="8"/>
          </reference>
        </references>
      </pivotArea>
    </chartFormat>
    <chartFormat chart="15" format="9" series="1">
      <pivotArea type="data" outline="0" fieldPosition="0">
        <references count="2">
          <reference field="4294967294" count="1" selected="0">
            <x v="0"/>
          </reference>
          <reference field="2" count="1" selected="0">
            <x v="9"/>
          </reference>
        </references>
      </pivotArea>
    </chartFormat>
    <chartFormat chart="15" format="10" series="1">
      <pivotArea type="data" outline="0" fieldPosition="0">
        <references count="2">
          <reference field="4294967294" count="1" selected="0">
            <x v="0"/>
          </reference>
          <reference field="2" count="1" selected="0">
            <x v="10"/>
          </reference>
        </references>
      </pivotArea>
    </chartFormat>
    <chartFormat chart="15" format="11" series="1">
      <pivotArea type="data" outline="0" fieldPosition="0">
        <references count="2">
          <reference field="4294967294" count="1" selected="0">
            <x v="0"/>
          </reference>
          <reference field="2" count="1" selected="0">
            <x v="11"/>
          </reference>
        </references>
      </pivotArea>
    </chartFormat>
    <chartFormat chart="15" format="12" series="1">
      <pivotArea type="data" outline="0" fieldPosition="0">
        <references count="2">
          <reference field="4294967294" count="1" selected="0">
            <x v="0"/>
          </reference>
          <reference field="2" count="1" selected="0">
            <x v="12"/>
          </reference>
        </references>
      </pivotArea>
    </chartFormat>
    <chartFormat chart="15" format="13" series="1">
      <pivotArea type="data" outline="0" fieldPosition="0">
        <references count="2">
          <reference field="4294967294" count="1" selected="0">
            <x v="0"/>
          </reference>
          <reference field="2" count="1" selected="0">
            <x v="13"/>
          </reference>
        </references>
      </pivotArea>
    </chartFormat>
    <chartFormat chart="15" format="14" series="1">
      <pivotArea type="data" outline="0" fieldPosition="0">
        <references count="2">
          <reference field="4294967294" count="1" selected="0">
            <x v="0"/>
          </reference>
          <reference field="2" count="1" selected="0">
            <x v="14"/>
          </reference>
        </references>
      </pivotArea>
    </chartFormat>
    <chartFormat chart="15" format="15" series="1">
      <pivotArea type="data" outline="0" fieldPosition="0">
        <references count="2">
          <reference field="4294967294" count="1" selected="0">
            <x v="0"/>
          </reference>
          <reference field="2" count="1" selected="0">
            <x v="15"/>
          </reference>
        </references>
      </pivotArea>
    </chartFormat>
    <chartFormat chart="15" format="16" series="1">
      <pivotArea type="data" outline="0" fieldPosition="0">
        <references count="2">
          <reference field="4294967294" count="1" selected="0">
            <x v="0"/>
          </reference>
          <reference field="2" count="1" selected="0">
            <x v="16"/>
          </reference>
        </references>
      </pivotArea>
    </chartFormat>
    <chartFormat chart="15" format="17" series="1">
      <pivotArea type="data" outline="0" fieldPosition="0">
        <references count="2">
          <reference field="4294967294" count="1" selected="0">
            <x v="0"/>
          </reference>
          <reference field="2" count="1" selected="0">
            <x v="18"/>
          </reference>
        </references>
      </pivotArea>
    </chartFormat>
    <chartFormat chart="16" format="18" series="1">
      <pivotArea type="data" outline="0" fieldPosition="0">
        <references count="2">
          <reference field="4294967294" count="1" selected="0">
            <x v="0"/>
          </reference>
          <reference field="2" count="1" selected="0">
            <x v="0"/>
          </reference>
        </references>
      </pivotArea>
    </chartFormat>
    <chartFormat chart="16" format="19" series="1">
      <pivotArea type="data" outline="0" fieldPosition="0">
        <references count="2">
          <reference field="4294967294" count="1" selected="0">
            <x v="0"/>
          </reference>
          <reference field="2" count="1" selected="0">
            <x v="1"/>
          </reference>
        </references>
      </pivotArea>
    </chartFormat>
    <chartFormat chart="16" format="20" series="1">
      <pivotArea type="data" outline="0" fieldPosition="0">
        <references count="2">
          <reference field="4294967294" count="1" selected="0">
            <x v="0"/>
          </reference>
          <reference field="2" count="1" selected="0">
            <x v="2"/>
          </reference>
        </references>
      </pivotArea>
    </chartFormat>
    <chartFormat chart="16" format="21" series="1">
      <pivotArea type="data" outline="0" fieldPosition="0">
        <references count="2">
          <reference field="4294967294" count="1" selected="0">
            <x v="0"/>
          </reference>
          <reference field="2" count="1" selected="0">
            <x v="3"/>
          </reference>
        </references>
      </pivotArea>
    </chartFormat>
    <chartFormat chart="16" format="22" series="1">
      <pivotArea type="data" outline="0" fieldPosition="0">
        <references count="2">
          <reference field="4294967294" count="1" selected="0">
            <x v="0"/>
          </reference>
          <reference field="2" count="1" selected="0">
            <x v="5"/>
          </reference>
        </references>
      </pivotArea>
    </chartFormat>
    <chartFormat chart="16" format="23" series="1">
      <pivotArea type="data" outline="0" fieldPosition="0">
        <references count="2">
          <reference field="4294967294" count="1" selected="0">
            <x v="0"/>
          </reference>
          <reference field="2" count="1" selected="0">
            <x v="6"/>
          </reference>
        </references>
      </pivotArea>
    </chartFormat>
    <chartFormat chart="16" format="24" series="1">
      <pivotArea type="data" outline="0" fieldPosition="0">
        <references count="2">
          <reference field="4294967294" count="1" selected="0">
            <x v="0"/>
          </reference>
          <reference field="2" count="1" selected="0">
            <x v="8"/>
          </reference>
        </references>
      </pivotArea>
    </chartFormat>
    <chartFormat chart="16" format="25" series="1">
      <pivotArea type="data" outline="0" fieldPosition="0">
        <references count="2">
          <reference field="4294967294" count="1" selected="0">
            <x v="0"/>
          </reference>
          <reference field="2" count="1" selected="0">
            <x v="9"/>
          </reference>
        </references>
      </pivotArea>
    </chartFormat>
    <chartFormat chart="16" format="26" series="1">
      <pivotArea type="data" outline="0" fieldPosition="0">
        <references count="2">
          <reference field="4294967294" count="1" selected="0">
            <x v="0"/>
          </reference>
          <reference field="2" count="1" selected="0">
            <x v="10"/>
          </reference>
        </references>
      </pivotArea>
    </chartFormat>
    <chartFormat chart="16" format="27" series="1">
      <pivotArea type="data" outline="0" fieldPosition="0">
        <references count="2">
          <reference field="4294967294" count="1" selected="0">
            <x v="0"/>
          </reference>
          <reference field="2" count="1" selected="0">
            <x v="11"/>
          </reference>
        </references>
      </pivotArea>
    </chartFormat>
    <chartFormat chart="16" format="28" series="1">
      <pivotArea type="data" outline="0" fieldPosition="0">
        <references count="2">
          <reference field="4294967294" count="1" selected="0">
            <x v="0"/>
          </reference>
          <reference field="2" count="1" selected="0">
            <x v="12"/>
          </reference>
        </references>
      </pivotArea>
    </chartFormat>
    <chartFormat chart="16" format="29" series="1">
      <pivotArea type="data" outline="0" fieldPosition="0">
        <references count="2">
          <reference field="4294967294" count="1" selected="0">
            <x v="0"/>
          </reference>
          <reference field="2" count="1" selected="0">
            <x v="13"/>
          </reference>
        </references>
      </pivotArea>
    </chartFormat>
    <chartFormat chart="16" format="30" series="1">
      <pivotArea type="data" outline="0" fieldPosition="0">
        <references count="2">
          <reference field="4294967294" count="1" selected="0">
            <x v="0"/>
          </reference>
          <reference field="2" count="1" selected="0">
            <x v="14"/>
          </reference>
        </references>
      </pivotArea>
    </chartFormat>
    <chartFormat chart="16" format="31" series="1">
      <pivotArea type="data" outline="0" fieldPosition="0">
        <references count="2">
          <reference field="4294967294" count="1" selected="0">
            <x v="0"/>
          </reference>
          <reference field="2" count="1" selected="0">
            <x v="15"/>
          </reference>
        </references>
      </pivotArea>
    </chartFormat>
    <chartFormat chart="16" format="32" series="1">
      <pivotArea type="data" outline="0" fieldPosition="0">
        <references count="2">
          <reference field="4294967294" count="1" selected="0">
            <x v="0"/>
          </reference>
          <reference field="2" count="1" selected="0">
            <x v="16"/>
          </reference>
        </references>
      </pivotArea>
    </chartFormat>
    <chartFormat chart="16" format="33" series="1">
      <pivotArea type="data" outline="0" fieldPosition="0">
        <references count="2">
          <reference field="4294967294" count="1" selected="0">
            <x v="0"/>
          </reference>
          <reference field="2" count="1" selected="0">
            <x v="18"/>
          </reference>
        </references>
      </pivotArea>
    </chartFormat>
    <chartFormat chart="16" format="34" series="1">
      <pivotArea type="data" outline="0" fieldPosition="0">
        <references count="2">
          <reference field="4294967294" count="1" selected="0">
            <x v="0"/>
          </reference>
          <reference field="2" count="1" selected="0">
            <x v="19"/>
          </reference>
        </references>
      </pivotArea>
    </chartFormat>
    <chartFormat chart="16" format="35" series="1">
      <pivotArea type="data" outline="0" fieldPosition="0">
        <references count="2">
          <reference field="4294967294" count="1" selected="0">
            <x v="0"/>
          </reference>
          <reference field="2" count="1" selected="0">
            <x v="21"/>
          </reference>
        </references>
      </pivotArea>
    </chartFormat>
    <chartFormat chart="16" format="36" series="1">
      <pivotArea type="data" outline="0" fieldPosition="0">
        <references count="2">
          <reference field="4294967294" count="1" selected="0">
            <x v="0"/>
          </reference>
          <reference field="2" count="1" selected="0">
            <x v="22"/>
          </reference>
        </references>
      </pivotArea>
    </chartFormat>
    <chartFormat chart="16" format="37" series="1">
      <pivotArea type="data" outline="0" fieldPosition="0">
        <references count="2">
          <reference field="4294967294" count="1" selected="0">
            <x v="0"/>
          </reference>
          <reference field="2" count="1" selected="0">
            <x v="20"/>
          </reference>
        </references>
      </pivotArea>
    </chartFormat>
  </chartFormats>
  <pivotTableStyleInfo showRowHeaders="1" showColHeaders="1" showRowStripes="0" showColStripes="0" showLastColumn="1"/>
</pivotTableDefinition>
</file>

<file path=xl/pivotTables/pivotTable33.xml><?xml version="1.0" encoding="utf-8"?>
<pivotTableDefinition xmlns="http://schemas.openxmlformats.org/spreadsheetml/2006/main" name="PivotTable8" cacheId="2" dataOnRows="1" applyNumberFormats="0" applyBorderFormats="0" applyFontFormats="0" applyPatternFormats="0" applyAlignmentFormats="0" applyWidthHeightFormats="1" dataCaption="Data" updatedVersion="5" minRefreshableVersion="3" showMemberPropertyTips="0" itemPrintTitles="1" createdVersion="4" indent="0" compact="0" compactData="0" gridDropZones="1" chartFormat="6">
  <location ref="B94:C97" firstHeaderRow="1" firstDataRow="1" firstDataCol="1" rowPageCount="1" colPageCount="1"/>
  <pivotFields count="32">
    <pivotField compact="0" outline="0" subtotalTop="0" showAll="0" includeNewItemsInFilter="1">
      <items count="18">
        <item x="10"/>
        <item x="14"/>
        <item x="4"/>
        <item x="5"/>
        <item x="7"/>
        <item x="0"/>
        <item x="2"/>
        <item x="3"/>
        <item x="6"/>
        <item x="8"/>
        <item x="9"/>
        <item m="1" x="16"/>
        <item x="13"/>
        <item x="11"/>
        <item m="1" x="15"/>
        <item x="12"/>
        <item x="1"/>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axis="axisPage" compact="0" outline="0" multipleItemSelectionAllowed="1" showAll="0" defaultSubtotal="0">
      <items count="4">
        <item x="0"/>
        <item x="1"/>
        <item x="2"/>
        <item x="3"/>
      </items>
    </pivotField>
    <pivotField compact="0" outline="0" subtotalTop="0" showAll="0" includeNewItemsInFilter="1"/>
    <pivotField compact="0" outline="0" showAll="0" defaultSubtotal="0"/>
    <pivotField compact="0" outline="0" showAll="0" defaultSubtotal="0"/>
    <pivotField dataField="1" compact="0" outline="0" showAll="0" defaultSubtotal="0"/>
    <pivotField dataField="1" compact="0" outline="0" showAll="0" defaultSubtotal="0"/>
    <pivotField dataField="1" compact="0" outline="0" showAll="0" defaultSubtotal="0"/>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numFmtId="3" outline="0" subtotalTop="0" showAll="0" includeNewItemsInFilter="1"/>
    <pivotField compact="0" numFmtId="3" outline="0" showAll="0" defaultSubtotal="0"/>
    <pivotField compact="0" numFmtId="3" outline="0" showAll="0" defaultSubtotal="0"/>
    <pivotField compact="0" numFmtId="3" outline="0" showAll="0" defaultSubtotal="0"/>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1">
    <field x="-2"/>
  </rowFields>
  <rowItems count="3">
    <i>
      <x/>
    </i>
    <i i="1">
      <x v="1"/>
    </i>
    <i i="2">
      <x v="2"/>
    </i>
  </rowItems>
  <colItems count="1">
    <i/>
  </colItems>
  <pageFields count="1">
    <pageField fld="8" hier="-1"/>
  </pageFields>
  <dataFields count="3">
    <dataField name="% fund attributed for Northern Shan" fld="12" subtotal="average" baseField="0" baseItem="3075528"/>
    <dataField name=" % fund attributed for South Kachin" fld="13" subtotal="average" baseField="0" baseItem="3075528"/>
    <dataField name=" % funds attributed for North kachin" fld="14" subtotal="average" baseField="0" baseItem="3075528"/>
  </dataFields>
  <formats count="8">
    <format dxfId="26">
      <pivotArea outline="0" fieldPosition="0"/>
    </format>
    <format dxfId="25">
      <pivotArea field="0" type="button" dataOnly="0" labelOnly="1" outline="0"/>
    </format>
    <format dxfId="24">
      <pivotArea field="-2" type="button" dataOnly="0" labelOnly="1" outline="0" axis="axisRow" fieldPosition="0"/>
    </format>
    <format dxfId="23">
      <pivotArea outline="0" fieldPosition="0"/>
    </format>
    <format dxfId="22">
      <pivotArea type="all" dataOnly="0" outline="0" fieldPosition="0"/>
    </format>
    <format dxfId="21">
      <pivotArea outline="0" collapsedLevelsAreSubtotals="1" fieldPosition="0"/>
    </format>
    <format dxfId="20">
      <pivotArea field="-2" type="button" dataOnly="0" labelOnly="1" outline="0" axis="axisRow" fieldPosition="0"/>
    </format>
    <format dxfId="19">
      <pivotArea dataOnly="0" labelOnly="1" outline="0" fieldPosition="0">
        <references count="1">
          <reference field="4294967294" count="3">
            <x v="0"/>
            <x v="1"/>
            <x v="2"/>
          </reference>
        </references>
      </pivotArea>
    </format>
  </formats>
  <chartFormats count="5">
    <chartFormat chart="3" format="5" series="1">
      <pivotArea type="data" outline="0" fieldPosition="0">
        <references count="1">
          <reference field="4294967294" count="1" selected="0">
            <x v="0"/>
          </reference>
        </references>
      </pivotArea>
    </chartFormat>
    <chartFormat chart="4" format="6" series="1">
      <pivotArea type="data" outline="0" fieldPosition="0">
        <references count="1">
          <reference field="4294967294" count="1" selected="0">
            <x v="0"/>
          </reference>
        </references>
      </pivotArea>
    </chartFormat>
    <chartFormat chart="4" format="7">
      <pivotArea type="data" outline="0" fieldPosition="0">
        <references count="1">
          <reference field="4294967294" count="1" selected="0">
            <x v="1"/>
          </reference>
        </references>
      </pivotArea>
    </chartFormat>
    <chartFormat chart="4" format="8">
      <pivotArea type="data" outline="0" fieldPosition="0">
        <references count="1">
          <reference field="4294967294" count="1" selected="0">
            <x v="2"/>
          </reference>
        </references>
      </pivotArea>
    </chartFormat>
    <chartFormat chart="4" format="9">
      <pivotArea type="data" outline="0" fieldPosition="0">
        <references count="1">
          <reference field="4294967294" count="1" selected="0">
            <x v="0"/>
          </reference>
        </references>
      </pivotArea>
    </chartFormat>
  </chartFormats>
  <pivotTableStyleInfo showRowHeaders="1" showColHeaders="1" showRowStripes="0" showColStripes="0" showLastColumn="1"/>
</pivotTableDefinition>
</file>

<file path=xl/pivotTables/pivotTable34.xml><?xml version="1.0" encoding="utf-8"?>
<pivotTableDefinition xmlns="http://schemas.openxmlformats.org/spreadsheetml/2006/main" name="PivotTable1" cacheId="2" dataOnRows="1" applyNumberFormats="0" applyBorderFormats="0" applyFontFormats="0" applyPatternFormats="0" applyAlignmentFormats="0" applyWidthHeightFormats="1" dataCaption="Data" updatedVersion="5" minRefreshableVersion="3" showMemberPropertyTips="0" itemPrintTitles="1" createdVersion="4" indent="0" compact="0" compactData="0" gridDropZones="1" chartFormat="7">
  <location ref="B124:C126" firstHeaderRow="1" firstDataRow="1" firstDataCol="1" rowPageCount="1" colPageCount="1"/>
  <pivotFields count="32">
    <pivotField compact="0" outline="0" subtotalTop="0" showAll="0" includeNewItemsInFilter="1">
      <items count="18">
        <item x="10"/>
        <item x="14"/>
        <item x="4"/>
        <item x="5"/>
        <item x="7"/>
        <item x="0"/>
        <item x="2"/>
        <item x="3"/>
        <item x="6"/>
        <item x="8"/>
        <item x="9"/>
        <item m="1" x="16"/>
        <item x="13"/>
        <item x="11"/>
        <item m="1" x="15"/>
        <item x="12"/>
        <item x="1"/>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axis="axisPage" compact="0" outline="0" showAll="0" defaultSubtotal="0">
      <items count="4">
        <item x="0"/>
        <item x="1"/>
        <item x="2"/>
        <item x="3"/>
      </items>
    </pivotField>
    <pivotField compact="0" outline="0" subtotalTop="0" showAll="0" includeNewItemsInFilter="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dataField="1" compact="0" outline="0" subtotalTop="0" showAll="0" includeNewItemsInFilter="1"/>
    <pivotField dataField="1"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numFmtId="3" outline="0" subtotalTop="0" showAll="0" includeNewItemsInFilter="1"/>
    <pivotField compact="0" numFmtId="3" outline="0" showAll="0" defaultSubtotal="0"/>
    <pivotField compact="0" numFmtId="3" outline="0" showAll="0" defaultSubtotal="0"/>
    <pivotField compact="0" numFmtId="3" outline="0" showAll="0" defaultSubtotal="0"/>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1">
    <field x="-2"/>
  </rowFields>
  <rowItems count="2">
    <i>
      <x/>
    </i>
    <i i="1">
      <x v="1"/>
    </i>
  </rowItems>
  <colItems count="1">
    <i/>
  </colItems>
  <pageFields count="1">
    <pageField fld="8" hier="-1"/>
  </pageFields>
  <dataFields count="2">
    <dataField name="Average of Approximate % of beneficiaries in host community" fld="16" subtotal="average" baseField="0" baseItem="29047"/>
    <dataField name="Average of Approximate % of beneficiaries in camps" fld="15" subtotal="average" baseField="0" baseItem="29047"/>
  </dataFields>
  <formats count="9">
    <format dxfId="35">
      <pivotArea outline="0" fieldPosition="0"/>
    </format>
    <format dxfId="34">
      <pivotArea field="0" type="button" dataOnly="0" labelOnly="1" outline="0"/>
    </format>
    <format dxfId="33">
      <pivotArea field="-2" type="button" dataOnly="0" labelOnly="1" outline="0" axis="axisRow" fieldPosition="0"/>
    </format>
    <format dxfId="32">
      <pivotArea dataOnly="0" labelOnly="1" outline="0" fieldPosition="0">
        <references count="1">
          <reference field="4294967294" count="2">
            <x v="0"/>
            <x v="1"/>
          </reference>
        </references>
      </pivotArea>
    </format>
    <format dxfId="31">
      <pivotArea outline="0" fieldPosition="0"/>
    </format>
    <format dxfId="30">
      <pivotArea type="all" dataOnly="0" outline="0" fieldPosition="0"/>
    </format>
    <format dxfId="29">
      <pivotArea outline="0" collapsedLevelsAreSubtotals="1" fieldPosition="0"/>
    </format>
    <format dxfId="28">
      <pivotArea field="-2" type="button" dataOnly="0" labelOnly="1" outline="0" axis="axisRow" fieldPosition="0"/>
    </format>
    <format dxfId="27">
      <pivotArea dataOnly="0" labelOnly="1" outline="0" fieldPosition="0">
        <references count="1">
          <reference field="4294967294" count="2">
            <x v="0"/>
            <x v="1"/>
          </reference>
        </references>
      </pivotArea>
    </format>
  </formats>
  <chartFormats count="5">
    <chartFormat chart="2" format="3" series="1">
      <pivotArea type="data" outline="0" fieldPosition="0">
        <references count="1">
          <reference field="4294967294" count="1" selected="0">
            <x v="0"/>
          </reference>
        </references>
      </pivotArea>
    </chartFormat>
    <chartFormat chart="5" format="4" series="1">
      <pivotArea type="data" outline="0" fieldPosition="0">
        <references count="1">
          <reference field="4294967294" count="1" selected="0">
            <x v="0"/>
          </reference>
        </references>
      </pivotArea>
    </chartFormat>
    <chartFormat chart="5" format="5">
      <pivotArea type="data" outline="0" fieldPosition="0">
        <references count="1">
          <reference field="4294967294" count="1" selected="0">
            <x v="0"/>
          </reference>
        </references>
      </pivotArea>
    </chartFormat>
    <chartFormat chart="6" format="7" series="1">
      <pivotArea type="data" outline="0" fieldPosition="0">
        <references count="1">
          <reference field="4294967294" count="1" selected="0">
            <x v="0"/>
          </reference>
        </references>
      </pivotArea>
    </chartFormat>
    <chartFormat chart="6" format="8">
      <pivotArea type="data" outline="0" fieldPosition="0">
        <references count="1">
          <reference field="4294967294" count="1" selected="0">
            <x v="0"/>
          </reference>
        </references>
      </pivotArea>
    </chartFormat>
  </chartFormats>
  <pivotTableStyleInfo showRowHeaders="1" showColHeaders="1" showRowStripes="0" showColStripes="0" showLastColumn="1"/>
</pivotTableDefinition>
</file>

<file path=xl/pivotTables/pivotTable35.xml><?xml version="1.0" encoding="utf-8"?>
<pivotTableDefinition xmlns="http://schemas.openxmlformats.org/spreadsheetml/2006/main" name="PivotTable9" cacheId="2" dataOnRows="1" applyNumberFormats="0" applyBorderFormats="0" applyFontFormats="0" applyPatternFormats="0" applyAlignmentFormats="0" applyWidthHeightFormats="1" dataCaption="Data" updatedVersion="5" minRefreshableVersion="3" showMemberPropertyTips="0" itemPrintTitles="1" createdVersion="4" indent="0" compact="0" compactData="0" gridDropZones="1" chartFormat="20">
  <location ref="B108:C110" firstHeaderRow="1" firstDataRow="1" firstDataCol="1" rowPageCount="1" colPageCount="1"/>
  <pivotFields count="32">
    <pivotField compact="0" outline="0" subtotalTop="0" showAll="0" includeNewItemsInFilter="1">
      <items count="18">
        <item x="10"/>
        <item x="14"/>
        <item x="4"/>
        <item x="5"/>
        <item x="7"/>
        <item x="0"/>
        <item x="2"/>
        <item x="3"/>
        <item x="6"/>
        <item x="8"/>
        <item x="9"/>
        <item m="1" x="16"/>
        <item x="13"/>
        <item x="11"/>
        <item m="1" x="15"/>
        <item x="12"/>
        <item x="1"/>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axis="axisPage" compact="0" outline="0" multipleItemSelectionAllowed="1" showAll="0" defaultSubtotal="0">
      <items count="4">
        <item x="0"/>
        <item x="1"/>
        <item x="2"/>
        <item x="3"/>
      </items>
    </pivotField>
    <pivotField compact="0" outline="0" subtotalTop="0" showAll="0" includeNewItemsInFilter="1"/>
    <pivotField dataField="1" compact="0" outline="0" showAll="0" defaultSubtotal="0"/>
    <pivotField dataField="1" compact="0" outline="0" showAll="0" defaultSubtotal="0"/>
    <pivotField compact="0" outline="0" showAll="0" defaultSubtotal="0"/>
    <pivotField compact="0" outline="0" showAll="0" defaultSubtotal="0"/>
    <pivotField compact="0" outline="0" showAll="0" defaultSubtotal="0"/>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numFmtId="3" outline="0" subtotalTop="0" showAll="0" includeNewItemsInFilter="1"/>
    <pivotField compact="0" numFmtId="3" outline="0" showAll="0" defaultSubtotal="0"/>
    <pivotField compact="0" numFmtId="3" outline="0" showAll="0" defaultSubtotal="0"/>
    <pivotField compact="0" numFmtId="3" outline="0" showAll="0" defaultSubtotal="0"/>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1">
    <field x="-2"/>
  </rowFields>
  <rowItems count="2">
    <i>
      <x/>
    </i>
    <i i="1">
      <x v="1"/>
    </i>
  </rowItems>
  <colItems count="1">
    <i/>
  </colItems>
  <pageFields count="1">
    <pageField fld="8" hier="-1"/>
  </pageFields>
  <dataFields count="2">
    <dataField name="Average of Approximative % of NGCA beneficiaries" fld="10" subtotal="average" baseField="0" baseItem="3075528"/>
    <dataField name="Average of Approximative % of GCA beneficiaries" fld="11" subtotal="average" baseField="0" baseItem="3075528"/>
  </dataFields>
  <formats count="8">
    <format dxfId="43">
      <pivotArea outline="0" fieldPosition="0"/>
    </format>
    <format dxfId="42">
      <pivotArea field="0" type="button" dataOnly="0" labelOnly="1" outline="0"/>
    </format>
    <format dxfId="41">
      <pivotArea field="-2" type="button" dataOnly="0" labelOnly="1" outline="0" axis="axisRow" fieldPosition="0"/>
    </format>
    <format dxfId="40">
      <pivotArea outline="0" fieldPosition="0"/>
    </format>
    <format dxfId="39">
      <pivotArea type="all" dataOnly="0" outline="0" fieldPosition="0"/>
    </format>
    <format dxfId="38">
      <pivotArea outline="0" collapsedLevelsAreSubtotals="1" fieldPosition="0"/>
    </format>
    <format dxfId="37">
      <pivotArea field="-2" type="button" dataOnly="0" labelOnly="1" outline="0" axis="axisRow" fieldPosition="0"/>
    </format>
    <format dxfId="36">
      <pivotArea dataOnly="0" labelOnly="1" outline="0" fieldPosition="0">
        <references count="1">
          <reference field="4294967294" count="2">
            <x v="0"/>
            <x v="1"/>
          </reference>
        </references>
      </pivotArea>
    </format>
  </formats>
  <chartFormats count="4">
    <chartFormat chart="15" format="4" series="1">
      <pivotArea type="data" outline="0" fieldPosition="0">
        <references count="1">
          <reference field="4294967294" count="1" selected="0">
            <x v="0"/>
          </reference>
        </references>
      </pivotArea>
    </chartFormat>
    <chartFormat chart="15" format="5">
      <pivotArea type="data" outline="0" fieldPosition="0">
        <references count="1">
          <reference field="4294967294" count="1" selected="0">
            <x v="0"/>
          </reference>
        </references>
      </pivotArea>
    </chartFormat>
    <chartFormat chart="18" format="6" series="1">
      <pivotArea type="data" outline="0" fieldPosition="0">
        <references count="1">
          <reference field="4294967294" count="1" selected="0">
            <x v="0"/>
          </reference>
        </references>
      </pivotArea>
    </chartFormat>
    <chartFormat chart="18" format="7">
      <pivotArea type="data" outline="0" fieldPosition="0">
        <references count="1">
          <reference field="4294967294" count="1" selected="0">
            <x v="0"/>
          </reference>
        </references>
      </pivotArea>
    </chartFormat>
  </chartFormats>
  <pivotTableStyleInfo showRowHeaders="1" showColHeaders="1" showRowStripes="0" showColStripes="0" showLastColumn="1"/>
</pivotTableDefinition>
</file>

<file path=xl/pivotTables/pivotTable36.xml><?xml version="1.0" encoding="utf-8"?>
<pivotTableDefinition xmlns="http://schemas.openxmlformats.org/spreadsheetml/2006/main" name="PivotTable2" cacheId="2" dataOnRows="1" applyNumberFormats="0" applyBorderFormats="0" applyFontFormats="0" applyPatternFormats="0" applyAlignmentFormats="0" applyWidthHeightFormats="1" dataCaption="Data" updatedVersion="5" minRefreshableVersion="3" showMemberPropertyTips="0" itemPrintTitles="1" createdVersion="4" indent="0" compact="0" compactData="0" gridDropZones="1" chartFormat="10">
  <location ref="B8:C28" firstHeaderRow="2" firstDataRow="2" firstDataCol="1" rowPageCount="1" colPageCount="1"/>
  <pivotFields count="32">
    <pivotField compact="0" outline="0" subtotalTop="0" showAll="0" includeNewItemsInFilter="1"/>
    <pivotField compact="0" outline="0" subtotalTop="0" showAll="0" includeNewItemsInFilter="1"/>
    <pivotField axis="axisRow" compact="0" outline="0" subtotalTop="0" showAll="0" includeNewItemsInFilter="1">
      <items count="24">
        <item x="1"/>
        <item x="3"/>
        <item m="1" x="19"/>
        <item x="12"/>
        <item h="1" x="0"/>
        <item x="17"/>
        <item x="4"/>
        <item h="1" m="1" x="22"/>
        <item x="9"/>
        <item x="14"/>
        <item m="1" x="21"/>
        <item x="16"/>
        <item x="2"/>
        <item x="18"/>
        <item x="11"/>
        <item x="13"/>
        <item x="6"/>
        <item m="1" x="20"/>
        <item x="10"/>
        <item x="5"/>
        <item x="7"/>
        <item x="8"/>
        <item x="15"/>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axis="axisPage" compact="0" outline="0" multipleItemSelectionAllowed="1" showAll="0" defaultSubtotal="0">
      <items count="4">
        <item x="0"/>
        <item x="1"/>
        <item x="2"/>
        <item x="3"/>
      </items>
    </pivotField>
    <pivotField compact="0" outline="0" subtotalTop="0" showAll="0" includeNewItemsInFilter="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dataField="1" compact="0" numFmtId="3" outline="0" subtotalTop="0" showAll="0" includeNewItemsInFilter="1"/>
    <pivotField compact="0" numFmtId="3" outline="0" showAll="0" defaultSubtotal="0"/>
    <pivotField compact="0" numFmtId="3" outline="0" showAll="0" defaultSubtotal="0"/>
    <pivotField compact="0" numFmtId="3" outline="0" showAll="0" defaultSubtotal="0"/>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1">
    <field x="2"/>
  </rowFields>
  <rowItems count="19">
    <i>
      <x/>
    </i>
    <i>
      <x v="1"/>
    </i>
    <i>
      <x v="3"/>
    </i>
    <i>
      <x v="5"/>
    </i>
    <i>
      <x v="6"/>
    </i>
    <i>
      <x v="8"/>
    </i>
    <i>
      <x v="9"/>
    </i>
    <i>
      <x v="11"/>
    </i>
    <i>
      <x v="12"/>
    </i>
    <i>
      <x v="13"/>
    </i>
    <i>
      <x v="14"/>
    </i>
    <i>
      <x v="15"/>
    </i>
    <i>
      <x v="16"/>
    </i>
    <i>
      <x v="18"/>
    </i>
    <i>
      <x v="19"/>
    </i>
    <i>
      <x v="20"/>
    </i>
    <i>
      <x v="21"/>
    </i>
    <i>
      <x v="22"/>
    </i>
    <i t="grand">
      <x/>
    </i>
  </rowItems>
  <colItems count="1">
    <i/>
  </colItems>
  <pageFields count="1">
    <pageField fld="8" hier="-1"/>
  </pageFields>
  <dataFields count="1">
    <dataField name="Sum of Total budget of the project US$. For only WASH related cost (including related support costs)" fld="23" baseField="2" baseItem="5" numFmtId="3"/>
  </dataFields>
  <formats count="12">
    <format dxfId="55">
      <pivotArea outline="0" fieldPosition="0">
        <references count="1">
          <reference field="4294967294" count="1">
            <x v="0"/>
          </reference>
        </references>
      </pivotArea>
    </format>
    <format dxfId="54">
      <pivotArea outline="0" fieldPosition="0"/>
    </format>
    <format dxfId="53">
      <pivotArea type="origin" dataOnly="0" labelOnly="1" outline="0" fieldPosition="0"/>
    </format>
    <format dxfId="52">
      <pivotArea field="2" type="button" dataOnly="0" labelOnly="1" outline="0" axis="axisRow" fieldPosition="0"/>
    </format>
    <format dxfId="51">
      <pivotArea dataOnly="0" labelOnly="1" grandRow="1" outline="0" fieldPosition="0"/>
    </format>
    <format dxfId="50">
      <pivotArea outline="0" fieldPosition="0"/>
    </format>
    <format dxfId="49">
      <pivotArea type="topRight" dataOnly="0" labelOnly="1" outline="0" fieldPosition="0"/>
    </format>
    <format dxfId="48">
      <pivotArea type="all" dataOnly="0" outline="0" fieldPosition="0"/>
    </format>
    <format dxfId="47">
      <pivotArea outline="0" collapsedLevelsAreSubtotals="1" fieldPosition="0"/>
    </format>
    <format dxfId="46">
      <pivotArea type="topRight" dataOnly="0" labelOnly="1" outline="0" fieldPosition="0"/>
    </format>
    <format dxfId="45">
      <pivotArea dataOnly="0" labelOnly="1" outline="0" fieldPosition="0">
        <references count="1">
          <reference field="2" count="0"/>
        </references>
      </pivotArea>
    </format>
    <format dxfId="44">
      <pivotArea dataOnly="0" labelOnly="1" grandRow="1" outline="0" fieldPosition="0"/>
    </format>
  </formats>
  <chartFormats count="23">
    <chartFormat chart="0" format="0" series="1">
      <pivotArea type="data" outline="0" fieldPosition="0">
        <references count="1">
          <reference field="4294967294" count="1" selected="0">
            <x v="0"/>
          </reference>
        </references>
      </pivotArea>
    </chartFormat>
    <chartFormat chart="2" format="12" series="1">
      <pivotArea type="data" outline="0" fieldPosition="0">
        <references count="1">
          <reference field="4294967294" count="1" selected="0">
            <x v="0"/>
          </reference>
        </references>
      </pivotArea>
    </chartFormat>
    <chartFormat chart="3" format="13" series="1">
      <pivotArea type="data" outline="0" fieldPosition="0">
        <references count="1">
          <reference field="4294967294" count="1" selected="0">
            <x v="0"/>
          </reference>
        </references>
      </pivotArea>
    </chartFormat>
    <chartFormat chart="4" format="12" series="1">
      <pivotArea type="data" outline="0" fieldPosition="0">
        <references count="1">
          <reference field="4294967294" count="1" selected="0">
            <x v="0"/>
          </reference>
        </references>
      </pivotArea>
    </chartFormat>
    <chartFormat chart="0" format="12">
      <pivotArea type="data" outline="0" fieldPosition="0">
        <references count="2">
          <reference field="4294967294" count="1" selected="0">
            <x v="0"/>
          </reference>
          <reference field="2" count="1" selected="0">
            <x v="1"/>
          </reference>
        </references>
      </pivotArea>
    </chartFormat>
    <chartFormat chart="0" format="13">
      <pivotArea type="data" outline="0" fieldPosition="0">
        <references count="2">
          <reference field="4294967294" count="1" selected="0">
            <x v="0"/>
          </reference>
          <reference field="2" count="1" selected="0">
            <x v="12"/>
          </reference>
        </references>
      </pivotArea>
    </chartFormat>
    <chartFormat chart="8" format="14" series="1">
      <pivotArea type="data" outline="0" fieldPosition="0">
        <references count="1">
          <reference field="4294967294" count="1" selected="0">
            <x v="0"/>
          </reference>
        </references>
      </pivotArea>
    </chartFormat>
    <chartFormat chart="8" format="15">
      <pivotArea type="data" outline="0" fieldPosition="0">
        <references count="2">
          <reference field="4294967294" count="1" selected="0">
            <x v="0"/>
          </reference>
          <reference field="2" count="1" selected="0">
            <x v="1"/>
          </reference>
        </references>
      </pivotArea>
    </chartFormat>
    <chartFormat chart="8" format="16">
      <pivotArea type="data" outline="0" fieldPosition="0">
        <references count="2">
          <reference field="4294967294" count="1" selected="0">
            <x v="0"/>
          </reference>
          <reference field="2" count="1" selected="0">
            <x v="12"/>
          </reference>
        </references>
      </pivotArea>
    </chartFormat>
    <chartFormat chart="8" format="17">
      <pivotArea type="data" outline="0" fieldPosition="0">
        <references count="2">
          <reference field="4294967294" count="1" selected="0">
            <x v="0"/>
          </reference>
          <reference field="2" count="1" selected="0">
            <x v="16"/>
          </reference>
        </references>
      </pivotArea>
    </chartFormat>
    <chartFormat chart="8" format="18">
      <pivotArea type="data" outline="0" fieldPosition="0">
        <references count="2">
          <reference field="4294967294" count="1" selected="0">
            <x v="0"/>
          </reference>
          <reference field="2" count="1" selected="0">
            <x v="2"/>
          </reference>
        </references>
      </pivotArea>
    </chartFormat>
    <chartFormat chart="8" format="19">
      <pivotArea type="data" outline="0" fieldPosition="0">
        <references count="2">
          <reference field="4294967294" count="1" selected="0">
            <x v="0"/>
          </reference>
          <reference field="2" count="1" selected="0">
            <x v="6"/>
          </reference>
        </references>
      </pivotArea>
    </chartFormat>
    <chartFormat chart="8" format="20">
      <pivotArea type="data" outline="0" fieldPosition="0">
        <references count="2">
          <reference field="4294967294" count="1" selected="0">
            <x v="0"/>
          </reference>
          <reference field="2" count="1" selected="0">
            <x v="8"/>
          </reference>
        </references>
      </pivotArea>
    </chartFormat>
    <chartFormat chart="8" format="21">
      <pivotArea type="data" outline="0" fieldPosition="0">
        <references count="2">
          <reference field="4294967294" count="1" selected="0">
            <x v="0"/>
          </reference>
          <reference field="2" count="1" selected="0">
            <x v="17"/>
          </reference>
        </references>
      </pivotArea>
    </chartFormat>
    <chartFormat chart="8" format="22">
      <pivotArea type="data" outline="0" fieldPosition="0">
        <references count="2">
          <reference field="4294967294" count="1" selected="0">
            <x v="0"/>
          </reference>
          <reference field="2" count="1" selected="0">
            <x v="13"/>
          </reference>
        </references>
      </pivotArea>
    </chartFormat>
    <chartFormat chart="8" format="23">
      <pivotArea type="data" outline="0" fieldPosition="0">
        <references count="2">
          <reference field="4294967294" count="1" selected="0">
            <x v="0"/>
          </reference>
          <reference field="2" count="1" selected="0">
            <x v="9"/>
          </reference>
        </references>
      </pivotArea>
    </chartFormat>
    <chartFormat chart="8" format="24">
      <pivotArea type="data" outline="0" fieldPosition="0">
        <references count="2">
          <reference field="4294967294" count="1" selected="0">
            <x v="0"/>
          </reference>
          <reference field="2" count="1" selected="0">
            <x v="11"/>
          </reference>
        </references>
      </pivotArea>
    </chartFormat>
    <chartFormat chart="8" format="25">
      <pivotArea type="data" outline="0" fieldPosition="0">
        <references count="2">
          <reference field="4294967294" count="1" selected="0">
            <x v="0"/>
          </reference>
          <reference field="2" count="1" selected="0">
            <x v="15"/>
          </reference>
        </references>
      </pivotArea>
    </chartFormat>
    <chartFormat chart="8" format="26">
      <pivotArea type="data" outline="0" fieldPosition="0">
        <references count="2">
          <reference field="4294967294" count="1" selected="0">
            <x v="0"/>
          </reference>
          <reference field="2" count="1" selected="0">
            <x v="3"/>
          </reference>
        </references>
      </pivotArea>
    </chartFormat>
    <chartFormat chart="8" format="27">
      <pivotArea type="data" outline="0" fieldPosition="0">
        <references count="2">
          <reference field="4294967294" count="1" selected="0">
            <x v="0"/>
          </reference>
          <reference field="2" count="1" selected="0">
            <x v="5"/>
          </reference>
        </references>
      </pivotArea>
    </chartFormat>
    <chartFormat chart="8" format="28">
      <pivotArea type="data" outline="0" fieldPosition="0">
        <references count="2">
          <reference field="4294967294" count="1" selected="0">
            <x v="0"/>
          </reference>
          <reference field="2" count="1" selected="0">
            <x v="14"/>
          </reference>
        </references>
      </pivotArea>
    </chartFormat>
    <chartFormat chart="8" format="29">
      <pivotArea type="data" outline="0" fieldPosition="0">
        <references count="2">
          <reference field="4294967294" count="1" selected="0">
            <x v="0"/>
          </reference>
          <reference field="2" count="1" selected="0">
            <x v="0"/>
          </reference>
        </references>
      </pivotArea>
    </chartFormat>
    <chartFormat chart="8" format="30">
      <pivotArea type="data" outline="0" fieldPosition="0">
        <references count="2">
          <reference field="4294967294" count="1" selected="0">
            <x v="0"/>
          </reference>
          <reference field="2" count="1" selected="0">
            <x v="10"/>
          </reference>
        </references>
      </pivotArea>
    </chartFormat>
  </chartFormats>
  <pivotTableStyleInfo showRowHeaders="1" showColHeaders="1" showRowStripes="0" showColStripes="0" showLastColumn="1"/>
</pivotTableDefinition>
</file>

<file path=xl/pivotTables/pivotTable37.xml><?xml version="1.0" encoding="utf-8"?>
<pivotTableDefinition xmlns="http://schemas.openxmlformats.org/spreadsheetml/2006/main" name="PivotTable4" cacheId="2" dataOnRows="1" applyNumberFormats="0" applyBorderFormats="0" applyFontFormats="0" applyPatternFormats="0" applyAlignmentFormats="0" applyWidthHeightFormats="1" dataCaption="Data" updatedVersion="5" minRefreshableVersion="3" showMemberPropertyTips="0" itemPrintTitles="1" createdVersion="4" indent="0" compact="0" compactData="0" gridDropZones="1" chartFormat="16">
  <location ref="B56:C62" firstHeaderRow="2" firstDataRow="2" firstDataCol="1" rowPageCount="1" colPageCount="1"/>
  <pivotFields count="32">
    <pivotField compact="0" outline="0" subtotalTop="0" showAll="0" includeNewItemsInFilter="1"/>
    <pivotField compact="0" outline="0" subtotalTop="0" showAll="0" includeNewItemsInFilter="1"/>
    <pivotField axis="axisPage" compact="0" outline="0" subtotalTop="0" multipleItemSelectionAllowed="1" showAll="0" includeNewItemsInFilter="1">
      <items count="24">
        <item x="1"/>
        <item x="3"/>
        <item m="1" x="19"/>
        <item x="12"/>
        <item h="1" x="0"/>
        <item x="17"/>
        <item x="4"/>
        <item h="1" m="1" x="22"/>
        <item x="9"/>
        <item x="14"/>
        <item m="1" x="21"/>
        <item x="16"/>
        <item x="2"/>
        <item x="18"/>
        <item x="11"/>
        <item x="13"/>
        <item x="6"/>
        <item m="1" x="20"/>
        <item x="10"/>
        <item x="5"/>
        <item x="7"/>
        <item x="8"/>
        <item x="15"/>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axis="axisRow" compact="0" outline="0" showAll="0" defaultSubtotal="0">
      <items count="4">
        <item x="0"/>
        <item x="1"/>
        <item x="2"/>
        <item x="3"/>
      </items>
    </pivotField>
    <pivotField compact="0" outline="0" subtotalTop="0" showAll="0" includeNewItemsInFilter="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dataField="1" compact="0" numFmtId="3" outline="0" subtotalTop="0" showAll="0" includeNewItemsInFilter="1"/>
    <pivotField compact="0" numFmtId="3" outline="0" showAll="0" defaultSubtotal="0"/>
    <pivotField compact="0" numFmtId="3" outline="0" showAll="0" defaultSubtotal="0"/>
    <pivotField compact="0" numFmtId="3" outline="0" showAll="0" defaultSubtotal="0"/>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1">
    <field x="8"/>
  </rowFields>
  <rowItems count="5">
    <i>
      <x/>
    </i>
    <i>
      <x v="1"/>
    </i>
    <i>
      <x v="2"/>
    </i>
    <i>
      <x v="3"/>
    </i>
    <i t="grand">
      <x/>
    </i>
  </rowItems>
  <colItems count="1">
    <i/>
  </colItems>
  <pageFields count="1">
    <pageField fld="2" hier="-1"/>
  </pageFields>
  <dataFields count="1">
    <dataField name="Sum of Total budget of the project US$. For only WASH related cost (including related support costs)" fld="23" baseField="0" baseItem="0" numFmtId="3"/>
  </dataFields>
  <formats count="12">
    <format dxfId="67">
      <pivotArea outline="0" fieldPosition="0">
        <references count="1">
          <reference field="4294967294" count="1">
            <x v="0"/>
          </reference>
        </references>
      </pivotArea>
    </format>
    <format dxfId="66">
      <pivotArea outline="0" fieldPosition="0"/>
    </format>
    <format dxfId="65">
      <pivotArea type="origin" dataOnly="0" labelOnly="1" outline="0" fieldPosition="0"/>
    </format>
    <format dxfId="64">
      <pivotArea field="2" type="button" dataOnly="0" labelOnly="1" outline="0" axis="axisPage" fieldPosition="0"/>
    </format>
    <format dxfId="63">
      <pivotArea dataOnly="0" labelOnly="1" grandRow="1" outline="0" fieldPosition="0"/>
    </format>
    <format dxfId="62">
      <pivotArea outline="0" fieldPosition="0"/>
    </format>
    <format dxfId="61">
      <pivotArea type="topRight" dataOnly="0" labelOnly="1" outline="0" fieldPosition="0"/>
    </format>
    <format dxfId="60">
      <pivotArea type="all" dataOnly="0" outline="0" fieldPosition="0"/>
    </format>
    <format dxfId="59">
      <pivotArea outline="0" collapsedLevelsAreSubtotals="1" fieldPosition="0"/>
    </format>
    <format dxfId="58">
      <pivotArea type="topRight" dataOnly="0" labelOnly="1" outline="0" fieldPosition="0"/>
    </format>
    <format dxfId="57">
      <pivotArea dataOnly="0" labelOnly="1" outline="0" fieldPosition="0">
        <references count="1">
          <reference field="8" count="0"/>
        </references>
      </pivotArea>
    </format>
    <format dxfId="56">
      <pivotArea dataOnly="0" labelOnly="1" grandRow="1" outline="0" fieldPosition="0"/>
    </format>
  </formats>
  <chartFormats count="6">
    <chartFormat chart="0" format="0" series="1">
      <pivotArea type="data" outline="0" fieldPosition="0">
        <references count="1">
          <reference field="4294967294" count="1" selected="0">
            <x v="0"/>
          </reference>
        </references>
      </pivotArea>
    </chartFormat>
    <chartFormat chart="2" format="12" series="1">
      <pivotArea type="data" outline="0" fieldPosition="0">
        <references count="1">
          <reference field="4294967294" count="1" selected="0">
            <x v="0"/>
          </reference>
        </references>
      </pivotArea>
    </chartFormat>
    <chartFormat chart="3" format="13" series="1">
      <pivotArea type="data" outline="0" fieldPosition="0">
        <references count="1">
          <reference field="4294967294" count="1" selected="0">
            <x v="0"/>
          </reference>
        </references>
      </pivotArea>
    </chartFormat>
    <chartFormat chart="4" format="12" series="1">
      <pivotArea type="data" outline="0" fieldPosition="0">
        <references count="1">
          <reference field="4294967294" count="1" selected="0">
            <x v="0"/>
          </reference>
        </references>
      </pivotArea>
    </chartFormat>
    <chartFormat chart="7" format="0" series="1">
      <pivotArea type="data" outline="0" fieldPosition="0">
        <references count="1">
          <reference field="4294967294" count="1" selected="0">
            <x v="0"/>
          </reference>
        </references>
      </pivotArea>
    </chartFormat>
    <chartFormat chart="11" format="1" series="1">
      <pivotArea type="data" outline="0" fieldPosition="0">
        <references count="1">
          <reference field="4294967294" count="1" selected="0">
            <x v="0"/>
          </reference>
        </references>
      </pivotArea>
    </chartFormat>
  </chartFormats>
  <pivotTableStyleInfo showRowHeaders="1" showColHeaders="1" showRowStripes="0" showColStripes="0" showLastColumn="1"/>
</pivotTableDefinition>
</file>

<file path=xl/pivotTables/pivotTable38.xml><?xml version="1.0" encoding="utf-8"?>
<pivotTableDefinition xmlns="http://schemas.openxmlformats.org/spreadsheetml/2006/main" name="PivotTable6" cacheId="2" dataOnRows="1" applyNumberFormats="0" applyBorderFormats="0" applyFontFormats="0" applyPatternFormats="0" applyAlignmentFormats="0" applyWidthHeightFormats="1" dataCaption="Data" updatedVersion="5" minRefreshableVersion="3" showMemberPropertyTips="0" itemPrintTitles="1" createdVersion="4" indent="0" compact="0" compactData="0" gridDropZones="1" chartFormat="3">
  <location ref="B153:G157" firstHeaderRow="1" firstDataRow="2" firstDataCol="1"/>
  <pivotFields count="32">
    <pivotField compact="0" outline="0" subtotalTop="0" showAll="0" includeNewItemsInFilter="1">
      <items count="18">
        <item x="10"/>
        <item x="14"/>
        <item x="4"/>
        <item x="5"/>
        <item x="7"/>
        <item x="0"/>
        <item x="2"/>
        <item x="3"/>
        <item x="6"/>
        <item x="8"/>
        <item x="9"/>
        <item m="1" x="16"/>
        <item x="13"/>
        <item x="11"/>
        <item m="1" x="15"/>
        <item x="12"/>
        <item x="1"/>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axis="axisCol" compact="0" outline="0" showAll="0" defaultSubtotal="0">
      <items count="4">
        <item x="0"/>
        <item x="1"/>
        <item x="2"/>
        <item x="3"/>
      </items>
    </pivotField>
    <pivotField compact="0" outline="0" subtotalTop="0" showAll="0" includeNewItemsInFilter="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ubtotalTop="0" showAll="0" includeNewItemsInFilter="1"/>
    <pivotField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numFmtId="3" outline="0" subtotalTop="0" showAll="0" includeNewItemsInFilter="1"/>
    <pivotField compact="0" numFmtId="3" outline="0" showAll="0" defaultSubtotal="0"/>
    <pivotField compact="0" numFmtId="3" outline="0" showAll="0" defaultSubtotal="0"/>
    <pivotField compact="0" numFmtId="3" outline="0" showAll="0" defaultSubtotal="0"/>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1">
    <field x="-2"/>
  </rowFields>
  <rowItems count="3">
    <i>
      <x/>
    </i>
    <i i="1">
      <x v="1"/>
    </i>
    <i i="2">
      <x v="2"/>
    </i>
  </rowItems>
  <colFields count="1">
    <field x="8"/>
  </colFields>
  <colItems count="5">
    <i>
      <x/>
    </i>
    <i>
      <x v="1"/>
    </i>
    <i>
      <x v="2"/>
    </i>
    <i>
      <x v="3"/>
    </i>
    <i t="grand">
      <x/>
    </i>
  </colItems>
  <dataFields count="3">
    <dataField name="Number of sanitation beneficiaries" fld="17" baseField="0" baseItem="3207800"/>
    <dataField name="Number of water access beneficiaries" fld="18" baseField="0" baseItem="3207800"/>
    <dataField name=" Number of beneficiairies for HE" fld="19" baseField="0" baseItem="3207800"/>
  </dataFields>
  <formats count="10">
    <format dxfId="77">
      <pivotArea outline="0" fieldPosition="0"/>
    </format>
    <format dxfId="76">
      <pivotArea field="0" type="button" dataOnly="0" labelOnly="1" outline="0"/>
    </format>
    <format dxfId="75">
      <pivotArea field="-2" type="button" dataOnly="0" labelOnly="1" outline="0" axis="axisRow" fieldPosition="0"/>
    </format>
    <format dxfId="74">
      <pivotArea outline="0" fieldPosition="0"/>
    </format>
    <format dxfId="73">
      <pivotArea outline="0" collapsedLevelsAreSubtotals="1" fieldPosition="0"/>
    </format>
    <format dxfId="72">
      <pivotArea type="all" dataOnly="0" outline="0" fieldPosition="0"/>
    </format>
    <format dxfId="71">
      <pivotArea outline="0" collapsedLevelsAreSubtotals="1" fieldPosition="0"/>
    </format>
    <format dxfId="70">
      <pivotArea dataOnly="0" labelOnly="1" outline="0" fieldPosition="0">
        <references count="1">
          <reference field="4294967294" count="3">
            <x v="0"/>
            <x v="1"/>
            <x v="2"/>
          </reference>
        </references>
      </pivotArea>
    </format>
    <format dxfId="69">
      <pivotArea dataOnly="0" labelOnly="1" outline="0" fieldPosition="0">
        <references count="1">
          <reference field="8" count="0"/>
        </references>
      </pivotArea>
    </format>
    <format dxfId="68">
      <pivotArea dataOnly="0" labelOnly="1" grandCol="1" outline="0" fieldPosition="0"/>
    </format>
  </formats>
  <chartFormats count="5">
    <chartFormat chart="1" format="0" series="1">
      <pivotArea type="data" outline="0" fieldPosition="0">
        <references count="1">
          <reference field="4294967294" count="1" selected="0">
            <x v="0"/>
          </reference>
        </references>
      </pivotArea>
    </chartFormat>
    <chartFormat chart="2" format="1" series="1">
      <pivotArea type="data" outline="0" fieldPosition="0">
        <references count="2">
          <reference field="4294967294" count="1" selected="0">
            <x v="0"/>
          </reference>
          <reference field="8" count="1" selected="0">
            <x v="0"/>
          </reference>
        </references>
      </pivotArea>
    </chartFormat>
    <chartFormat chart="2" format="2" series="1">
      <pivotArea type="data" outline="0" fieldPosition="0">
        <references count="2">
          <reference field="4294967294" count="1" selected="0">
            <x v="0"/>
          </reference>
          <reference field="8" count="1" selected="0">
            <x v="1"/>
          </reference>
        </references>
      </pivotArea>
    </chartFormat>
    <chartFormat chart="2" format="3" series="1">
      <pivotArea type="data" outline="0" fieldPosition="0">
        <references count="2">
          <reference field="4294967294" count="1" selected="0">
            <x v="0"/>
          </reference>
          <reference field="8" count="1" selected="0">
            <x v="2"/>
          </reference>
        </references>
      </pivotArea>
    </chartFormat>
    <chartFormat chart="2" format="4" series="1">
      <pivotArea type="data" outline="0" fieldPosition="0">
        <references count="2">
          <reference field="4294967294" count="1" selected="0">
            <x v="0"/>
          </reference>
          <reference field="8" count="1" selected="0">
            <x v="3"/>
          </reference>
        </references>
      </pivotArea>
    </chartFormat>
  </chartFormats>
  <pivotTableStyleInfo showRowHeaders="1" showColHeaders="1" showRowStripes="0" showColStripes="0" showLastColumn="1"/>
</pivotTableDefinition>
</file>

<file path=xl/pivotTables/pivotTable39.xml><?xml version="1.0" encoding="utf-8"?>
<pivotTableDefinition xmlns="http://schemas.openxmlformats.org/spreadsheetml/2006/main" name="PivotTable7" cacheId="2" dataOnRows="1" applyNumberFormats="0" applyBorderFormats="0" applyFontFormats="0" applyPatternFormats="0" applyAlignmentFormats="0" applyWidthHeightFormats="1" dataCaption="Data" updatedVersion="5" minRefreshableVersion="3" showMemberPropertyTips="0" itemPrintTitles="1" createdVersion="4" indent="0" compact="0" compactData="0" gridDropZones="1" chartFormat="4">
  <location ref="B169:G173" firstHeaderRow="1" firstDataRow="2" firstDataCol="1" rowPageCount="1" colPageCount="1"/>
  <pivotFields count="32">
    <pivotField axis="axisPage" compact="0" outline="0" subtotalTop="0" showAll="0" includeNewItemsInFilter="1">
      <items count="18">
        <item x="10"/>
        <item x="14"/>
        <item x="4"/>
        <item x="5"/>
        <item x="7"/>
        <item x="0"/>
        <item x="2"/>
        <item x="3"/>
        <item x="6"/>
        <item x="8"/>
        <item x="9"/>
        <item m="1" x="16"/>
        <item x="13"/>
        <item x="11"/>
        <item m="1" x="15"/>
        <item x="12"/>
        <item x="1"/>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axis="axisCol" compact="0" outline="0" showAll="0" defaultSubtotal="0">
      <items count="4">
        <item x="0"/>
        <item x="1"/>
        <item x="2"/>
        <item x="3"/>
      </items>
    </pivotField>
    <pivotField compact="0" outline="0" subtotalTop="0" showAll="0" includeNewItemsInFilter="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compact="0" numFmtId="3" outline="0" subtotalTop="0" showAll="0" includeNewItemsInFilter="1"/>
    <pivotField compact="0" numFmtId="3" outline="0" showAll="0" defaultSubtotal="0"/>
    <pivotField compact="0" numFmtId="3" outline="0" showAll="0" defaultSubtotal="0"/>
    <pivotField compact="0" numFmtId="3" outline="0" showAll="0" defaultSubtotal="0"/>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1">
    <field x="-2"/>
  </rowFields>
  <rowItems count="3">
    <i>
      <x/>
    </i>
    <i i="1">
      <x v="1"/>
    </i>
    <i i="2">
      <x v="2"/>
    </i>
  </rowItems>
  <colFields count="1">
    <field x="8"/>
  </colFields>
  <colItems count="5">
    <i>
      <x/>
    </i>
    <i>
      <x v="1"/>
    </i>
    <i>
      <x v="2"/>
    </i>
    <i>
      <x v="3"/>
    </i>
    <i t="grand">
      <x/>
    </i>
  </colItems>
  <pageFields count="1">
    <pageField fld="0" hier="0"/>
  </pageFields>
  <dataFields count="3">
    <dataField name=" Nb of sanitation beneficiaries" fld="20" baseField="0" baseItem="3207800"/>
    <dataField name="Nb of water access beneficiaries" fld="21" baseField="0" baseItem="3207800"/>
    <dataField name="Nb of beneficiairies for HE in host" fld="22" baseField="0" baseItem="3207800"/>
  </dataFields>
  <formats count="11">
    <format dxfId="88">
      <pivotArea outline="0" fieldPosition="0"/>
    </format>
    <format dxfId="87">
      <pivotArea field="0" type="button" dataOnly="0" labelOnly="1" outline="0" axis="axisPage" fieldPosition="0"/>
    </format>
    <format dxfId="86">
      <pivotArea field="-2" type="button" dataOnly="0" labelOnly="1" outline="0" axis="axisRow" fieldPosition="0"/>
    </format>
    <format dxfId="85">
      <pivotArea outline="0" fieldPosition="0"/>
    </format>
    <format dxfId="84">
      <pivotArea dataOnly="0" labelOnly="1" outline="0" fieldPosition="0">
        <references count="1">
          <reference field="0" count="0"/>
        </references>
      </pivotArea>
    </format>
    <format dxfId="83">
      <pivotArea outline="0" collapsedLevelsAreSubtotals="1" fieldPosition="0"/>
    </format>
    <format dxfId="82">
      <pivotArea type="all" dataOnly="0" outline="0" fieldPosition="0"/>
    </format>
    <format dxfId="81">
      <pivotArea outline="0" collapsedLevelsAreSubtotals="1" fieldPosition="0"/>
    </format>
    <format dxfId="80">
      <pivotArea dataOnly="0" labelOnly="1" outline="0" fieldPosition="0">
        <references count="1">
          <reference field="4294967294" count="3">
            <x v="0"/>
            <x v="1"/>
            <x v="2"/>
          </reference>
        </references>
      </pivotArea>
    </format>
    <format dxfId="79">
      <pivotArea dataOnly="0" labelOnly="1" outline="0" fieldPosition="0">
        <references count="1">
          <reference field="8" count="0"/>
        </references>
      </pivotArea>
    </format>
    <format dxfId="78">
      <pivotArea dataOnly="0" labelOnly="1" grandCol="1" outline="0" fieldPosition="0"/>
    </format>
  </formats>
  <chartFormats count="5">
    <chartFormat chart="2" format="0" series="1">
      <pivotArea type="data" outline="0" fieldPosition="0">
        <references count="1">
          <reference field="4294967294" count="1" selected="0">
            <x v="0"/>
          </reference>
        </references>
      </pivotArea>
    </chartFormat>
    <chartFormat chart="3" format="1" series="1">
      <pivotArea type="data" outline="0" fieldPosition="0">
        <references count="2">
          <reference field="4294967294" count="1" selected="0">
            <x v="0"/>
          </reference>
          <reference field="8" count="1" selected="0">
            <x v="0"/>
          </reference>
        </references>
      </pivotArea>
    </chartFormat>
    <chartFormat chart="3" format="2" series="1">
      <pivotArea type="data" outline="0" fieldPosition="0">
        <references count="2">
          <reference field="4294967294" count="1" selected="0">
            <x v="0"/>
          </reference>
          <reference field="8" count="1" selected="0">
            <x v="1"/>
          </reference>
        </references>
      </pivotArea>
    </chartFormat>
    <chartFormat chart="3" format="3" series="1">
      <pivotArea type="data" outline="0" fieldPosition="0">
        <references count="2">
          <reference field="4294967294" count="1" selected="0">
            <x v="0"/>
          </reference>
          <reference field="8" count="1" selected="0">
            <x v="2"/>
          </reference>
        </references>
      </pivotArea>
    </chartFormat>
    <chartFormat chart="3" format="4" series="1">
      <pivotArea type="data" outline="0" fieldPosition="0">
        <references count="2">
          <reference field="4294967294" count="1" selected="0">
            <x v="0"/>
          </reference>
          <reference field="8" count="1" selected="0">
            <x v="3"/>
          </reference>
        </references>
      </pivotArea>
    </chartFormat>
  </chartFormats>
  <pivotTableStyleInfo showRowHeaders="1" showColHeaders="1" showRowStripes="0" showColStripes="0" showLastColumn="1"/>
</pivotTableDefinition>
</file>

<file path=xl/pivotTables/pivotTable4.xml><?xml version="1.0" encoding="utf-8"?>
<pivotTableDefinition xmlns="http://schemas.openxmlformats.org/spreadsheetml/2006/main" name="PivotTable8"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6">
  <location ref="B63:E74" firstHeaderRow="0" firstDataRow="1" firstDataCol="1" rowPageCount="3" colPageCount="1"/>
  <pivotFields count="94">
    <pivotField showAll="0"/>
    <pivotField showAll="0"/>
    <pivotField axis="axisRow" showAll="0">
      <items count="11">
        <item x="2"/>
        <item x="1"/>
        <item x="9"/>
        <item x="7"/>
        <item x="0"/>
        <item x="8"/>
        <item x="4"/>
        <item x="5"/>
        <item x="3"/>
        <item x="6"/>
        <item t="default"/>
      </items>
    </pivotField>
    <pivotField showAll="0"/>
    <pivotField showAll="0"/>
    <pivotField showAll="0"/>
    <pivotField axis="axisPage" multipleItemSelectionAllowed="1" showAll="0">
      <items count="4">
        <item x="0"/>
        <item h="1" x="2"/>
        <item h="1" x="1"/>
        <item t="default"/>
      </items>
    </pivotField>
    <pivotField axis="axisPage" showAll="0">
      <items count="3">
        <item x="0"/>
        <item x="1"/>
        <item t="default"/>
      </items>
    </pivotField>
    <pivotField showAll="0"/>
    <pivotField showAll="0"/>
    <pivotField showAll="0"/>
    <pivotField showAll="0"/>
    <pivotField showAll="0" defaultSubtotal="0"/>
    <pivotField showAll="0"/>
    <pivotField showAll="0"/>
    <pivotField showAll="0" defaultSubtotal="0"/>
    <pivotField showAll="0" defaultSubtotal="0"/>
    <pivotField showAll="0"/>
    <pivotField axis="axisPage" showAll="0" defaultSubtotal="0">
      <items count="2">
        <item x="0"/>
        <item x="1"/>
      </items>
    </pivotField>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defaultSubtotal="0"/>
    <pivotField numFmtId="1" showAll="0"/>
    <pivotField showAll="0"/>
    <pivotField showAll="0"/>
    <pivotField showAll="0"/>
    <pivotField showAll="0"/>
    <pivotField dataField="1" dragToRow="0" dragToCol="0" dragToPage="0" showAll="0" defaultSubtotal="0"/>
    <pivotField dataField="1"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2"/>
  </rowFields>
  <rowItems count="11">
    <i>
      <x/>
    </i>
    <i>
      <x v="1"/>
    </i>
    <i>
      <x v="2"/>
    </i>
    <i>
      <x v="3"/>
    </i>
    <i>
      <x v="4"/>
    </i>
    <i>
      <x v="5"/>
    </i>
    <i>
      <x v="6"/>
    </i>
    <i>
      <x v="7"/>
    </i>
    <i>
      <x v="8"/>
    </i>
    <i>
      <x v="9"/>
    </i>
    <i t="grand">
      <x/>
    </i>
  </rowItems>
  <colFields count="1">
    <field x="-2"/>
  </colFields>
  <colItems count="3">
    <i>
      <x/>
    </i>
    <i i="1">
      <x v="1"/>
    </i>
    <i i="2">
      <x v="2"/>
    </i>
  </colItems>
  <pageFields count="3">
    <pageField fld="6" hier="-1"/>
    <pageField fld="7" hier="-1"/>
    <pageField fld="18" hier="-1"/>
  </pageFields>
  <dataFields count="3">
    <dataField name="% Water Need coverage" fld="84" baseField="0" baseItem="0" numFmtId="1"/>
    <dataField name="% Latrine need coverage" fld="85" baseField="0" baseItem="0" numFmtId="1"/>
    <dataField name="% Bathroom need coverage" fld="86" baseField="0" baseItem="0" numFmtId="1"/>
  </dataFields>
  <formats count="5">
    <format dxfId="115">
      <pivotArea outline="0" collapsedLevelsAreSubtotals="1" fieldPosition="0"/>
    </format>
    <format dxfId="114">
      <pivotArea field="2" type="button" dataOnly="0" labelOnly="1" outline="0" axis="axisRow" fieldPosition="0"/>
    </format>
    <format dxfId="113">
      <pivotArea dataOnly="0" labelOnly="1" outline="0" fieldPosition="0">
        <references count="1">
          <reference field="4294967294" count="3">
            <x v="0"/>
            <x v="1"/>
            <x v="2"/>
          </reference>
        </references>
      </pivotArea>
    </format>
    <format dxfId="112">
      <pivotArea outline="0" collapsedLevelsAreSubtotals="1" fieldPosition="0"/>
    </format>
    <format dxfId="111">
      <pivotArea dataOnly="0" labelOnly="1" outline="0" fieldPosition="0">
        <references count="1">
          <reference field="4294967294" count="3">
            <x v="0"/>
            <x v="1"/>
            <x v="2"/>
          </reference>
        </references>
      </pivotArea>
    </format>
  </formats>
  <chartFormats count="9">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 chart="2" format="18" series="1">
      <pivotArea type="data" outline="0" fieldPosition="0">
        <references count="1">
          <reference field="4294967294" count="1" selected="0">
            <x v="0"/>
          </reference>
        </references>
      </pivotArea>
    </chartFormat>
    <chartFormat chart="2" format="19" series="1">
      <pivotArea type="data" outline="0" fieldPosition="0">
        <references count="1">
          <reference field="4294967294" count="1" selected="0">
            <x v="1"/>
          </reference>
        </references>
      </pivotArea>
    </chartFormat>
    <chartFormat chart="2" format="20" series="1">
      <pivotArea type="data" outline="0" fieldPosition="0">
        <references count="1">
          <reference field="4294967294" count="1" selected="0">
            <x v="2"/>
          </reference>
        </references>
      </pivotArea>
    </chartFormat>
    <chartFormat chart="5" format="24" series="1">
      <pivotArea type="data" outline="0" fieldPosition="0">
        <references count="1">
          <reference field="4294967294" count="1" selected="0">
            <x v="0"/>
          </reference>
        </references>
      </pivotArea>
    </chartFormat>
    <chartFormat chart="5" format="25" series="1">
      <pivotArea type="data" outline="0" fieldPosition="0">
        <references count="1">
          <reference field="4294967294" count="1" selected="0">
            <x v="1"/>
          </reference>
        </references>
      </pivotArea>
    </chartFormat>
    <chartFormat chart="5" format="26"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0.xml><?xml version="1.0" encoding="utf-8"?>
<pivotTableDefinition xmlns="http://schemas.openxmlformats.org/spreadsheetml/2006/main" name="PivotTable3" cacheId="2" dataOnRows="1" applyNumberFormats="0" applyBorderFormats="0" applyFontFormats="0" applyPatternFormats="0" applyAlignmentFormats="0" applyWidthHeightFormats="1" dataCaption="Data" updatedVersion="5" minRefreshableVersion="3" showMemberPropertyTips="0" itemPrintTitles="1" createdVersion="4" indent="0" compact="0" compactData="0" gridDropZones="1" chartFormat="4">
  <location ref="B140:C143" firstHeaderRow="1" firstDataRow="1" firstDataCol="1" rowPageCount="1" colPageCount="1"/>
  <pivotFields count="32">
    <pivotField compact="0" outline="0" subtotalTop="0" showAll="0" includeNewItemsInFilter="1">
      <items count="18">
        <item x="10"/>
        <item x="14"/>
        <item x="4"/>
        <item x="5"/>
        <item x="7"/>
        <item x="0"/>
        <item x="2"/>
        <item x="3"/>
        <item x="6"/>
        <item x="8"/>
        <item x="9"/>
        <item m="1" x="16"/>
        <item x="13"/>
        <item x="11"/>
        <item m="1" x="15"/>
        <item x="12"/>
        <item x="1"/>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axis="axisPage" compact="0" outline="0" showAll="0" defaultSubtotal="0">
      <items count="4">
        <item x="0"/>
        <item x="1"/>
        <item x="2"/>
        <item x="3"/>
      </items>
    </pivotField>
    <pivotField compact="0" outline="0" subtotalTop="0" showAll="0" includeNewItemsInFilter="1"/>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numFmtId="3" outline="0" subtotalTop="0" showAll="0" includeNewItemsInFilter="1"/>
    <pivotField compact="0" numFmtId="3" outline="0" showAll="0" defaultSubtotal="0"/>
    <pivotField compact="0" numFmtId="3" outline="0" showAll="0" defaultSubtotal="0"/>
    <pivotField compact="0" numFmtId="3" outline="0" showAll="0" defaultSubtotal="0"/>
    <pivotField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compact="0" outline="0" subtotalTop="0" showAll="0" includeNewItemsInFilter="1"/>
  </pivotFields>
  <rowFields count="1">
    <field x="-2"/>
  </rowFields>
  <rowItems count="3">
    <i>
      <x/>
    </i>
    <i i="1">
      <x v="1"/>
    </i>
    <i i="2">
      <x v="2"/>
    </i>
  </rowItems>
  <colItems count="1">
    <i/>
  </colItems>
  <pageFields count="1">
    <pageField fld="8" hier="-1"/>
  </pageFields>
  <dataFields count="3">
    <dataField name="Average of Approximate % of fund dedicated to sanitation" fld="28" subtotal="average" baseField="0" baseItem="29047"/>
    <dataField name="Average of Approximate % fund dedicated to Water access" fld="29" subtotal="average" baseField="0" baseItem="29047"/>
    <dataField name="Average of Approximate % of fund dedicated to HP" fld="30" subtotal="average" baseField="0" baseItem="29047"/>
  </dataFields>
  <formats count="9">
    <format dxfId="97">
      <pivotArea outline="0" fieldPosition="0"/>
    </format>
    <format dxfId="96">
      <pivotArea field="0" type="button" dataOnly="0" labelOnly="1" outline="0"/>
    </format>
    <format dxfId="95">
      <pivotArea field="-2" type="button" dataOnly="0" labelOnly="1" outline="0" axis="axisRow" fieldPosition="0"/>
    </format>
    <format dxfId="94">
      <pivotArea dataOnly="0" labelOnly="1" outline="0" fieldPosition="0">
        <references count="1">
          <reference field="4294967294" count="3">
            <x v="0"/>
            <x v="1"/>
            <x v="2"/>
          </reference>
        </references>
      </pivotArea>
    </format>
    <format dxfId="93">
      <pivotArea outline="0" fieldPosition="0"/>
    </format>
    <format dxfId="92">
      <pivotArea type="all" dataOnly="0" outline="0" fieldPosition="0"/>
    </format>
    <format dxfId="91">
      <pivotArea outline="0" collapsedLevelsAreSubtotals="1" fieldPosition="0"/>
    </format>
    <format dxfId="90">
      <pivotArea field="-2" type="button" dataOnly="0" labelOnly="1" outline="0" axis="axisRow" fieldPosition="0"/>
    </format>
    <format dxfId="89">
      <pivotArea dataOnly="0" labelOnly="1" outline="0" fieldPosition="0">
        <references count="1">
          <reference field="4294967294" count="3">
            <x v="0"/>
            <x v="1"/>
            <x v="2"/>
          </reference>
        </references>
      </pivotArea>
    </format>
  </formats>
  <chartFormats count="8">
    <chartFormat chart="0" format="2">
      <pivotArea type="data" outline="0" fieldPosition="0">
        <references count="1">
          <reference field="4294967294" count="1" selected="0">
            <x v="0"/>
          </reference>
        </references>
      </pivotArea>
    </chartFormat>
    <chartFormat chart="0" format="3">
      <pivotArea type="data" outline="0" fieldPosition="0">
        <references count="1">
          <reference field="4294967294" count="1" selected="0">
            <x v="1"/>
          </reference>
        </references>
      </pivotArea>
    </chartFormat>
    <chartFormat chart="0" format="4">
      <pivotArea type="data" outline="0" fieldPosition="0">
        <references count="1">
          <reference field="4294967294" count="1" selected="0">
            <x v="2"/>
          </reference>
        </references>
      </pivotArea>
    </chartFormat>
    <chartFormat chart="0" format="5" series="1">
      <pivotArea type="data" outline="0" fieldPosition="0">
        <references count="1">
          <reference field="4294967294" count="1" selected="0">
            <x v="0"/>
          </reference>
        </references>
      </pivotArea>
    </chartFormat>
    <chartFormat chart="3" format="6" series="1">
      <pivotArea type="data" outline="0" fieldPosition="0">
        <references count="1">
          <reference field="4294967294" count="1" selected="0">
            <x v="0"/>
          </reference>
        </references>
      </pivotArea>
    </chartFormat>
    <chartFormat chart="3" format="7">
      <pivotArea type="data" outline="0" fieldPosition="0">
        <references count="1">
          <reference field="4294967294" count="1" selected="0">
            <x v="0"/>
          </reference>
        </references>
      </pivotArea>
    </chartFormat>
    <chartFormat chart="3" format="8">
      <pivotArea type="data" outline="0" fieldPosition="0">
        <references count="1">
          <reference field="4294967294" count="1" selected="0">
            <x v="1"/>
          </reference>
        </references>
      </pivotArea>
    </chartFormat>
    <chartFormat chart="3" format="9">
      <pivotArea type="data" outline="0" fieldPosition="0">
        <references count="1">
          <reference field="4294967294" count="1" selected="0">
            <x v="2"/>
          </reference>
        </references>
      </pivotArea>
    </chartFormat>
  </chartFormats>
  <pivotTableStyleInfo showRowHeaders="1" showColHeaders="1" showRowStripes="0" showColStripes="0" showLastColumn="1"/>
</pivotTableDefinition>
</file>

<file path=xl/pivotTables/pivotTable5.xml><?xml version="1.0" encoding="utf-8"?>
<pivotTableDefinition xmlns="http://schemas.openxmlformats.org/spreadsheetml/2006/main" name="PivotTable2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22">
  <location ref="B351:C367" firstHeaderRow="1" firstDataRow="1" firstDataCol="1" rowPageCount="4" colPageCount="1"/>
  <pivotFields count="94">
    <pivotField axis="axisPage" showAll="0">
      <items count="21">
        <item x="0"/>
        <item x="1"/>
        <item x="2"/>
        <item x="4"/>
        <item x="5"/>
        <item m="1" x="18"/>
        <item x="6"/>
        <item x="7"/>
        <item x="8"/>
        <item x="9"/>
        <item x="10"/>
        <item x="11"/>
        <item x="12"/>
        <item x="13"/>
        <item x="14"/>
        <item x="15"/>
        <item x="16"/>
        <item m="1" x="19"/>
        <item x="17"/>
        <item x="3"/>
        <item t="default"/>
      </items>
    </pivotField>
    <pivotField showAll="0"/>
    <pivotField showAll="0"/>
    <pivotField showAll="0"/>
    <pivotField showAll="0"/>
    <pivotField showAll="0"/>
    <pivotField axis="axisPage" multipleItemSelectionAllowed="1" showAll="0">
      <items count="4">
        <item x="0"/>
        <item h="1" x="2"/>
        <item h="1" x="1"/>
        <item t="default"/>
      </items>
    </pivotField>
    <pivotField axis="axisPage" showAll="0">
      <items count="3">
        <item x="0"/>
        <item x="1"/>
        <item t="default"/>
      </items>
    </pivotField>
    <pivotField dataField="1" showAll="0"/>
    <pivotField showAll="0"/>
    <pivotField showAll="0"/>
    <pivotField showAll="0"/>
    <pivotField showAll="0" defaultSubtotal="0"/>
    <pivotField showAll="0"/>
    <pivotField showAll="0"/>
    <pivotField showAll="0" defaultSubtotal="0"/>
    <pivotField showAll="0" defaultSubtotal="0"/>
    <pivotField showAll="0"/>
    <pivotField axis="axisPage" showAll="0" defaultSubtotal="0">
      <items count="2">
        <item x="0"/>
        <item x="1"/>
      </items>
    </pivotField>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35">
        <item x="7"/>
        <item x="18"/>
        <item x="2"/>
        <item x="11"/>
        <item x="14"/>
        <item x="10"/>
        <item x="4"/>
        <item x="17"/>
        <item x="3"/>
        <item x="0"/>
        <item x="1"/>
        <item x="16"/>
        <item x="5"/>
        <item m="1" x="19"/>
        <item x="9"/>
        <item m="1" x="20"/>
        <item x="12"/>
        <item m="1" x="21"/>
        <item m="1" x="22"/>
        <item m="1" x="23"/>
        <item m="1" x="24"/>
        <item m="1" x="25"/>
        <item h="1" x="6"/>
        <item h="1" m="1" x="26"/>
        <item h="1" m="1" x="27"/>
        <item h="1" m="1" x="28"/>
        <item h="1" m="1" x="30"/>
        <item h="1" m="1" x="29"/>
        <item h="1" m="1" x="31"/>
        <item h="1" m="1" x="32"/>
        <item h="1" x="15"/>
        <item h="1" x="8"/>
        <item h="1" m="1" x="33"/>
        <item h="1" x="13"/>
        <item t="default"/>
      </items>
    </pivotField>
    <pivotField showAll="0"/>
    <pivotField showAll="0"/>
    <pivotField numFmtId="3" showAll="0" defaultSubtotal="0"/>
    <pivotField numFmtId="1"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75"/>
  </rowFields>
  <rowItems count="16">
    <i>
      <x/>
    </i>
    <i>
      <x v="1"/>
    </i>
    <i>
      <x v="2"/>
    </i>
    <i>
      <x v="3"/>
    </i>
    <i>
      <x v="4"/>
    </i>
    <i>
      <x v="5"/>
    </i>
    <i>
      <x v="6"/>
    </i>
    <i>
      <x v="7"/>
    </i>
    <i>
      <x v="8"/>
    </i>
    <i>
      <x v="9"/>
    </i>
    <i>
      <x v="10"/>
    </i>
    <i>
      <x v="11"/>
    </i>
    <i>
      <x v="12"/>
    </i>
    <i>
      <x v="14"/>
    </i>
    <i>
      <x v="16"/>
    </i>
    <i t="grand">
      <x/>
    </i>
  </rowItems>
  <colItems count="1">
    <i/>
  </colItems>
  <pageFields count="4">
    <pageField fld="6" hier="-1"/>
    <pageField fld="0" hier="-1"/>
    <pageField fld="7" hier="-1"/>
    <pageField fld="18" hier="-1"/>
  </pageFields>
  <dataFields count="1">
    <dataField name="Nb of Familly affected" fld="8" baseField="74" baseItem="0" numFmtId="3"/>
  </dataFields>
  <formats count="6">
    <format dxfId="121">
      <pivotArea outline="0" collapsedLevelsAreSubtotals="1" fieldPosition="0"/>
    </format>
    <format dxfId="120">
      <pivotArea outline="0" collapsedLevelsAreSubtotals="1" fieldPosition="0"/>
    </format>
    <format dxfId="119">
      <pivotArea collapsedLevelsAreSubtotals="1" fieldPosition="0">
        <references count="1">
          <reference field="75" count="0"/>
        </references>
      </pivotArea>
    </format>
    <format dxfId="118">
      <pivotArea dataOnly="0" labelOnly="1" fieldPosition="0">
        <references count="1">
          <reference field="75" count="0"/>
        </references>
      </pivotArea>
    </format>
    <format dxfId="117">
      <pivotArea outline="0" fieldPosition="0">
        <references count="1">
          <reference field="4294967294" count="1">
            <x v="0"/>
          </reference>
        </references>
      </pivotArea>
    </format>
    <format dxfId="116">
      <pivotArea dataOnly="0" labelOnly="1" outline="0" axis="axisValues" fieldPosition="0"/>
    </format>
  </formats>
  <chartFormats count="23">
    <chartFormat chart="20" format="0" series="1">
      <pivotArea type="data" outline="0" fieldPosition="0">
        <references count="1">
          <reference field="4294967294" count="1" selected="0">
            <x v="0"/>
          </reference>
        </references>
      </pivotArea>
    </chartFormat>
    <chartFormat chart="20" format="1">
      <pivotArea type="data" outline="0" fieldPosition="0">
        <references count="2">
          <reference field="4294967294" count="1" selected="0">
            <x v="0"/>
          </reference>
          <reference field="75" count="1" selected="0">
            <x v="0"/>
          </reference>
        </references>
      </pivotArea>
    </chartFormat>
    <chartFormat chart="20" format="2">
      <pivotArea type="data" outline="0" fieldPosition="0">
        <references count="2">
          <reference field="4294967294" count="1" selected="0">
            <x v="0"/>
          </reference>
          <reference field="75" count="1" selected="0">
            <x v="2"/>
          </reference>
        </references>
      </pivotArea>
    </chartFormat>
    <chartFormat chart="20" format="3">
      <pivotArea type="data" outline="0" fieldPosition="0">
        <references count="2">
          <reference field="4294967294" count="1" selected="0">
            <x v="0"/>
          </reference>
          <reference field="75" count="1" selected="0">
            <x v="3"/>
          </reference>
        </references>
      </pivotArea>
    </chartFormat>
    <chartFormat chart="20" format="4">
      <pivotArea type="data" outline="0" fieldPosition="0">
        <references count="2">
          <reference field="4294967294" count="1" selected="0">
            <x v="0"/>
          </reference>
          <reference field="75" count="1" selected="0">
            <x v="4"/>
          </reference>
        </references>
      </pivotArea>
    </chartFormat>
    <chartFormat chart="20" format="5">
      <pivotArea type="data" outline="0" fieldPosition="0">
        <references count="2">
          <reference field="4294967294" count="1" selected="0">
            <x v="0"/>
          </reference>
          <reference field="75" count="1" selected="0">
            <x v="5"/>
          </reference>
        </references>
      </pivotArea>
    </chartFormat>
    <chartFormat chart="20" format="6">
      <pivotArea type="data" outline="0" fieldPosition="0">
        <references count="2">
          <reference field="4294967294" count="1" selected="0">
            <x v="0"/>
          </reference>
          <reference field="75" count="1" selected="0">
            <x v="6"/>
          </reference>
        </references>
      </pivotArea>
    </chartFormat>
    <chartFormat chart="20" format="7">
      <pivotArea type="data" outline="0" fieldPosition="0">
        <references count="2">
          <reference field="4294967294" count="1" selected="0">
            <x v="0"/>
          </reference>
          <reference field="75" count="1" selected="0">
            <x v="7"/>
          </reference>
        </references>
      </pivotArea>
    </chartFormat>
    <chartFormat chart="20" format="8">
      <pivotArea type="data" outline="0" fieldPosition="0">
        <references count="2">
          <reference field="4294967294" count="1" selected="0">
            <x v="0"/>
          </reference>
          <reference field="75" count="1" selected="0">
            <x v="10"/>
          </reference>
        </references>
      </pivotArea>
    </chartFormat>
    <chartFormat chart="20" format="9">
      <pivotArea type="data" outline="0" fieldPosition="0">
        <references count="2">
          <reference field="4294967294" count="1" selected="0">
            <x v="0"/>
          </reference>
          <reference field="75" count="1" selected="0">
            <x v="11"/>
          </reference>
        </references>
      </pivotArea>
    </chartFormat>
    <chartFormat chart="20" format="10">
      <pivotArea type="data" outline="0" fieldPosition="0">
        <references count="2">
          <reference field="4294967294" count="1" selected="0">
            <x v="0"/>
          </reference>
          <reference field="75" count="1" selected="0">
            <x v="12"/>
          </reference>
        </references>
      </pivotArea>
    </chartFormat>
    <chartFormat chart="20" format="11">
      <pivotArea type="data" outline="0" fieldPosition="0">
        <references count="2">
          <reference field="4294967294" count="1" selected="0">
            <x v="0"/>
          </reference>
          <reference field="75" count="1" selected="0">
            <x v="13"/>
          </reference>
        </references>
      </pivotArea>
    </chartFormat>
    <chartFormat chart="20" format="12">
      <pivotArea type="data" outline="0" fieldPosition="0">
        <references count="2">
          <reference field="4294967294" count="1" selected="0">
            <x v="0"/>
          </reference>
          <reference field="75" count="1" selected="0">
            <x v="16"/>
          </reference>
        </references>
      </pivotArea>
    </chartFormat>
    <chartFormat chart="20" format="13">
      <pivotArea type="data" outline="0" fieldPosition="0">
        <references count="2">
          <reference field="4294967294" count="1" selected="0">
            <x v="0"/>
          </reference>
          <reference field="75" count="1" selected="0">
            <x v="20"/>
          </reference>
        </references>
      </pivotArea>
    </chartFormat>
    <chartFormat chart="20" format="14">
      <pivotArea type="data" outline="0" fieldPosition="0">
        <references count="2">
          <reference field="4294967294" count="1" selected="0">
            <x v="0"/>
          </reference>
          <reference field="75" count="1" selected="0">
            <x v="21"/>
          </reference>
        </references>
      </pivotArea>
    </chartFormat>
    <chartFormat chart="20" format="15">
      <pivotArea type="data" outline="0" fieldPosition="0">
        <references count="2">
          <reference field="4294967294" count="1" selected="0">
            <x v="0"/>
          </reference>
          <reference field="75" count="1" selected="0">
            <x v="22"/>
          </reference>
        </references>
      </pivotArea>
    </chartFormat>
    <chartFormat chart="20" format="17">
      <pivotArea type="data" outline="0" fieldPosition="0">
        <references count="2">
          <reference field="4294967294" count="1" selected="0">
            <x v="0"/>
          </reference>
          <reference field="75" count="1" selected="0">
            <x v="8"/>
          </reference>
        </references>
      </pivotArea>
    </chartFormat>
    <chartFormat chart="20" format="18">
      <pivotArea type="data" outline="0" fieldPosition="0">
        <references count="2">
          <reference field="4294967294" count="1" selected="0">
            <x v="0"/>
          </reference>
          <reference field="75" count="1" selected="0">
            <x v="1"/>
          </reference>
        </references>
      </pivotArea>
    </chartFormat>
    <chartFormat chart="20" format="19">
      <pivotArea type="data" outline="0" fieldPosition="0">
        <references count="2">
          <reference field="4294967294" count="1" selected="0">
            <x v="0"/>
          </reference>
          <reference field="75" count="1" selected="0">
            <x v="9"/>
          </reference>
        </references>
      </pivotArea>
    </chartFormat>
    <chartFormat chart="20" format="20">
      <pivotArea type="data" outline="0" fieldPosition="0">
        <references count="2">
          <reference field="4294967294" count="1" selected="0">
            <x v="0"/>
          </reference>
          <reference field="75" count="1" selected="0">
            <x v="14"/>
          </reference>
        </references>
      </pivotArea>
    </chartFormat>
    <chartFormat chart="20" format="21">
      <pivotArea type="data" outline="0" fieldPosition="0">
        <references count="2">
          <reference field="4294967294" count="1" selected="0">
            <x v="0"/>
          </reference>
          <reference field="75" count="1" selected="0">
            <x v="17"/>
          </reference>
        </references>
      </pivotArea>
    </chartFormat>
    <chartFormat chart="20" format="22">
      <pivotArea type="data" outline="0" fieldPosition="0">
        <references count="2">
          <reference field="4294967294" count="1" selected="0">
            <x v="0"/>
          </reference>
          <reference field="75" count="1" selected="0">
            <x v="19"/>
          </reference>
        </references>
      </pivotArea>
    </chartFormat>
    <chartFormat chart="20" format="23">
      <pivotArea type="data" outline="0" fieldPosition="0">
        <references count="2">
          <reference field="4294967294" count="1" selected="0">
            <x v="0"/>
          </reference>
          <reference field="75" count="1" selected="0">
            <x v="1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PivotTable13"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8">
  <location ref="B137:E141" firstHeaderRow="0" firstDataRow="1" firstDataCol="1" rowPageCount="3" colPageCount="1"/>
  <pivotFields count="94">
    <pivotField axis="axisPage" showAll="0">
      <items count="21">
        <item x="0"/>
        <item x="1"/>
        <item x="2"/>
        <item x="4"/>
        <item x="5"/>
        <item m="1" x="18"/>
        <item x="6"/>
        <item x="7"/>
        <item x="8"/>
        <item x="9"/>
        <item x="10"/>
        <item x="11"/>
        <item x="12"/>
        <item x="13"/>
        <item x="14"/>
        <item x="15"/>
        <item x="16"/>
        <item m="1" x="19"/>
        <item x="17"/>
        <item x="3"/>
        <item t="default"/>
      </items>
    </pivotField>
    <pivotField showAll="0"/>
    <pivotField showAll="0"/>
    <pivotField showAll="0"/>
    <pivotField showAll="0"/>
    <pivotField showAll="0"/>
    <pivotField axis="axisRow" multipleItemSelectionAllowed="1" showAll="0">
      <items count="4">
        <item x="0"/>
        <item x="2"/>
        <item x="1"/>
        <item t="default"/>
      </items>
    </pivotField>
    <pivotField axis="axisPage" showAll="0">
      <items count="3">
        <item x="0"/>
        <item x="1"/>
        <item t="default"/>
      </items>
    </pivotField>
    <pivotField showAll="0"/>
    <pivotField showAll="0"/>
    <pivotField showAll="0"/>
    <pivotField showAll="0"/>
    <pivotField showAll="0" defaultSubtotal="0"/>
    <pivotField showAll="0"/>
    <pivotField showAll="0"/>
    <pivotField showAll="0" defaultSubtotal="0"/>
    <pivotField showAll="0" defaultSubtotal="0"/>
    <pivotField showAll="0"/>
    <pivotField axis="axisPage" showAll="0" defaultSubtotal="0">
      <items count="2">
        <item x="0"/>
        <item x="1"/>
      </items>
    </pivotField>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defaultSubtotal="0"/>
    <pivotField numFmtId="1" showAll="0"/>
    <pivotField showAll="0"/>
    <pivotField showAll="0"/>
    <pivotField showAll="0"/>
    <pivotField showAll="0"/>
    <pivotField dataField="1" dragToRow="0" dragToCol="0" dragToPage="0" showAll="0" defaultSubtotal="0"/>
    <pivotField dataField="1"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6"/>
  </rowFields>
  <rowItems count="4">
    <i>
      <x/>
    </i>
    <i>
      <x v="1"/>
    </i>
    <i>
      <x v="2"/>
    </i>
    <i t="grand">
      <x/>
    </i>
  </rowItems>
  <colFields count="1">
    <field x="-2"/>
  </colFields>
  <colItems count="3">
    <i>
      <x/>
    </i>
    <i i="1">
      <x v="1"/>
    </i>
    <i i="2">
      <x v="2"/>
    </i>
  </colItems>
  <pageFields count="3">
    <pageField fld="7" hier="-1"/>
    <pageField fld="0" hier="-1"/>
    <pageField fld="18" hier="-1"/>
  </pageFields>
  <dataFields count="3">
    <dataField name="% Water Need coverage" fld="84" baseField="0" baseItem="0" numFmtId="1"/>
    <dataField name="% Latrine need coverage" fld="85" baseField="0" baseItem="0" numFmtId="1"/>
    <dataField name="% Bathroom need coverage" fld="86" baseField="0" baseItem="0" numFmtId="1"/>
  </dataFields>
  <formats count="5">
    <format dxfId="126">
      <pivotArea outline="0" collapsedLevelsAreSubtotals="1" fieldPosition="0"/>
    </format>
    <format dxfId="125">
      <pivotArea field="6" type="button" dataOnly="0" labelOnly="1" outline="0" axis="axisRow" fieldPosition="0"/>
    </format>
    <format dxfId="124">
      <pivotArea dataOnly="0" labelOnly="1" outline="0" fieldPosition="0">
        <references count="1">
          <reference field="4294967294" count="3">
            <x v="0"/>
            <x v="1"/>
            <x v="2"/>
          </reference>
        </references>
      </pivotArea>
    </format>
    <format dxfId="123">
      <pivotArea outline="0" collapsedLevelsAreSubtotals="1" fieldPosition="0"/>
    </format>
    <format dxfId="122">
      <pivotArea dataOnly="0" labelOnly="1" outline="0" fieldPosition="0">
        <references count="1">
          <reference field="4294967294" count="3">
            <x v="0"/>
            <x v="1"/>
            <x v="2"/>
          </reference>
        </references>
      </pivotArea>
    </format>
  </formats>
  <chartFormats count="1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 chart="2" format="0" series="1">
      <pivotArea type="data" outline="0" fieldPosition="0">
        <references count="1">
          <reference field="4294967294" count="1" selected="0">
            <x v="0"/>
          </reference>
        </references>
      </pivotArea>
    </chartFormat>
    <chartFormat chart="2" format="1" series="1">
      <pivotArea type="data" outline="0" fieldPosition="0">
        <references count="1">
          <reference field="4294967294" count="1" selected="0">
            <x v="1"/>
          </reference>
        </references>
      </pivotArea>
    </chartFormat>
    <chartFormat chart="2" format="2" series="1">
      <pivotArea type="data" outline="0" fieldPosition="0">
        <references count="1">
          <reference field="4294967294" count="1" selected="0">
            <x v="2"/>
          </reference>
        </references>
      </pivotArea>
    </chartFormat>
    <chartFormat chart="4" format="0" series="1">
      <pivotArea type="data" outline="0" fieldPosition="0">
        <references count="1">
          <reference field="4294967294" count="1" selected="0">
            <x v="0"/>
          </reference>
        </references>
      </pivotArea>
    </chartFormat>
    <chartFormat chart="4" format="1" series="1">
      <pivotArea type="data" outline="0" fieldPosition="0">
        <references count="1">
          <reference field="4294967294" count="1" selected="0">
            <x v="1"/>
          </reference>
        </references>
      </pivotArea>
    </chartFormat>
    <chartFormat chart="4" format="2" series="1">
      <pivotArea type="data" outline="0" fieldPosition="0">
        <references count="1">
          <reference field="4294967294" count="1" selected="0">
            <x v="2"/>
          </reference>
        </references>
      </pivotArea>
    </chartFormat>
    <chartFormat chart="6" format="18" series="1">
      <pivotArea type="data" outline="0" fieldPosition="0">
        <references count="1">
          <reference field="4294967294" count="1" selected="0">
            <x v="0"/>
          </reference>
        </references>
      </pivotArea>
    </chartFormat>
    <chartFormat chart="6" format="19" series="1">
      <pivotArea type="data" outline="0" fieldPosition="0">
        <references count="1">
          <reference field="4294967294" count="1" selected="0">
            <x v="1"/>
          </reference>
        </references>
      </pivotArea>
    </chartFormat>
    <chartFormat chart="6" format="20"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34">
  <location ref="B482:B485" firstHeaderRow="1" firstDataRow="1" firstDataCol="1" rowPageCount="2" colPageCount="1"/>
  <pivotFields count="94">
    <pivotField showAll="0"/>
    <pivotField showAll="0"/>
    <pivotField showAll="0"/>
    <pivotField showAll="0"/>
    <pivotField showAll="0"/>
    <pivotField showAll="0"/>
    <pivotField axis="axisPage" multipleItemSelectionAllowed="1" showAll="0">
      <items count="4">
        <item x="0"/>
        <item h="1" x="2"/>
        <item h="1" x="1"/>
        <item t="default"/>
      </items>
    </pivotField>
    <pivotField axis="axisRow" showAll="0">
      <items count="3">
        <item x="0"/>
        <item x="1"/>
        <item t="default"/>
      </items>
    </pivotField>
    <pivotField showAll="0"/>
    <pivotField showAll="0"/>
    <pivotField showAll="0"/>
    <pivotField showAll="0"/>
    <pivotField showAll="0" defaultSubtotal="0"/>
    <pivotField showAll="0"/>
    <pivotField showAll="0"/>
    <pivotField showAll="0" defaultSubtotal="0"/>
    <pivotField showAll="0" defaultSubtotal="0"/>
    <pivotField showAll="0"/>
    <pivotField axis="axisPage" showAll="0" defaultSubtotal="0">
      <items count="2">
        <item x="0"/>
        <item x="1"/>
      </items>
    </pivotField>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defaultSubtotal="0"/>
    <pivotField numFmtId="1"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7"/>
  </rowFields>
  <rowItems count="3">
    <i>
      <x/>
    </i>
    <i>
      <x v="1"/>
    </i>
    <i t="grand">
      <x/>
    </i>
  </rowItems>
  <colItems count="1">
    <i/>
  </colItems>
  <pageFields count="2">
    <pageField fld="6" hier="-1"/>
    <pageField fld="18" hier="-1"/>
  </pageFields>
  <formats count="4">
    <format dxfId="130">
      <pivotArea outline="0" collapsedLevelsAreSubtotals="1" fieldPosition="0"/>
    </format>
    <format dxfId="129">
      <pivotArea dataOnly="0" labelOnly="1" outline="0" axis="axisValues" fieldPosition="0"/>
    </format>
    <format dxfId="128">
      <pivotArea outline="0" collapsedLevelsAreSubtotals="1" fieldPosition="0"/>
    </format>
    <format dxfId="12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PivotTable29"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53">
  <location ref="B698:E710" firstHeaderRow="1" firstDataRow="2" firstDataCol="1" rowPageCount="2" colPageCount="1"/>
  <pivotFields count="94">
    <pivotField showAll="0"/>
    <pivotField showAll="0"/>
    <pivotField axis="axisRow" showAll="0">
      <items count="11">
        <item x="2"/>
        <item x="9"/>
        <item x="7"/>
        <item x="0"/>
        <item x="8"/>
        <item x="4"/>
        <item x="5"/>
        <item x="3"/>
        <item x="6"/>
        <item x="1"/>
        <item t="default"/>
      </items>
    </pivotField>
    <pivotField showAll="0"/>
    <pivotField showAll="0"/>
    <pivotField showAll="0"/>
    <pivotField axis="axisPage" multipleItemSelectionAllowed="1" showAll="0">
      <items count="4">
        <item x="0"/>
        <item x="2"/>
        <item x="1"/>
        <item t="default"/>
      </items>
    </pivotField>
    <pivotField axis="axisPage" showAll="0">
      <items count="3">
        <item x="0"/>
        <item x="1"/>
        <item t="default"/>
      </items>
    </pivotField>
    <pivotField showAll="0"/>
    <pivotField showAll="0"/>
    <pivotField showAll="0"/>
    <pivotField showAll="0"/>
    <pivotField showAll="0" defaultSubtotal="0"/>
    <pivotField showAll="0"/>
    <pivotField showAll="0"/>
    <pivotField showAll="0" defaultSubtotal="0"/>
    <pivotField showAll="0" defaultSubtotal="0"/>
    <pivotField showAll="0"/>
    <pivotField axis="axisCol" dataField="1" showAll="0" defaultSubtotal="0">
      <items count="2">
        <item x="0"/>
        <item x="1"/>
      </items>
    </pivotField>
    <pivotField showAll="0"/>
    <pivotField showAll="0"/>
    <pivotField showAll="0"/>
    <pivotField showAll="0"/>
    <pivotField showAll="0"/>
    <pivotField showAll="0"/>
    <pivotField numFmtId="9" showAll="0"/>
    <pivotField numFmtId="9" showAll="0"/>
    <pivotField numFmtId="9" showAll="0"/>
    <pivotField numFmtId="1" showAll="0"/>
    <pivotField numFmtId="9" showAll="0"/>
    <pivotField numFmtId="1" showAll="0"/>
    <pivotField numFmtId="9" showAll="0"/>
    <pivotField numFmtId="1" showAll="0"/>
    <pivotField showAll="0"/>
    <pivotField numFmtId="9" showAll="0"/>
    <pivotField numFmtId="1" showAll="0"/>
    <pivotField numFmtId="1" showAll="0"/>
    <pivotField numFmtId="1" showAll="0"/>
    <pivotField numFmtId="1" showAll="0"/>
    <pivotField numFmtId="9" showAll="0"/>
    <pivotField showAll="0"/>
    <pivotField showAll="0"/>
    <pivotField showAll="0"/>
    <pivotField showAll="0"/>
    <pivotField showAll="0"/>
    <pivotField showAll="0"/>
    <pivotField showAll="0"/>
    <pivotField numFmtId="1" showAll="0"/>
    <pivotField showAll="0"/>
    <pivotField numFmtId="1" showAll="0"/>
    <pivotField showAll="0"/>
    <pivotField numFmtId="1" showAll="0"/>
    <pivotField showAll="0"/>
    <pivotField numFmtId="9" showAll="0"/>
    <pivotField numFmtId="1" showAll="0"/>
    <pivotField numFmtId="1" showAll="0"/>
    <pivotField showAll="0" defaultSubtotal="0"/>
    <pivotField showAll="0" defaultSubtotal="0"/>
    <pivotField showAll="0"/>
    <pivotField numFmtId="1" showAll="0"/>
    <pivotField numFmtI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defaultSubtotal="0"/>
    <pivotField numFmtId="1"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2"/>
  </rowFields>
  <rowItems count="11">
    <i>
      <x/>
    </i>
    <i>
      <x v="1"/>
    </i>
    <i>
      <x v="2"/>
    </i>
    <i>
      <x v="3"/>
    </i>
    <i>
      <x v="4"/>
    </i>
    <i>
      <x v="5"/>
    </i>
    <i>
      <x v="6"/>
    </i>
    <i>
      <x v="7"/>
    </i>
    <i>
      <x v="8"/>
    </i>
    <i>
      <x v="9"/>
    </i>
    <i t="grand">
      <x/>
    </i>
  </rowItems>
  <colFields count="1">
    <field x="18"/>
  </colFields>
  <colItems count="3">
    <i>
      <x/>
    </i>
    <i>
      <x v="1"/>
    </i>
    <i t="grand">
      <x/>
    </i>
  </colItems>
  <pageFields count="2">
    <pageField fld="6" hier="-1"/>
    <pageField fld="7" hier="-1"/>
  </pageFields>
  <dataFields count="1">
    <dataField name="Count of Documented" fld="18" subtotal="count" baseField="0" baseItem="0"/>
  </dataFields>
  <formats count="3">
    <format dxfId="133">
      <pivotArea outline="0" collapsedLevelsAreSubtotals="1" fieldPosition="0"/>
    </format>
    <format dxfId="132">
      <pivotArea outline="0" collapsedLevelsAreSubtotals="1" fieldPosition="0"/>
    </format>
    <format dxfId="131">
      <pivotArea outline="0" collapsedLevelsAreSubtotals="1" fieldPosition="0"/>
    </format>
  </formats>
  <chartFormats count="4">
    <chartFormat chart="48" format="0" series="1">
      <pivotArea type="data" outline="0" fieldPosition="0">
        <references count="2">
          <reference field="4294967294" count="1" selected="0">
            <x v="0"/>
          </reference>
          <reference field="18" count="1" selected="0">
            <x v="0"/>
          </reference>
        </references>
      </pivotArea>
    </chartFormat>
    <chartFormat chart="48" format="1" series="1">
      <pivotArea type="data" outline="0" fieldPosition="0">
        <references count="2">
          <reference field="4294967294" count="1" selected="0">
            <x v="0"/>
          </reference>
          <reference field="18" count="1" selected="0">
            <x v="1"/>
          </reference>
        </references>
      </pivotArea>
    </chartFormat>
    <chartFormat chart="50" format="0" series="1">
      <pivotArea type="data" outline="0" fieldPosition="0">
        <references count="2">
          <reference field="4294967294" count="1" selected="0">
            <x v="0"/>
          </reference>
          <reference field="18" count="1" selected="0">
            <x v="0"/>
          </reference>
        </references>
      </pivotArea>
    </chartFormat>
    <chartFormat chart="50" format="1" series="1">
      <pivotArea type="data" outline="0" fieldPosition="0">
        <references count="2">
          <reference field="4294967294" count="1" selected="0">
            <x v="0"/>
          </reference>
          <reference field="18"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9.xml><?xml version="1.0" encoding="utf-8"?>
<pivotTableDefinition xmlns="http://schemas.openxmlformats.org/spreadsheetml/2006/main" name="PivotTable32" cacheId="1"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38">
  <location ref="B712:C733" firstHeaderRow="1" firstDataRow="1" firstDataCol="1"/>
  <pivotFields count="17">
    <pivotField axis="axisRow" showAll="0">
      <items count="21">
        <item x="0"/>
        <item x="1"/>
        <item sd="0" x="2"/>
        <item x="3"/>
        <item sd="0" x="4"/>
        <item x="5"/>
        <item m="1" x="19"/>
        <item x="6"/>
        <item sd="0" x="7"/>
        <item sd="0" x="8"/>
        <item x="9"/>
        <item x="10"/>
        <item x="11"/>
        <item x="12"/>
        <item x="13"/>
        <item x="14"/>
        <item sd="0" x="15"/>
        <item x="16"/>
        <item x="17"/>
        <item x="18"/>
        <item t="default"/>
      </items>
    </pivotField>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axis="axisRow" showAll="0">
      <items count="11">
        <item m="1" x="9"/>
        <item x="5"/>
        <item x="4"/>
        <item x="2"/>
        <item x="0"/>
        <item x="6"/>
        <item x="3"/>
        <item x="1"/>
        <item m="1" x="8"/>
        <item x="7"/>
        <item t="default"/>
      </items>
    </pivotField>
    <pivotField showAll="0"/>
    <pivotField axis="axisRow" showAll="0" defaultSubtotal="0">
      <items count="12">
        <item x="0"/>
        <item h="1" m="1" x="11"/>
        <item h="1" m="1" x="8"/>
        <item h="1" m="1" x="9"/>
        <item h="1" x="2"/>
        <item h="1" x="5"/>
        <item h="1" x="6"/>
        <item h="1" m="1" x="7"/>
        <item h="1" x="3"/>
        <item h="1" x="4"/>
        <item h="1" x="1"/>
        <item h="1" m="1" x="10"/>
      </items>
    </pivotField>
  </pivotFields>
  <rowFields count="3">
    <field x="16"/>
    <field x="0"/>
    <field x="14"/>
  </rowFields>
  <rowItems count="24">
    <i>
      <x/>
    </i>
    <i r="1">
      <x/>
    </i>
    <i r="2">
      <x v="3"/>
    </i>
    <i r="2">
      <x v="4"/>
    </i>
    <i r="1">
      <x v="1"/>
    </i>
    <i r="2">
      <x v="2"/>
    </i>
    <i r="2">
      <x v="4"/>
    </i>
    <i r="1">
      <x v="2"/>
    </i>
    <i r="1">
      <x v="5"/>
    </i>
    <i r="2">
      <x v="4"/>
    </i>
    <i r="1">
      <x v="7"/>
    </i>
    <i r="2">
      <x v="4"/>
    </i>
    <i r="1">
      <x v="11"/>
    </i>
    <i r="2">
      <x v="4"/>
    </i>
    <i r="1">
      <x v="13"/>
    </i>
    <i r="2">
      <x v="4"/>
    </i>
    <i r="2">
      <x v="6"/>
    </i>
    <i r="1">
      <x v="15"/>
    </i>
    <i r="2">
      <x v="3"/>
    </i>
    <i r="1">
      <x v="18"/>
    </i>
    <i r="2">
      <x v="1"/>
    </i>
    <i r="2">
      <x v="3"/>
    </i>
    <i r="2">
      <x v="4"/>
    </i>
    <i t="grand">
      <x/>
    </i>
  </rowItems>
  <colItems count="1">
    <i/>
  </colItems>
  <dataFields count="1">
    <dataField name="Count of Site" fld="3" subtotal="count" baseField="0" baseItem="0"/>
  </dataFields>
  <formats count="1">
    <format dxfId="134">
      <pivotArea dataOnly="0" labelOnly="1" outline="0" axis="axisValues" fieldPosition="0"/>
    </format>
  </formats>
  <chartFormats count="1">
    <chartFormat chart="35"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pivotTable" Target="../pivotTables/pivotTable13.xml"/><Relationship Id="rId18" Type="http://schemas.openxmlformats.org/officeDocument/2006/relationships/pivotTable" Target="../pivotTables/pivotTable18.xml"/><Relationship Id="rId26" Type="http://schemas.openxmlformats.org/officeDocument/2006/relationships/pivotTable" Target="../pivotTables/pivotTable26.xml"/><Relationship Id="rId3" Type="http://schemas.openxmlformats.org/officeDocument/2006/relationships/pivotTable" Target="../pivotTables/pivotTable3.xml"/><Relationship Id="rId21" Type="http://schemas.openxmlformats.org/officeDocument/2006/relationships/pivotTable" Target="../pivotTables/pivotTable21.xml"/><Relationship Id="rId7" Type="http://schemas.openxmlformats.org/officeDocument/2006/relationships/pivotTable" Target="../pivotTables/pivotTable7.xml"/><Relationship Id="rId12" Type="http://schemas.openxmlformats.org/officeDocument/2006/relationships/pivotTable" Target="../pivotTables/pivotTable12.xml"/><Relationship Id="rId17" Type="http://schemas.openxmlformats.org/officeDocument/2006/relationships/pivotTable" Target="../pivotTables/pivotTable17.xml"/><Relationship Id="rId25" Type="http://schemas.openxmlformats.org/officeDocument/2006/relationships/pivotTable" Target="../pivotTables/pivotTable25.xml"/><Relationship Id="rId2" Type="http://schemas.openxmlformats.org/officeDocument/2006/relationships/pivotTable" Target="../pivotTables/pivotTable2.xml"/><Relationship Id="rId16" Type="http://schemas.openxmlformats.org/officeDocument/2006/relationships/pivotTable" Target="../pivotTables/pivotTable16.xml"/><Relationship Id="rId20" Type="http://schemas.openxmlformats.org/officeDocument/2006/relationships/pivotTable" Target="../pivotTables/pivotTable20.xml"/><Relationship Id="rId29" Type="http://schemas.openxmlformats.org/officeDocument/2006/relationships/pivotTable" Target="../pivotTables/pivotTable29.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24" Type="http://schemas.openxmlformats.org/officeDocument/2006/relationships/pivotTable" Target="../pivotTables/pivotTable24.xml"/><Relationship Id="rId32" Type="http://schemas.openxmlformats.org/officeDocument/2006/relationships/drawing" Target="../drawings/drawing3.xml"/><Relationship Id="rId5" Type="http://schemas.openxmlformats.org/officeDocument/2006/relationships/pivotTable" Target="../pivotTables/pivotTable5.xml"/><Relationship Id="rId15" Type="http://schemas.openxmlformats.org/officeDocument/2006/relationships/pivotTable" Target="../pivotTables/pivotTable15.xml"/><Relationship Id="rId23" Type="http://schemas.openxmlformats.org/officeDocument/2006/relationships/pivotTable" Target="../pivotTables/pivotTable23.xml"/><Relationship Id="rId28" Type="http://schemas.openxmlformats.org/officeDocument/2006/relationships/pivotTable" Target="../pivotTables/pivotTable28.xml"/><Relationship Id="rId10" Type="http://schemas.openxmlformats.org/officeDocument/2006/relationships/pivotTable" Target="../pivotTables/pivotTable10.xml"/><Relationship Id="rId19" Type="http://schemas.openxmlformats.org/officeDocument/2006/relationships/pivotTable" Target="../pivotTables/pivotTable19.xml"/><Relationship Id="rId31" Type="http://schemas.openxmlformats.org/officeDocument/2006/relationships/printerSettings" Target="../printerSettings/printerSettings2.bin"/><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pivotTable" Target="../pivotTables/pivotTable14.xml"/><Relationship Id="rId22" Type="http://schemas.openxmlformats.org/officeDocument/2006/relationships/pivotTable" Target="../pivotTables/pivotTable22.xml"/><Relationship Id="rId27" Type="http://schemas.openxmlformats.org/officeDocument/2006/relationships/pivotTable" Target="../pivotTables/pivotTable27.xml"/><Relationship Id="rId30" Type="http://schemas.openxmlformats.org/officeDocument/2006/relationships/pivotTable" Target="../pivotTables/pivotTable30.xml"/></Relationships>
</file>

<file path=xl/worksheets/_rels/sheet4.xml.rels><?xml version="1.0" encoding="UTF-8" standalone="yes"?>
<Relationships xmlns="http://schemas.openxmlformats.org/package/2006/relationships"><Relationship Id="rId8" Type="http://schemas.openxmlformats.org/officeDocument/2006/relationships/pivotTable" Target="../pivotTables/pivotTable38.xml"/><Relationship Id="rId3" Type="http://schemas.openxmlformats.org/officeDocument/2006/relationships/pivotTable" Target="../pivotTables/pivotTable33.xml"/><Relationship Id="rId7" Type="http://schemas.openxmlformats.org/officeDocument/2006/relationships/pivotTable" Target="../pivotTables/pivotTable37.xml"/><Relationship Id="rId12" Type="http://schemas.openxmlformats.org/officeDocument/2006/relationships/drawing" Target="../drawings/drawing4.xml"/><Relationship Id="rId2" Type="http://schemas.openxmlformats.org/officeDocument/2006/relationships/pivotTable" Target="../pivotTables/pivotTable32.xml"/><Relationship Id="rId1" Type="http://schemas.openxmlformats.org/officeDocument/2006/relationships/pivotTable" Target="../pivotTables/pivotTable31.xml"/><Relationship Id="rId6" Type="http://schemas.openxmlformats.org/officeDocument/2006/relationships/pivotTable" Target="../pivotTables/pivotTable36.xml"/><Relationship Id="rId11" Type="http://schemas.openxmlformats.org/officeDocument/2006/relationships/printerSettings" Target="../printerSettings/printerSettings3.bin"/><Relationship Id="rId5" Type="http://schemas.openxmlformats.org/officeDocument/2006/relationships/pivotTable" Target="../pivotTables/pivotTable35.xml"/><Relationship Id="rId10" Type="http://schemas.openxmlformats.org/officeDocument/2006/relationships/pivotTable" Target="../pivotTables/pivotTable40.xml"/><Relationship Id="rId4" Type="http://schemas.openxmlformats.org/officeDocument/2006/relationships/pivotTable" Target="../pivotTables/pivotTable34.xml"/><Relationship Id="rId9" Type="http://schemas.openxmlformats.org/officeDocument/2006/relationships/pivotTable" Target="../pivotTables/pivotTable3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53"/>
  <sheetViews>
    <sheetView tabSelected="1" zoomScale="75" zoomScaleNormal="75" workbookViewId="0">
      <selection activeCell="N27" sqref="N27"/>
    </sheetView>
  </sheetViews>
  <sheetFormatPr defaultColWidth="8.85546875" defaultRowHeight="15" x14ac:dyDescent="0.25"/>
  <cols>
    <col min="1" max="1" width="8.140625" style="1" customWidth="1"/>
    <col min="2" max="2" width="2.5703125" style="1" customWidth="1"/>
    <col min="3" max="16384" width="8.85546875" style="1"/>
  </cols>
  <sheetData>
    <row r="1" spans="2:20" ht="28.15" customHeight="1" thickBot="1" x14ac:dyDescent="0.3"/>
    <row r="2" spans="2:20" s="9" customFormat="1" ht="35.450000000000003" customHeight="1" thickTop="1" thickBot="1" x14ac:dyDescent="0.3">
      <c r="B2" s="808" t="s">
        <v>72</v>
      </c>
      <c r="C2" s="809"/>
      <c r="D2" s="809"/>
      <c r="E2" s="809"/>
      <c r="F2" s="809"/>
      <c r="G2" s="809"/>
      <c r="H2" s="809"/>
      <c r="I2" s="809"/>
      <c r="J2" s="809"/>
      <c r="K2" s="809"/>
      <c r="L2" s="809"/>
      <c r="M2" s="809"/>
      <c r="N2" s="809"/>
      <c r="O2" s="809"/>
      <c r="P2" s="809"/>
      <c r="Q2" s="809"/>
      <c r="R2" s="809"/>
      <c r="S2" s="809"/>
      <c r="T2" s="810"/>
    </row>
    <row r="3" spans="2:20" ht="15.75" thickTop="1" x14ac:dyDescent="0.25">
      <c r="B3" s="2"/>
      <c r="C3" s="3"/>
      <c r="D3" s="3"/>
      <c r="E3" s="3"/>
      <c r="F3" s="3"/>
      <c r="G3" s="3"/>
      <c r="H3" s="3"/>
      <c r="I3" s="3"/>
      <c r="J3" s="3"/>
      <c r="K3" s="3"/>
      <c r="L3" s="3"/>
      <c r="M3" s="3"/>
      <c r="N3" s="3"/>
      <c r="O3" s="3"/>
      <c r="P3" s="3"/>
      <c r="Q3" s="3"/>
      <c r="R3" s="3"/>
      <c r="S3" s="3"/>
      <c r="T3" s="4"/>
    </row>
    <row r="4" spans="2:20" x14ac:dyDescent="0.25">
      <c r="B4" s="2"/>
      <c r="C4" s="5" t="s">
        <v>34</v>
      </c>
      <c r="D4" s="3"/>
      <c r="E4" s="3"/>
      <c r="F4" s="3"/>
      <c r="G4" s="3"/>
      <c r="H4" s="3"/>
      <c r="I4" s="3"/>
      <c r="J4" s="3"/>
      <c r="K4" s="3"/>
      <c r="L4" s="3"/>
      <c r="M4" s="3"/>
      <c r="N4" s="3"/>
      <c r="O4" s="3"/>
      <c r="P4" s="3"/>
      <c r="Q4" s="3"/>
      <c r="R4" s="3"/>
      <c r="S4" s="3"/>
      <c r="T4" s="4"/>
    </row>
    <row r="5" spans="2:20" x14ac:dyDescent="0.25">
      <c r="B5" s="2"/>
      <c r="C5" s="3"/>
      <c r="D5" s="3" t="s">
        <v>35</v>
      </c>
      <c r="E5" s="3"/>
      <c r="F5" s="3"/>
      <c r="G5" s="3"/>
      <c r="H5" s="3"/>
      <c r="I5" s="3"/>
      <c r="J5" s="3"/>
      <c r="K5" s="3"/>
      <c r="L5" s="3"/>
      <c r="M5" s="3"/>
      <c r="N5" s="3"/>
      <c r="O5" s="3"/>
      <c r="P5" s="3"/>
      <c r="Q5" s="3"/>
      <c r="R5" s="3"/>
      <c r="S5" s="3"/>
      <c r="T5" s="4"/>
    </row>
    <row r="6" spans="2:20" x14ac:dyDescent="0.25">
      <c r="B6" s="2"/>
      <c r="C6" s="3"/>
      <c r="D6" s="3" t="s">
        <v>36</v>
      </c>
      <c r="E6" s="3"/>
      <c r="F6" s="3"/>
      <c r="G6" s="3"/>
      <c r="H6" s="3"/>
      <c r="I6" s="3"/>
      <c r="J6" s="3"/>
      <c r="K6" s="3"/>
      <c r="L6" s="3"/>
      <c r="M6" s="3"/>
      <c r="N6" s="3"/>
      <c r="O6" s="3"/>
      <c r="P6" s="3"/>
      <c r="Q6" s="3"/>
      <c r="R6" s="3"/>
      <c r="S6" s="3"/>
      <c r="T6" s="4"/>
    </row>
    <row r="7" spans="2:20" x14ac:dyDescent="0.25">
      <c r="B7" s="2"/>
      <c r="C7" s="3"/>
      <c r="D7" s="3" t="s">
        <v>37</v>
      </c>
      <c r="E7" s="3"/>
      <c r="F7" s="3"/>
      <c r="G7" s="3"/>
      <c r="H7" s="3"/>
      <c r="I7" s="3"/>
      <c r="J7" s="3"/>
      <c r="K7" s="3"/>
      <c r="L7" s="3"/>
      <c r="M7" s="3"/>
      <c r="N7" s="3"/>
      <c r="O7" s="3"/>
      <c r="P7" s="3"/>
      <c r="Q7" s="3"/>
      <c r="R7" s="3"/>
      <c r="S7" s="3"/>
      <c r="T7" s="4"/>
    </row>
    <row r="8" spans="2:20" x14ac:dyDescent="0.25">
      <c r="B8" s="2"/>
      <c r="C8" s="3"/>
      <c r="D8" s="3" t="s">
        <v>55</v>
      </c>
      <c r="E8" s="3"/>
      <c r="F8" s="3"/>
      <c r="G8" s="3"/>
      <c r="H8" s="3"/>
      <c r="I8" s="3"/>
      <c r="J8" s="3"/>
      <c r="K8" s="3"/>
      <c r="L8" s="3"/>
      <c r="M8" s="3"/>
      <c r="N8" s="3"/>
      <c r="O8" s="3"/>
      <c r="P8" s="3"/>
      <c r="Q8" s="3"/>
      <c r="R8" s="3"/>
      <c r="S8" s="3"/>
      <c r="T8" s="4"/>
    </row>
    <row r="9" spans="2:20" x14ac:dyDescent="0.25">
      <c r="B9" s="2"/>
      <c r="C9" s="3"/>
      <c r="D9" s="3" t="s">
        <v>38</v>
      </c>
      <c r="E9" s="3"/>
      <c r="F9" s="3"/>
      <c r="G9" s="3"/>
      <c r="H9" s="3"/>
      <c r="I9" s="3"/>
      <c r="J9" s="3"/>
      <c r="K9" s="3"/>
      <c r="L9" s="3"/>
      <c r="M9" s="3"/>
      <c r="N9" s="3"/>
      <c r="O9" s="3"/>
      <c r="P9" s="3"/>
      <c r="Q9" s="3"/>
      <c r="R9" s="3"/>
      <c r="S9" s="3"/>
      <c r="T9" s="4"/>
    </row>
    <row r="10" spans="2:20" x14ac:dyDescent="0.25">
      <c r="B10" s="2"/>
      <c r="C10" s="3"/>
      <c r="D10" s="3" t="s">
        <v>39</v>
      </c>
      <c r="E10" s="3"/>
      <c r="F10" s="3"/>
      <c r="G10" s="3"/>
      <c r="H10" s="3"/>
      <c r="I10" s="3"/>
      <c r="J10" s="3"/>
      <c r="K10" s="3"/>
      <c r="L10" s="3"/>
      <c r="M10" s="3"/>
      <c r="N10" s="3"/>
      <c r="O10" s="3"/>
      <c r="P10" s="3"/>
      <c r="Q10" s="3"/>
      <c r="R10" s="3"/>
      <c r="S10" s="3"/>
      <c r="T10" s="4"/>
    </row>
    <row r="11" spans="2:20" x14ac:dyDescent="0.25">
      <c r="B11" s="2"/>
      <c r="C11" s="3"/>
      <c r="D11" s="3" t="s">
        <v>40</v>
      </c>
      <c r="E11" s="3"/>
      <c r="F11" s="3"/>
      <c r="G11" s="3"/>
      <c r="H11" s="3"/>
      <c r="I11" s="3"/>
      <c r="J11" s="3"/>
      <c r="K11" s="3"/>
      <c r="L11" s="3"/>
      <c r="M11" s="3"/>
      <c r="N11" s="3"/>
      <c r="O11" s="3"/>
      <c r="P11" s="3"/>
      <c r="Q11" s="3"/>
      <c r="R11" s="3"/>
      <c r="S11" s="3"/>
      <c r="T11" s="4"/>
    </row>
    <row r="12" spans="2:20" x14ac:dyDescent="0.25">
      <c r="B12" s="2"/>
      <c r="C12" s="3"/>
      <c r="D12" s="3" t="s">
        <v>42</v>
      </c>
      <c r="E12" s="3"/>
      <c r="F12" s="3"/>
      <c r="G12" s="3"/>
      <c r="H12" s="3"/>
      <c r="I12" s="3"/>
      <c r="J12" s="3"/>
      <c r="K12" s="3"/>
      <c r="L12" s="3"/>
      <c r="M12" s="3"/>
      <c r="N12" s="3"/>
      <c r="O12" s="3"/>
      <c r="P12" s="3"/>
      <c r="Q12" s="3"/>
      <c r="R12" s="3"/>
      <c r="S12" s="3"/>
      <c r="T12" s="4"/>
    </row>
    <row r="13" spans="2:20" x14ac:dyDescent="0.25">
      <c r="B13" s="2"/>
      <c r="C13" s="3"/>
      <c r="D13" s="3" t="s">
        <v>43</v>
      </c>
      <c r="E13" s="3"/>
      <c r="F13" s="3"/>
      <c r="G13" s="3"/>
      <c r="H13" s="3"/>
      <c r="I13" s="3"/>
      <c r="J13" s="3"/>
      <c r="K13" s="3"/>
      <c r="L13" s="3"/>
      <c r="M13" s="3"/>
      <c r="N13" s="3"/>
      <c r="O13" s="3"/>
      <c r="P13" s="3"/>
      <c r="Q13" s="3"/>
      <c r="R13" s="3"/>
      <c r="S13" s="3"/>
      <c r="T13" s="4"/>
    </row>
    <row r="14" spans="2:20" x14ac:dyDescent="0.25">
      <c r="B14" s="2"/>
      <c r="C14" s="3"/>
      <c r="D14" s="3"/>
      <c r="E14" s="3"/>
      <c r="F14" s="3"/>
      <c r="G14" s="3"/>
      <c r="H14" s="3"/>
      <c r="I14" s="3"/>
      <c r="J14" s="3"/>
      <c r="K14" s="3"/>
      <c r="L14" s="3"/>
      <c r="M14" s="3"/>
      <c r="N14" s="3"/>
      <c r="O14" s="3"/>
      <c r="P14" s="3"/>
      <c r="Q14" s="3"/>
      <c r="R14" s="3"/>
      <c r="S14" s="3"/>
      <c r="T14" s="4"/>
    </row>
    <row r="15" spans="2:20" x14ac:dyDescent="0.25">
      <c r="B15" s="2"/>
      <c r="C15" s="5" t="s">
        <v>50</v>
      </c>
      <c r="D15" s="3"/>
      <c r="E15" s="3"/>
      <c r="F15" s="3"/>
      <c r="G15" s="3"/>
      <c r="H15" s="3"/>
      <c r="I15" s="3"/>
      <c r="J15" s="3"/>
      <c r="K15" s="3"/>
      <c r="L15" s="3"/>
      <c r="M15" s="3"/>
      <c r="N15" s="3"/>
      <c r="O15" s="3"/>
      <c r="P15" s="3"/>
      <c r="Q15" s="3"/>
      <c r="R15" s="3"/>
      <c r="S15" s="3"/>
      <c r="T15" s="4"/>
    </row>
    <row r="16" spans="2:20" x14ac:dyDescent="0.25">
      <c r="B16" s="2"/>
      <c r="C16" s="3"/>
      <c r="D16" s="3" t="s">
        <v>51</v>
      </c>
      <c r="E16" s="3"/>
      <c r="F16" s="3"/>
      <c r="G16" s="3"/>
      <c r="H16" s="3"/>
      <c r="I16" s="3"/>
      <c r="J16" s="3"/>
      <c r="K16" s="3"/>
      <c r="L16" s="3"/>
      <c r="M16" s="3"/>
      <c r="N16" s="3"/>
      <c r="O16" s="3"/>
      <c r="P16" s="3"/>
      <c r="Q16" s="3"/>
      <c r="R16" s="3"/>
      <c r="S16" s="3"/>
      <c r="T16" s="4"/>
    </row>
    <row r="17" spans="2:20" x14ac:dyDescent="0.25">
      <c r="B17" s="2"/>
      <c r="C17" s="3"/>
      <c r="D17" s="3" t="s">
        <v>52</v>
      </c>
      <c r="E17" s="3"/>
      <c r="F17" s="3"/>
      <c r="G17" s="3"/>
      <c r="H17" s="3"/>
      <c r="I17" s="3"/>
      <c r="J17" s="3"/>
      <c r="K17" s="3"/>
      <c r="L17" s="3"/>
      <c r="M17" s="3"/>
      <c r="N17" s="3"/>
      <c r="O17" s="3"/>
      <c r="P17" s="3"/>
      <c r="Q17" s="3"/>
      <c r="R17" s="3"/>
      <c r="S17" s="3"/>
      <c r="T17" s="4"/>
    </row>
    <row r="18" spans="2:20" x14ac:dyDescent="0.25">
      <c r="B18" s="2"/>
      <c r="C18" s="3"/>
      <c r="D18" s="3" t="s">
        <v>53</v>
      </c>
      <c r="E18" s="3"/>
      <c r="F18" s="3"/>
      <c r="G18" s="3"/>
      <c r="H18" s="3"/>
      <c r="I18" s="3"/>
      <c r="J18" s="3"/>
      <c r="K18" s="3"/>
      <c r="L18" s="3"/>
      <c r="M18" s="3"/>
      <c r="N18" s="3"/>
      <c r="O18" s="3"/>
      <c r="P18" s="3"/>
      <c r="Q18" s="3"/>
      <c r="R18" s="3"/>
      <c r="S18" s="3"/>
      <c r="T18" s="4"/>
    </row>
    <row r="19" spans="2:20" x14ac:dyDescent="0.25">
      <c r="B19" s="2"/>
      <c r="C19" s="3"/>
      <c r="D19" s="3" t="s">
        <v>54</v>
      </c>
      <c r="E19" s="3"/>
      <c r="F19" s="3"/>
      <c r="G19" s="3"/>
      <c r="H19" s="3"/>
      <c r="I19" s="3"/>
      <c r="J19" s="3"/>
      <c r="K19" s="3"/>
      <c r="L19" s="3"/>
      <c r="M19" s="3"/>
      <c r="N19" s="3"/>
      <c r="O19" s="3"/>
      <c r="P19" s="3"/>
      <c r="Q19" s="3"/>
      <c r="R19" s="3"/>
      <c r="S19" s="3"/>
      <c r="T19" s="4"/>
    </row>
    <row r="20" spans="2:20" x14ac:dyDescent="0.25">
      <c r="B20" s="2"/>
      <c r="C20" s="3"/>
      <c r="D20" s="3" t="s">
        <v>57</v>
      </c>
      <c r="E20" s="3"/>
      <c r="F20" s="3"/>
      <c r="G20" s="3"/>
      <c r="H20" s="3"/>
      <c r="I20" s="3"/>
      <c r="J20" s="3"/>
      <c r="K20" s="3"/>
      <c r="L20" s="3"/>
      <c r="M20" s="3"/>
      <c r="N20" s="3"/>
      <c r="O20" s="3"/>
      <c r="P20" s="3"/>
      <c r="Q20" s="3"/>
      <c r="R20" s="3"/>
      <c r="S20" s="3"/>
      <c r="T20" s="4"/>
    </row>
    <row r="21" spans="2:20" x14ac:dyDescent="0.25">
      <c r="B21" s="2"/>
      <c r="C21" s="3"/>
      <c r="D21" s="3" t="s">
        <v>58</v>
      </c>
      <c r="E21" s="3"/>
      <c r="F21" s="3"/>
      <c r="G21" s="3"/>
      <c r="H21" s="3"/>
      <c r="I21" s="3"/>
      <c r="J21" s="3"/>
      <c r="K21" s="3"/>
      <c r="L21" s="3"/>
      <c r="M21" s="3"/>
      <c r="N21" s="3"/>
      <c r="O21" s="3"/>
      <c r="P21" s="3"/>
      <c r="Q21" s="3"/>
      <c r="R21" s="3"/>
      <c r="S21" s="3"/>
      <c r="T21" s="4"/>
    </row>
    <row r="22" spans="2:20" x14ac:dyDescent="0.25">
      <c r="B22" s="2"/>
      <c r="C22" s="3"/>
      <c r="D22" s="3" t="s">
        <v>59</v>
      </c>
      <c r="E22" s="3"/>
      <c r="F22" s="3"/>
      <c r="G22" s="3"/>
      <c r="H22" s="3"/>
      <c r="I22" s="3"/>
      <c r="J22" s="3"/>
      <c r="K22" s="3"/>
      <c r="L22" s="3"/>
      <c r="M22" s="3"/>
      <c r="N22" s="3"/>
      <c r="O22" s="3"/>
      <c r="P22" s="3"/>
      <c r="Q22" s="3"/>
      <c r="R22" s="3"/>
      <c r="S22" s="3"/>
      <c r="T22" s="4"/>
    </row>
    <row r="23" spans="2:20" x14ac:dyDescent="0.25">
      <c r="B23" s="2"/>
      <c r="C23" s="3"/>
      <c r="D23" s="3"/>
      <c r="E23" s="3"/>
      <c r="F23" s="3"/>
      <c r="G23" s="3"/>
      <c r="H23" s="3"/>
      <c r="I23" s="3"/>
      <c r="J23" s="3"/>
      <c r="K23" s="3"/>
      <c r="L23" s="3"/>
      <c r="M23" s="3"/>
      <c r="N23" s="3"/>
      <c r="O23" s="3"/>
      <c r="P23" s="3"/>
      <c r="Q23" s="3"/>
      <c r="R23" s="3"/>
      <c r="S23" s="3"/>
      <c r="T23" s="4"/>
    </row>
    <row r="24" spans="2:20" x14ac:dyDescent="0.25">
      <c r="B24" s="2"/>
      <c r="C24" s="5" t="s">
        <v>27</v>
      </c>
      <c r="D24" s="3"/>
      <c r="E24" s="3"/>
      <c r="F24" s="3"/>
      <c r="G24" s="3"/>
      <c r="H24" s="3"/>
      <c r="I24" s="3"/>
      <c r="J24" s="3"/>
      <c r="K24" s="3"/>
      <c r="L24" s="3"/>
      <c r="M24" s="3"/>
      <c r="N24" s="3"/>
      <c r="O24" s="3"/>
      <c r="P24" s="3"/>
      <c r="Q24" s="3"/>
      <c r="R24" s="3"/>
      <c r="S24" s="3"/>
      <c r="T24" s="4"/>
    </row>
    <row r="25" spans="2:20" x14ac:dyDescent="0.25">
      <c r="B25" s="2"/>
      <c r="C25" s="3"/>
      <c r="D25" s="3" t="s">
        <v>28</v>
      </c>
      <c r="E25" s="3"/>
      <c r="F25" s="3"/>
      <c r="G25" s="3"/>
      <c r="H25" s="3"/>
      <c r="I25" s="3"/>
      <c r="J25" s="3"/>
      <c r="K25" s="3"/>
      <c r="L25" s="3"/>
      <c r="M25" s="3"/>
      <c r="N25" s="3"/>
      <c r="O25" s="3"/>
      <c r="P25" s="3"/>
      <c r="Q25" s="3"/>
      <c r="R25" s="3"/>
      <c r="S25" s="3"/>
      <c r="T25" s="4"/>
    </row>
    <row r="26" spans="2:20" x14ac:dyDescent="0.25">
      <c r="B26" s="2"/>
      <c r="C26" s="3"/>
      <c r="D26" s="3" t="s">
        <v>29</v>
      </c>
      <c r="E26" s="3"/>
      <c r="F26" s="3"/>
      <c r="G26" s="3"/>
      <c r="H26" s="3"/>
      <c r="I26" s="3"/>
      <c r="J26" s="3"/>
      <c r="K26" s="3"/>
      <c r="L26" s="3"/>
      <c r="M26" s="3"/>
      <c r="N26" s="3"/>
      <c r="O26" s="3"/>
      <c r="P26" s="3"/>
      <c r="Q26" s="3"/>
      <c r="R26" s="3"/>
      <c r="S26" s="3"/>
      <c r="T26" s="4"/>
    </row>
    <row r="27" spans="2:20" x14ac:dyDescent="0.25">
      <c r="B27" s="2"/>
      <c r="C27" s="3"/>
      <c r="D27" s="3" t="s">
        <v>30</v>
      </c>
      <c r="E27" s="3"/>
      <c r="F27" s="3"/>
      <c r="G27" s="3"/>
      <c r="H27" s="3"/>
      <c r="I27" s="3"/>
      <c r="J27" s="3"/>
      <c r="K27" s="3"/>
      <c r="L27" s="3"/>
      <c r="M27" s="3"/>
      <c r="N27" s="3"/>
      <c r="O27" s="3"/>
      <c r="P27" s="3"/>
      <c r="Q27" s="3"/>
      <c r="R27" s="3"/>
      <c r="S27" s="3"/>
      <c r="T27" s="4"/>
    </row>
    <row r="28" spans="2:20" x14ac:dyDescent="0.25">
      <c r="B28" s="2"/>
      <c r="C28" s="3"/>
      <c r="D28" s="3" t="s">
        <v>31</v>
      </c>
      <c r="E28" s="3"/>
      <c r="F28" s="3"/>
      <c r="G28" s="3"/>
      <c r="H28" s="3"/>
      <c r="I28" s="3"/>
      <c r="J28" s="3"/>
      <c r="K28" s="3"/>
      <c r="L28" s="3"/>
      <c r="M28" s="3"/>
      <c r="N28" s="3"/>
      <c r="O28" s="3"/>
      <c r="P28" s="3"/>
      <c r="Q28" s="3"/>
      <c r="R28" s="3"/>
      <c r="S28" s="3"/>
      <c r="T28" s="4"/>
    </row>
    <row r="29" spans="2:20" x14ac:dyDescent="0.25">
      <c r="B29" s="2"/>
      <c r="C29" s="3"/>
      <c r="D29" s="3"/>
      <c r="E29" s="3"/>
      <c r="F29" s="3"/>
      <c r="G29" s="3"/>
      <c r="H29" s="3"/>
      <c r="I29" s="3"/>
      <c r="J29" s="3"/>
      <c r="K29" s="3"/>
      <c r="L29" s="3"/>
      <c r="M29" s="3"/>
      <c r="N29" s="3"/>
      <c r="O29" s="3"/>
      <c r="P29" s="3"/>
      <c r="Q29" s="3"/>
      <c r="R29" s="3"/>
      <c r="S29" s="3"/>
      <c r="T29" s="4"/>
    </row>
    <row r="30" spans="2:20" x14ac:dyDescent="0.25">
      <c r="B30" s="2"/>
      <c r="C30" s="5" t="s">
        <v>32</v>
      </c>
      <c r="D30" s="3"/>
      <c r="E30" s="3"/>
      <c r="F30" s="3"/>
      <c r="G30" s="3"/>
      <c r="H30" s="3"/>
      <c r="I30" s="3"/>
      <c r="J30" s="3"/>
      <c r="K30" s="3"/>
      <c r="L30" s="3"/>
      <c r="M30" s="3"/>
      <c r="N30" s="3"/>
      <c r="O30" s="3"/>
      <c r="P30" s="3"/>
      <c r="Q30" s="3"/>
      <c r="R30" s="3"/>
      <c r="S30" s="3"/>
      <c r="T30" s="4"/>
    </row>
    <row r="31" spans="2:20" x14ac:dyDescent="0.25">
      <c r="B31" s="2"/>
      <c r="C31" s="3"/>
      <c r="D31" s="3" t="s">
        <v>33</v>
      </c>
      <c r="E31" s="3"/>
      <c r="F31" s="3"/>
      <c r="G31" s="3"/>
      <c r="H31" s="3"/>
      <c r="I31" s="3"/>
      <c r="J31" s="3"/>
      <c r="K31" s="3"/>
      <c r="L31" s="3"/>
      <c r="M31" s="3"/>
      <c r="N31" s="3"/>
      <c r="O31" s="3"/>
      <c r="P31" s="3"/>
      <c r="Q31" s="3"/>
      <c r="R31" s="3"/>
      <c r="S31" s="3"/>
      <c r="T31" s="4"/>
    </row>
    <row r="32" spans="2:20" x14ac:dyDescent="0.25">
      <c r="B32" s="2"/>
      <c r="C32" s="3"/>
      <c r="D32" s="3" t="s">
        <v>44</v>
      </c>
      <c r="E32" s="3"/>
      <c r="F32" s="3"/>
      <c r="G32" s="3"/>
      <c r="H32" s="3"/>
      <c r="I32" s="3"/>
      <c r="J32" s="3"/>
      <c r="K32" s="3"/>
      <c r="L32" s="3"/>
      <c r="M32" s="3"/>
      <c r="N32" s="3"/>
      <c r="O32" s="3"/>
      <c r="P32" s="3"/>
      <c r="Q32" s="3"/>
      <c r="R32" s="3"/>
      <c r="S32" s="3"/>
      <c r="T32" s="4"/>
    </row>
    <row r="33" spans="2:20" x14ac:dyDescent="0.25">
      <c r="B33" s="2"/>
      <c r="C33" s="3"/>
      <c r="D33" s="3" t="s">
        <v>45</v>
      </c>
      <c r="E33" s="3"/>
      <c r="F33" s="3"/>
      <c r="G33" s="3"/>
      <c r="H33" s="3"/>
      <c r="I33" s="3"/>
      <c r="J33" s="3"/>
      <c r="K33" s="3"/>
      <c r="L33" s="3"/>
      <c r="M33" s="3"/>
      <c r="N33" s="3"/>
      <c r="O33" s="3"/>
      <c r="P33" s="3"/>
      <c r="Q33" s="3"/>
      <c r="R33" s="3"/>
      <c r="S33" s="3"/>
      <c r="T33" s="4"/>
    </row>
    <row r="34" spans="2:20" x14ac:dyDescent="0.25">
      <c r="B34" s="2"/>
      <c r="C34" s="3"/>
      <c r="D34" s="3" t="s">
        <v>46</v>
      </c>
      <c r="E34" s="3"/>
      <c r="F34" s="3"/>
      <c r="G34" s="3"/>
      <c r="H34" s="3"/>
      <c r="I34" s="3"/>
      <c r="J34" s="3"/>
      <c r="K34" s="3"/>
      <c r="L34" s="3"/>
      <c r="M34" s="3"/>
      <c r="N34" s="3"/>
      <c r="O34" s="3"/>
      <c r="P34" s="3"/>
      <c r="Q34" s="3"/>
      <c r="R34" s="3"/>
      <c r="S34" s="3"/>
      <c r="T34" s="4"/>
    </row>
    <row r="35" spans="2:20" x14ac:dyDescent="0.25">
      <c r="B35" s="2"/>
      <c r="C35" s="3"/>
      <c r="D35" s="3"/>
      <c r="E35" s="3"/>
      <c r="F35" s="3"/>
      <c r="G35" s="3"/>
      <c r="H35" s="3"/>
      <c r="I35" s="3"/>
      <c r="J35" s="3"/>
      <c r="K35" s="3"/>
      <c r="L35" s="3"/>
      <c r="M35" s="3"/>
      <c r="N35" s="3"/>
      <c r="O35" s="3"/>
      <c r="P35" s="3"/>
      <c r="Q35" s="3"/>
      <c r="R35" s="3"/>
      <c r="S35" s="3"/>
      <c r="T35" s="4"/>
    </row>
    <row r="36" spans="2:20" x14ac:dyDescent="0.25">
      <c r="B36" s="2"/>
      <c r="C36" s="5" t="s">
        <v>41</v>
      </c>
      <c r="D36" s="3"/>
      <c r="E36" s="3"/>
      <c r="F36" s="3"/>
      <c r="G36" s="3"/>
      <c r="H36" s="3"/>
      <c r="I36" s="3"/>
      <c r="J36" s="3"/>
      <c r="K36" s="3"/>
      <c r="L36" s="3"/>
      <c r="M36" s="3"/>
      <c r="N36" s="3"/>
      <c r="O36" s="3"/>
      <c r="P36" s="3"/>
      <c r="Q36" s="3"/>
      <c r="R36" s="3"/>
      <c r="S36" s="3"/>
      <c r="T36" s="4"/>
    </row>
    <row r="37" spans="2:20" x14ac:dyDescent="0.25">
      <c r="B37" s="2"/>
      <c r="C37" s="3"/>
      <c r="D37" s="3" t="s">
        <v>47</v>
      </c>
      <c r="E37" s="3"/>
      <c r="F37" s="3"/>
      <c r="G37" s="3"/>
      <c r="H37" s="3"/>
      <c r="I37" s="3"/>
      <c r="J37" s="3"/>
      <c r="K37" s="3"/>
      <c r="L37" s="3"/>
      <c r="M37" s="3"/>
      <c r="N37" s="3"/>
      <c r="O37" s="3"/>
      <c r="P37" s="3"/>
      <c r="Q37" s="3"/>
      <c r="R37" s="3"/>
      <c r="S37" s="3"/>
      <c r="T37" s="4"/>
    </row>
    <row r="38" spans="2:20" x14ac:dyDescent="0.25">
      <c r="B38" s="2"/>
      <c r="C38" s="3"/>
      <c r="D38" s="3" t="s">
        <v>48</v>
      </c>
      <c r="E38" s="3"/>
      <c r="F38" s="3"/>
      <c r="G38" s="3"/>
      <c r="H38" s="3"/>
      <c r="I38" s="3"/>
      <c r="J38" s="3"/>
      <c r="K38" s="3"/>
      <c r="L38" s="3"/>
      <c r="M38" s="3"/>
      <c r="N38" s="3"/>
      <c r="O38" s="3"/>
      <c r="P38" s="3"/>
      <c r="Q38" s="3"/>
      <c r="R38" s="3"/>
      <c r="S38" s="3"/>
      <c r="T38" s="4"/>
    </row>
    <row r="39" spans="2:20" x14ac:dyDescent="0.25">
      <c r="B39" s="2"/>
      <c r="C39" s="3"/>
      <c r="D39" s="3" t="s">
        <v>49</v>
      </c>
      <c r="E39" s="3"/>
      <c r="F39" s="3"/>
      <c r="G39" s="3"/>
      <c r="H39" s="3"/>
      <c r="I39" s="3"/>
      <c r="J39" s="3"/>
      <c r="K39" s="3"/>
      <c r="L39" s="3"/>
      <c r="M39" s="3"/>
      <c r="N39" s="3"/>
      <c r="O39" s="3"/>
      <c r="P39" s="3"/>
      <c r="Q39" s="3"/>
      <c r="R39" s="3"/>
      <c r="S39" s="3"/>
      <c r="T39" s="4"/>
    </row>
    <row r="40" spans="2:20" x14ac:dyDescent="0.25">
      <c r="B40" s="2"/>
      <c r="C40" s="3"/>
      <c r="D40" s="3" t="s">
        <v>56</v>
      </c>
      <c r="E40" s="3"/>
      <c r="F40" s="3"/>
      <c r="G40" s="3"/>
      <c r="H40" s="3"/>
      <c r="I40" s="3"/>
      <c r="J40" s="3"/>
      <c r="K40" s="3"/>
      <c r="L40" s="3"/>
      <c r="M40" s="3"/>
      <c r="N40" s="3"/>
      <c r="O40" s="3"/>
      <c r="P40" s="3"/>
      <c r="Q40" s="3"/>
      <c r="R40" s="3"/>
      <c r="S40" s="3"/>
      <c r="T40" s="4"/>
    </row>
    <row r="41" spans="2:20" x14ac:dyDescent="0.25">
      <c r="B41" s="2"/>
      <c r="C41" s="3"/>
      <c r="D41" s="3"/>
      <c r="E41" s="3"/>
      <c r="F41" s="3"/>
      <c r="G41" s="3"/>
      <c r="H41" s="3"/>
      <c r="I41" s="3"/>
      <c r="J41" s="3"/>
      <c r="K41" s="3"/>
      <c r="L41" s="3"/>
      <c r="M41" s="3"/>
      <c r="N41" s="3"/>
      <c r="O41" s="3"/>
      <c r="P41" s="3"/>
      <c r="Q41" s="3"/>
      <c r="R41" s="3"/>
      <c r="S41" s="3"/>
      <c r="T41" s="4"/>
    </row>
    <row r="42" spans="2:20" x14ac:dyDescent="0.25">
      <c r="B42" s="2"/>
      <c r="C42" s="5" t="s">
        <v>60</v>
      </c>
      <c r="D42" s="3"/>
      <c r="E42" s="3"/>
      <c r="F42" s="3"/>
      <c r="G42" s="3"/>
      <c r="H42" s="3"/>
      <c r="I42" s="3"/>
      <c r="J42" s="3"/>
      <c r="K42" s="3"/>
      <c r="L42" s="3"/>
      <c r="M42" s="3"/>
      <c r="N42" s="3"/>
      <c r="O42" s="3"/>
      <c r="P42" s="3"/>
      <c r="Q42" s="3"/>
      <c r="R42" s="3"/>
      <c r="S42" s="3"/>
      <c r="T42" s="4"/>
    </row>
    <row r="43" spans="2:20" x14ac:dyDescent="0.25">
      <c r="B43" s="2"/>
      <c r="C43" s="3"/>
      <c r="D43" s="3" t="s">
        <v>61</v>
      </c>
      <c r="E43" s="3"/>
      <c r="F43" s="3"/>
      <c r="G43" s="3"/>
      <c r="H43" s="3"/>
      <c r="I43" s="3"/>
      <c r="J43" s="3"/>
      <c r="K43" s="3"/>
      <c r="L43" s="3"/>
      <c r="M43" s="3"/>
      <c r="N43" s="3"/>
      <c r="O43" s="3"/>
      <c r="P43" s="3"/>
      <c r="Q43" s="3"/>
      <c r="R43" s="3"/>
      <c r="S43" s="3"/>
      <c r="T43" s="4"/>
    </row>
    <row r="44" spans="2:20" x14ac:dyDescent="0.25">
      <c r="B44" s="2"/>
      <c r="C44" s="3"/>
      <c r="D44" s="3" t="s">
        <v>62</v>
      </c>
      <c r="E44" s="3"/>
      <c r="F44" s="3"/>
      <c r="G44" s="3"/>
      <c r="H44" s="3"/>
      <c r="I44" s="3"/>
      <c r="J44" s="3"/>
      <c r="K44" s="3"/>
      <c r="L44" s="3"/>
      <c r="M44" s="3"/>
      <c r="N44" s="3"/>
      <c r="O44" s="3"/>
      <c r="P44" s="3"/>
      <c r="Q44" s="3"/>
      <c r="R44" s="3"/>
      <c r="S44" s="3"/>
      <c r="T44" s="4"/>
    </row>
    <row r="45" spans="2:20" x14ac:dyDescent="0.25">
      <c r="B45" s="2"/>
      <c r="C45" s="3"/>
      <c r="D45" s="3" t="s">
        <v>63</v>
      </c>
      <c r="E45" s="3"/>
      <c r="F45" s="3"/>
      <c r="G45" s="3"/>
      <c r="H45" s="3"/>
      <c r="I45" s="3"/>
      <c r="J45" s="3"/>
      <c r="K45" s="3"/>
      <c r="L45" s="3"/>
      <c r="M45" s="3"/>
      <c r="N45" s="3"/>
      <c r="O45" s="3"/>
      <c r="P45" s="3"/>
      <c r="Q45" s="3"/>
      <c r="R45" s="3"/>
      <c r="S45" s="3"/>
      <c r="T45" s="4"/>
    </row>
    <row r="46" spans="2:20" x14ac:dyDescent="0.25">
      <c r="B46" s="2"/>
      <c r="C46" s="3"/>
      <c r="D46" s="3" t="s">
        <v>68</v>
      </c>
      <c r="E46" s="3"/>
      <c r="F46" s="3"/>
      <c r="G46" s="3"/>
      <c r="H46" s="3"/>
      <c r="I46" s="3"/>
      <c r="J46" s="3"/>
      <c r="K46" s="3"/>
      <c r="L46" s="3"/>
      <c r="M46" s="3"/>
      <c r="N46" s="3"/>
      <c r="O46" s="3"/>
      <c r="P46" s="3"/>
      <c r="Q46" s="3"/>
      <c r="R46" s="3"/>
      <c r="S46" s="3"/>
      <c r="T46" s="4"/>
    </row>
    <row r="47" spans="2:20" x14ac:dyDescent="0.25">
      <c r="B47" s="2"/>
      <c r="C47" s="3"/>
      <c r="D47" s="3" t="s">
        <v>69</v>
      </c>
      <c r="E47" s="3"/>
      <c r="F47" s="3"/>
      <c r="G47" s="3"/>
      <c r="H47" s="3"/>
      <c r="I47" s="3"/>
      <c r="J47" s="3"/>
      <c r="K47" s="3"/>
      <c r="L47" s="3"/>
      <c r="M47" s="3"/>
      <c r="N47" s="3"/>
      <c r="O47" s="3"/>
      <c r="P47" s="3"/>
      <c r="Q47" s="3"/>
      <c r="R47" s="3"/>
      <c r="S47" s="3"/>
      <c r="T47" s="4"/>
    </row>
    <row r="48" spans="2:20" x14ac:dyDescent="0.25">
      <c r="B48" s="2"/>
      <c r="C48" s="3"/>
      <c r="D48" s="3" t="s">
        <v>64</v>
      </c>
      <c r="E48" s="3"/>
      <c r="F48" s="3"/>
      <c r="G48" s="3"/>
      <c r="H48" s="3"/>
      <c r="I48" s="3"/>
      <c r="J48" s="3"/>
      <c r="K48" s="3"/>
      <c r="L48" s="3"/>
      <c r="M48" s="3"/>
      <c r="N48" s="3"/>
      <c r="O48" s="3"/>
      <c r="P48" s="3"/>
      <c r="Q48" s="3"/>
      <c r="R48" s="3"/>
      <c r="S48" s="3"/>
      <c r="T48" s="4"/>
    </row>
    <row r="49" spans="2:20" x14ac:dyDescent="0.25">
      <c r="B49" s="2"/>
      <c r="C49" s="3"/>
      <c r="D49" s="3" t="s">
        <v>67</v>
      </c>
      <c r="E49" s="3"/>
      <c r="F49" s="3"/>
      <c r="G49" s="3"/>
      <c r="H49" s="3"/>
      <c r="I49" s="3"/>
      <c r="J49" s="3"/>
      <c r="K49" s="3"/>
      <c r="L49" s="3"/>
      <c r="M49" s="3"/>
      <c r="N49" s="3"/>
      <c r="O49" s="3"/>
      <c r="P49" s="3"/>
      <c r="Q49" s="3"/>
      <c r="R49" s="3"/>
      <c r="S49" s="3"/>
      <c r="T49" s="4"/>
    </row>
    <row r="50" spans="2:20" x14ac:dyDescent="0.25">
      <c r="B50" s="2"/>
      <c r="C50" s="3"/>
      <c r="D50" s="3" t="s">
        <v>70</v>
      </c>
      <c r="E50" s="3"/>
      <c r="F50" s="3"/>
      <c r="G50" s="3"/>
      <c r="H50" s="3"/>
      <c r="I50" s="3"/>
      <c r="J50" s="3"/>
      <c r="K50" s="3"/>
      <c r="L50" s="3"/>
      <c r="M50" s="3"/>
      <c r="N50" s="3"/>
      <c r="O50" s="3"/>
      <c r="P50" s="3"/>
      <c r="Q50" s="3"/>
      <c r="R50" s="3"/>
      <c r="S50" s="3"/>
      <c r="T50" s="4"/>
    </row>
    <row r="51" spans="2:20" x14ac:dyDescent="0.25">
      <c r="B51" s="2"/>
      <c r="C51" s="3"/>
      <c r="D51" s="3" t="s">
        <v>71</v>
      </c>
      <c r="E51" s="3"/>
      <c r="F51" s="3"/>
      <c r="G51" s="3"/>
      <c r="H51" s="3"/>
      <c r="I51" s="3"/>
      <c r="J51" s="3"/>
      <c r="K51" s="3"/>
      <c r="L51" s="3"/>
      <c r="M51" s="3"/>
      <c r="N51" s="3"/>
      <c r="O51" s="3"/>
      <c r="P51" s="3"/>
      <c r="Q51" s="3"/>
      <c r="R51" s="3"/>
      <c r="S51" s="3"/>
      <c r="T51" s="4"/>
    </row>
    <row r="52" spans="2:20" ht="15.75" thickBot="1" x14ac:dyDescent="0.3">
      <c r="B52" s="6"/>
      <c r="C52" s="7"/>
      <c r="D52" s="7"/>
      <c r="E52" s="7"/>
      <c r="F52" s="7"/>
      <c r="G52" s="7"/>
      <c r="H52" s="7"/>
      <c r="I52" s="7"/>
      <c r="J52" s="7"/>
      <c r="K52" s="7"/>
      <c r="L52" s="7"/>
      <c r="M52" s="7"/>
      <c r="N52" s="7"/>
      <c r="O52" s="7"/>
      <c r="P52" s="7"/>
      <c r="Q52" s="7"/>
      <c r="R52" s="7"/>
      <c r="S52" s="7"/>
      <c r="T52" s="8"/>
    </row>
    <row r="53" spans="2:20" ht="15.75" thickTop="1" x14ac:dyDescent="0.25"/>
  </sheetData>
  <sheetProtection algorithmName="SHA-512" hashValue="uiHbwOb1mybg5WuN5niPTtZMYVqYanwqltgN7buCi6JR2mTgslJL+nVR0owdHltpCNL2tjem4GqQ0uJC1VWgdA==" saltValue="xUbBA3r8e7JfHYdQXnBZ4g==" spinCount="100000" sheet="1" objects="1" scenarios="1"/>
  <mergeCells count="1">
    <mergeCell ref="B2:T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9"/>
  <sheetViews>
    <sheetView view="pageBreakPreview" zoomScale="98" zoomScaleNormal="100" zoomScaleSheetLayoutView="98" workbookViewId="0">
      <selection activeCell="Q31" sqref="Q31"/>
    </sheetView>
  </sheetViews>
  <sheetFormatPr defaultRowHeight="15" x14ac:dyDescent="0.25"/>
  <cols>
    <col min="1" max="14" width="9.140625" style="1"/>
    <col min="15" max="15" width="16.5703125" style="1" customWidth="1"/>
    <col min="16" max="16384" width="9.140625" style="1"/>
  </cols>
  <sheetData>
    <row r="39" ht="18.75" customHeight="1" x14ac:dyDescent="0.25"/>
  </sheetData>
  <printOptions horizontalCentered="1" verticalCentered="1"/>
  <pageMargins left="0" right="0" top="0" bottom="0" header="0"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B905"/>
  <sheetViews>
    <sheetView showGridLines="0" zoomScale="80" zoomScaleNormal="80" workbookViewId="0">
      <selection activeCell="A2" sqref="A2"/>
    </sheetView>
  </sheetViews>
  <sheetFormatPr defaultColWidth="8.85546875" defaultRowHeight="15" x14ac:dyDescent="0.25"/>
  <cols>
    <col min="1" max="1" width="9.140625" style="11" customWidth="1"/>
    <col min="2" max="2" width="14.7109375" style="11" customWidth="1"/>
    <col min="3" max="3" width="12.42578125" style="14" customWidth="1"/>
    <col min="4" max="4" width="9.42578125" style="14" customWidth="1"/>
    <col min="5" max="5" width="21" style="14" customWidth="1"/>
    <col min="6" max="6" width="11" style="11" customWidth="1"/>
    <col min="7" max="12" width="8.85546875" style="11" customWidth="1"/>
    <col min="13" max="13" width="11.5703125" style="11" customWidth="1"/>
    <col min="14" max="14" width="48.5703125" style="11" customWidth="1"/>
    <col min="15" max="15" width="29.85546875" style="11" customWidth="1"/>
    <col min="16" max="16" width="20.7109375" style="11" customWidth="1"/>
    <col min="17" max="17" width="35.85546875" style="11" customWidth="1"/>
    <col min="18" max="18" width="15.7109375" style="11" customWidth="1"/>
    <col min="19" max="19" width="16.42578125" style="11" customWidth="1"/>
    <col min="20" max="20" width="30.28515625" style="11" customWidth="1"/>
    <col min="21" max="21" width="26.28515625" style="11" customWidth="1"/>
    <col min="22" max="22" width="41" style="11" customWidth="1"/>
    <col min="23" max="23" width="34.28515625" style="11" customWidth="1"/>
    <col min="24" max="24" width="19.5703125" style="11" customWidth="1"/>
    <col min="25" max="25" width="8.7109375" style="11" customWidth="1"/>
    <col min="26" max="26" width="52.28515625" style="11" customWidth="1"/>
    <col min="27" max="27" width="23.140625" style="11" customWidth="1"/>
    <col min="28" max="28" width="23.42578125" style="11" customWidth="1"/>
    <col min="29" max="29" width="26" style="11" customWidth="1"/>
    <col min="30" max="30" width="31.5703125" style="11" customWidth="1"/>
    <col min="31" max="31" width="22.7109375" style="11" customWidth="1"/>
    <col min="32" max="32" width="21" style="11" customWidth="1"/>
    <col min="33" max="33" width="18.85546875" style="11" customWidth="1"/>
    <col min="34" max="34" width="18.42578125" style="11" customWidth="1"/>
    <col min="35" max="35" width="13.5703125" style="11" customWidth="1"/>
    <col min="36" max="36" width="10.7109375" style="11" customWidth="1"/>
    <col min="37" max="37" width="43.7109375" style="11" customWidth="1"/>
    <col min="38" max="38" width="44.28515625" style="11" customWidth="1"/>
    <col min="39" max="39" width="22.7109375" style="11" customWidth="1"/>
    <col min="40" max="40" width="23.5703125" style="11" customWidth="1"/>
    <col min="41" max="41" width="39.85546875" style="11" customWidth="1"/>
    <col min="42" max="42" width="10.7109375" style="11" customWidth="1"/>
    <col min="43" max="43" width="23.140625" style="11" customWidth="1"/>
    <col min="44" max="44" width="20.5703125" style="11" customWidth="1"/>
    <col min="45" max="45" width="18" style="11" customWidth="1"/>
    <col min="46" max="46" width="20.5703125" style="11" customWidth="1"/>
    <col min="47" max="47" width="11.5703125" style="11" customWidth="1"/>
    <col min="48" max="157" width="47.28515625" style="11" bestFit="1" customWidth="1"/>
    <col min="158" max="158" width="11.28515625" style="11" customWidth="1"/>
    <col min="159" max="159" width="45.28515625" style="11" bestFit="1" customWidth="1"/>
    <col min="160" max="160" width="10.7109375" style="11" bestFit="1" customWidth="1"/>
    <col min="161" max="16384" width="8.85546875" style="11"/>
  </cols>
  <sheetData>
    <row r="1" spans="2:14" ht="34.9" customHeight="1" thickBot="1" x14ac:dyDescent="0.3"/>
    <row r="2" spans="2:14" ht="70.150000000000006" customHeight="1" thickBot="1" x14ac:dyDescent="0.3">
      <c r="B2" s="811" t="s">
        <v>455</v>
      </c>
      <c r="C2" s="812"/>
      <c r="D2" s="812"/>
      <c r="E2" s="812"/>
      <c r="F2" s="812"/>
      <c r="G2" s="812"/>
      <c r="H2" s="812"/>
      <c r="I2" s="812"/>
      <c r="J2" s="812"/>
      <c r="K2" s="812"/>
      <c r="L2" s="812"/>
      <c r="M2" s="812"/>
      <c r="N2" s="813"/>
    </row>
    <row r="4" spans="2:14" ht="23.45" customHeight="1" x14ac:dyDescent="0.25">
      <c r="B4" s="38"/>
      <c r="C4" s="39"/>
      <c r="D4" s="15"/>
      <c r="E4" s="15"/>
      <c r="F4" s="12"/>
      <c r="G4" s="12"/>
      <c r="H4" s="12"/>
      <c r="I4" s="12"/>
      <c r="J4" s="12"/>
    </row>
    <row r="5" spans="2:14" ht="36.75" customHeight="1" x14ac:dyDescent="0.25">
      <c r="B5" s="814" t="s">
        <v>92</v>
      </c>
      <c r="C5" s="815"/>
      <c r="D5" s="815"/>
      <c r="E5" s="815"/>
      <c r="F5" s="815"/>
      <c r="G5" s="815"/>
      <c r="H5" s="815"/>
      <c r="I5" s="815"/>
      <c r="J5" s="815"/>
      <c r="K5" s="815"/>
      <c r="L5" s="815"/>
      <c r="M5" s="815"/>
      <c r="N5" s="816"/>
    </row>
    <row r="9" spans="2:14" x14ac:dyDescent="0.25">
      <c r="B9" s="285" t="s">
        <v>3</v>
      </c>
      <c r="C9" s="286" t="s">
        <v>448</v>
      </c>
    </row>
    <row r="10" spans="2:14" x14ac:dyDescent="0.25">
      <c r="B10" s="285" t="s">
        <v>255</v>
      </c>
      <c r="C10" s="286" t="s">
        <v>74</v>
      </c>
    </row>
    <row r="11" spans="2:14" x14ac:dyDescent="0.25">
      <c r="B11" s="285" t="s">
        <v>285</v>
      </c>
      <c r="C11" s="286" t="s">
        <v>74</v>
      </c>
    </row>
    <row r="13" spans="2:14" ht="30" x14ac:dyDescent="0.25">
      <c r="B13" s="288" t="s">
        <v>236</v>
      </c>
      <c r="C13" s="289" t="s">
        <v>670</v>
      </c>
      <c r="D13" s="289" t="s">
        <v>671</v>
      </c>
      <c r="E13" s="289" t="s">
        <v>672</v>
      </c>
    </row>
    <row r="14" spans="2:14" x14ac:dyDescent="0.25">
      <c r="B14" s="287" t="s">
        <v>213</v>
      </c>
      <c r="C14" s="290">
        <v>0.99394599830487962</v>
      </c>
      <c r="D14" s="290">
        <v>0.84507809662186706</v>
      </c>
      <c r="E14" s="290">
        <v>0.59693970214311665</v>
      </c>
    </row>
    <row r="15" spans="2:14" x14ac:dyDescent="0.25">
      <c r="B15" s="287" t="s">
        <v>221</v>
      </c>
      <c r="C15" s="290">
        <v>1</v>
      </c>
      <c r="D15" s="290">
        <v>0.97834006104164617</v>
      </c>
      <c r="E15" s="290">
        <v>0.56132059991467298</v>
      </c>
    </row>
    <row r="16" spans="2:14" x14ac:dyDescent="0.25">
      <c r="B16" s="287" t="s">
        <v>73</v>
      </c>
      <c r="C16" s="290">
        <v>0.99642149429452009</v>
      </c>
      <c r="D16" s="290">
        <v>0.89956923737570282</v>
      </c>
      <c r="E16" s="290">
        <v>0.58237496477408446</v>
      </c>
    </row>
    <row r="17" spans="2:5" x14ac:dyDescent="0.25">
      <c r="B17"/>
      <c r="C17"/>
      <c r="D17"/>
    </row>
    <row r="18" spans="2:5" x14ac:dyDescent="0.25">
      <c r="B18"/>
      <c r="C18"/>
      <c r="D18"/>
    </row>
    <row r="19" spans="2:5" x14ac:dyDescent="0.25">
      <c r="B19"/>
      <c r="C19"/>
      <c r="D19"/>
    </row>
    <row r="20" spans="2:5" x14ac:dyDescent="0.25">
      <c r="B20"/>
      <c r="C20"/>
      <c r="D20"/>
    </row>
    <row r="21" spans="2:5" x14ac:dyDescent="0.25">
      <c r="B21"/>
      <c r="C21"/>
      <c r="D21"/>
    </row>
    <row r="22" spans="2:5" x14ac:dyDescent="0.25">
      <c r="B22"/>
      <c r="C22"/>
      <c r="D22"/>
    </row>
    <row r="25" spans="2:5" x14ac:dyDescent="0.25">
      <c r="B25" s="12"/>
      <c r="C25" s="30"/>
      <c r="D25" s="30"/>
      <c r="E25" s="30"/>
    </row>
    <row r="28" spans="2:5" x14ac:dyDescent="0.25">
      <c r="B28" s="29" t="s">
        <v>3</v>
      </c>
      <c r="C28" t="s">
        <v>448</v>
      </c>
    </row>
    <row r="29" spans="2:5" x14ac:dyDescent="0.25">
      <c r="B29" s="29" t="s">
        <v>255</v>
      </c>
      <c r="C29" t="s">
        <v>74</v>
      </c>
    </row>
    <row r="30" spans="2:5" x14ac:dyDescent="0.25">
      <c r="B30" s="29" t="s">
        <v>285</v>
      </c>
      <c r="C30" t="s">
        <v>74</v>
      </c>
    </row>
    <row r="32" spans="2:5" ht="60" x14ac:dyDescent="0.25">
      <c r="B32" s="284" t="s">
        <v>236</v>
      </c>
      <c r="C32" s="291" t="s">
        <v>648</v>
      </c>
      <c r="D32" s="291" t="s">
        <v>651</v>
      </c>
      <c r="E32" s="291" t="s">
        <v>650</v>
      </c>
    </row>
    <row r="33" spans="2:5" x14ac:dyDescent="0.25">
      <c r="B33" s="337" t="s">
        <v>175</v>
      </c>
      <c r="C33" s="279">
        <v>1</v>
      </c>
      <c r="D33" s="279">
        <v>0.78063540090771555</v>
      </c>
      <c r="E33" s="279">
        <v>0.46087195708980883</v>
      </c>
    </row>
    <row r="34" spans="2:5" x14ac:dyDescent="0.25">
      <c r="B34" s="337" t="s">
        <v>104</v>
      </c>
      <c r="C34" s="279">
        <v>1</v>
      </c>
      <c r="D34" s="279">
        <v>0.90234219928543069</v>
      </c>
      <c r="E34" s="279">
        <v>0.63517268757443435</v>
      </c>
    </row>
    <row r="35" spans="2:5" x14ac:dyDescent="0.25">
      <c r="B35" s="337" t="s">
        <v>107</v>
      </c>
      <c r="C35" s="279">
        <v>1</v>
      </c>
      <c r="D35" s="279">
        <v>0.73006303096738834</v>
      </c>
      <c r="E35" s="279">
        <v>0.71416826527815835</v>
      </c>
    </row>
    <row r="36" spans="2:5" x14ac:dyDescent="0.25">
      <c r="B36" s="337" t="s">
        <v>124</v>
      </c>
      <c r="C36" s="279">
        <v>0</v>
      </c>
      <c r="D36" s="279">
        <v>0</v>
      </c>
      <c r="E36" s="279">
        <v>0</v>
      </c>
    </row>
    <row r="37" spans="2:5" x14ac:dyDescent="0.25">
      <c r="B37" s="337" t="s">
        <v>200</v>
      </c>
      <c r="C37" s="279">
        <v>0.94112769485903824</v>
      </c>
      <c r="D37" s="279">
        <v>0.94247512437810943</v>
      </c>
      <c r="E37" s="279">
        <v>0.68065920398009949</v>
      </c>
    </row>
    <row r="38" spans="2:5" x14ac:dyDescent="0.25">
      <c r="B38" s="337" t="s">
        <v>181</v>
      </c>
      <c r="C38" s="279">
        <v>1</v>
      </c>
      <c r="D38" s="279">
        <v>0.86419753086419748</v>
      </c>
      <c r="E38" s="279">
        <v>0.40237768632830362</v>
      </c>
    </row>
    <row r="39" spans="2:5" x14ac:dyDescent="0.25">
      <c r="B39" s="337" t="s">
        <v>182</v>
      </c>
      <c r="C39" s="279">
        <v>1</v>
      </c>
      <c r="D39" s="279">
        <v>1</v>
      </c>
      <c r="E39" s="279">
        <v>1</v>
      </c>
    </row>
    <row r="40" spans="2:5" x14ac:dyDescent="0.25">
      <c r="B40" s="337" t="s">
        <v>220</v>
      </c>
      <c r="C40" s="279">
        <v>1</v>
      </c>
      <c r="D40" s="279">
        <v>1</v>
      </c>
      <c r="E40" s="279">
        <v>0.8606060606060606</v>
      </c>
    </row>
    <row r="41" spans="2:5" x14ac:dyDescent="0.25">
      <c r="B41" s="337" t="s">
        <v>129</v>
      </c>
      <c r="C41" s="279">
        <v>1</v>
      </c>
      <c r="D41" s="279">
        <v>1</v>
      </c>
      <c r="E41" s="279">
        <v>1</v>
      </c>
    </row>
    <row r="42" spans="2:5" x14ac:dyDescent="0.25">
      <c r="B42" s="337" t="s">
        <v>183</v>
      </c>
      <c r="C42" s="279">
        <v>1</v>
      </c>
      <c r="D42" s="279">
        <v>0.96866202793859879</v>
      </c>
      <c r="E42" s="279">
        <v>0.61225898974876503</v>
      </c>
    </row>
    <row r="43" spans="2:5" x14ac:dyDescent="0.25">
      <c r="B43" s="337" t="s">
        <v>209</v>
      </c>
      <c r="C43" s="279">
        <v>0.85669041963578785</v>
      </c>
      <c r="D43" s="279">
        <v>0.88123515439429934</v>
      </c>
      <c r="E43" s="279">
        <v>1</v>
      </c>
    </row>
    <row r="44" spans="2:5" x14ac:dyDescent="0.25">
      <c r="B44" s="337" t="s">
        <v>131</v>
      </c>
      <c r="C44" s="279">
        <v>1</v>
      </c>
      <c r="D44" s="279">
        <v>0.8744079699493712</v>
      </c>
      <c r="E44" s="279">
        <v>0.62110076759758293</v>
      </c>
    </row>
    <row r="45" spans="2:5" x14ac:dyDescent="0.25">
      <c r="B45" s="337" t="s">
        <v>466</v>
      </c>
      <c r="C45" s="279">
        <v>1</v>
      </c>
      <c r="D45" s="279">
        <v>0.79667063020214035</v>
      </c>
      <c r="E45" s="279">
        <v>0.82996432818073718</v>
      </c>
    </row>
    <row r="46" spans="2:5" x14ac:dyDescent="0.25">
      <c r="B46" s="337" t="s">
        <v>227</v>
      </c>
      <c r="C46" s="279">
        <v>1</v>
      </c>
      <c r="D46" s="279">
        <v>1</v>
      </c>
      <c r="E46" s="279">
        <v>1</v>
      </c>
    </row>
    <row r="47" spans="2:5" x14ac:dyDescent="0.25">
      <c r="B47" s="337" t="s">
        <v>219</v>
      </c>
      <c r="C47" s="279">
        <v>1</v>
      </c>
      <c r="D47" s="279">
        <v>0.5161290322580645</v>
      </c>
      <c r="E47" s="279">
        <v>0</v>
      </c>
    </row>
    <row r="48" spans="2:5" x14ac:dyDescent="0.25">
      <c r="B48" s="337" t="s">
        <v>218</v>
      </c>
      <c r="C48" s="279">
        <v>1</v>
      </c>
      <c r="D48" s="279">
        <v>1</v>
      </c>
      <c r="E48" s="279">
        <v>1</v>
      </c>
    </row>
    <row r="49" spans="2:5" x14ac:dyDescent="0.25">
      <c r="B49" s="337" t="s">
        <v>154</v>
      </c>
      <c r="C49" s="279">
        <v>1</v>
      </c>
      <c r="D49" s="279">
        <v>0.94174919327918105</v>
      </c>
      <c r="E49" s="279">
        <v>0.61388672526983423</v>
      </c>
    </row>
    <row r="50" spans="2:5" x14ac:dyDescent="0.25">
      <c r="B50" s="337" t="s">
        <v>730</v>
      </c>
      <c r="C50" s="279">
        <v>1</v>
      </c>
      <c r="D50" s="279">
        <v>0.95218295218295224</v>
      </c>
      <c r="E50" s="279">
        <v>0</v>
      </c>
    </row>
    <row r="51" spans="2:5" x14ac:dyDescent="0.25">
      <c r="B51" s="26" t="s">
        <v>73</v>
      </c>
      <c r="C51" s="279">
        <v>0.99642149429452009</v>
      </c>
      <c r="D51" s="279">
        <v>0.89956923737570282</v>
      </c>
      <c r="E51" s="279">
        <v>0.58237496477408446</v>
      </c>
    </row>
    <row r="52" spans="2:5" x14ac:dyDescent="0.25">
      <c r="B52"/>
      <c r="C52"/>
      <c r="D52"/>
      <c r="E52"/>
    </row>
    <row r="53" spans="2:5" x14ac:dyDescent="0.25">
      <c r="B53"/>
      <c r="C53"/>
      <c r="D53"/>
      <c r="E53"/>
    </row>
    <row r="54" spans="2:5" x14ac:dyDescent="0.25">
      <c r="B54"/>
      <c r="C54"/>
      <c r="D54"/>
      <c r="E54"/>
    </row>
    <row r="55" spans="2:5" x14ac:dyDescent="0.25">
      <c r="B55"/>
      <c r="C55"/>
      <c r="D55"/>
      <c r="E55"/>
    </row>
    <row r="56" spans="2:5" x14ac:dyDescent="0.25">
      <c r="B56" s="12"/>
      <c r="C56" s="15"/>
      <c r="D56" s="15"/>
      <c r="E56" s="15"/>
    </row>
    <row r="57" spans="2:5" x14ac:dyDescent="0.25">
      <c r="B57" s="12"/>
      <c r="C57" s="15"/>
      <c r="D57" s="15"/>
      <c r="E57" s="15"/>
    </row>
    <row r="58" spans="2:5" x14ac:dyDescent="0.25">
      <c r="B58" s="12"/>
      <c r="C58" s="15"/>
      <c r="D58" s="15"/>
      <c r="E58" s="15"/>
    </row>
    <row r="59" spans="2:5" x14ac:dyDescent="0.25">
      <c r="B59" s="29" t="s">
        <v>3</v>
      </c>
      <c r="C59" t="s">
        <v>448</v>
      </c>
      <c r="D59" s="15"/>
      <c r="E59" s="15"/>
    </row>
    <row r="60" spans="2:5" x14ac:dyDescent="0.25">
      <c r="B60" s="29" t="s">
        <v>4</v>
      </c>
      <c r="C60" t="s">
        <v>74</v>
      </c>
    </row>
    <row r="61" spans="2:5" x14ac:dyDescent="0.25">
      <c r="B61" s="29" t="s">
        <v>285</v>
      </c>
      <c r="C61" t="s">
        <v>74</v>
      </c>
    </row>
    <row r="63" spans="2:5" ht="45" x14ac:dyDescent="0.25">
      <c r="B63" s="284" t="s">
        <v>236</v>
      </c>
      <c r="C63" s="291" t="s">
        <v>648</v>
      </c>
      <c r="D63" s="291" t="s">
        <v>649</v>
      </c>
      <c r="E63" s="291" t="s">
        <v>650</v>
      </c>
    </row>
    <row r="64" spans="2:5" x14ac:dyDescent="0.25">
      <c r="B64" s="26" t="s">
        <v>256</v>
      </c>
      <c r="C64" s="279">
        <v>1</v>
      </c>
      <c r="D64" s="279">
        <v>0.73006303096738834</v>
      </c>
      <c r="E64" s="279">
        <v>0.71416826527815835</v>
      </c>
    </row>
    <row r="65" spans="2:27" x14ac:dyDescent="0.25">
      <c r="B65" s="26" t="s">
        <v>313</v>
      </c>
      <c r="C65" s="279">
        <v>0.99402670414617011</v>
      </c>
      <c r="D65" s="279">
        <v>0.85488404778636684</v>
      </c>
      <c r="E65" s="279">
        <v>0.56219255094869991</v>
      </c>
    </row>
    <row r="66" spans="2:27" x14ac:dyDescent="0.25">
      <c r="B66" s="26" t="s">
        <v>257</v>
      </c>
      <c r="C66" s="279">
        <v>1</v>
      </c>
      <c r="D66" s="279">
        <v>0.86905502020516012</v>
      </c>
      <c r="E66" s="279">
        <v>0.58167547404414055</v>
      </c>
    </row>
    <row r="67" spans="2:27" x14ac:dyDescent="0.25">
      <c r="B67" s="26" t="s">
        <v>258</v>
      </c>
      <c r="C67" s="279">
        <v>1</v>
      </c>
      <c r="D67" s="279">
        <v>1</v>
      </c>
      <c r="E67" s="279">
        <v>0.92358803986710969</v>
      </c>
    </row>
    <row r="68" spans="2:27" x14ac:dyDescent="0.25">
      <c r="B68" s="26" t="s">
        <v>259</v>
      </c>
      <c r="C68" s="279">
        <v>1</v>
      </c>
      <c r="D68" s="279">
        <v>0.82913653393744013</v>
      </c>
      <c r="E68" s="279">
        <v>0.55972815195608605</v>
      </c>
    </row>
    <row r="69" spans="2:27" x14ac:dyDescent="0.25">
      <c r="B69" s="26" t="s">
        <v>260</v>
      </c>
      <c r="C69" s="279">
        <v>1</v>
      </c>
      <c r="D69" s="279">
        <v>0.99369100366018104</v>
      </c>
      <c r="E69" s="279">
        <v>0.6526680793681372</v>
      </c>
    </row>
    <row r="70" spans="2:27" x14ac:dyDescent="0.25">
      <c r="B70" s="26" t="s">
        <v>265</v>
      </c>
      <c r="C70" s="279">
        <v>1</v>
      </c>
      <c r="D70" s="279">
        <v>0.93962234211361473</v>
      </c>
      <c r="E70" s="279">
        <v>0.42581720088860681</v>
      </c>
    </row>
    <row r="71" spans="2:27" x14ac:dyDescent="0.25">
      <c r="B71" s="26" t="s">
        <v>266</v>
      </c>
      <c r="C71" s="279">
        <v>0.98982917509552715</v>
      </c>
      <c r="D71" s="279">
        <v>0.77410654079568442</v>
      </c>
      <c r="E71" s="279">
        <v>0.59271746459878627</v>
      </c>
    </row>
    <row r="72" spans="2:27" x14ac:dyDescent="0.25">
      <c r="B72" s="26" t="s">
        <v>267</v>
      </c>
      <c r="C72" s="279">
        <v>0.94878730502208997</v>
      </c>
      <c r="D72" s="279">
        <v>0.9437381660806059</v>
      </c>
      <c r="E72" s="279">
        <v>0.59210170408439278</v>
      </c>
    </row>
    <row r="73" spans="2:27" x14ac:dyDescent="0.25">
      <c r="B73" s="26" t="s">
        <v>268</v>
      </c>
      <c r="C73" s="279">
        <v>1</v>
      </c>
      <c r="D73" s="279">
        <v>1</v>
      </c>
      <c r="E73" s="279">
        <v>1</v>
      </c>
    </row>
    <row r="74" spans="2:27" x14ac:dyDescent="0.25">
      <c r="B74" s="26" t="s">
        <v>73</v>
      </c>
      <c r="C74" s="279">
        <v>0.99642149429451987</v>
      </c>
      <c r="D74" s="279">
        <v>0.89956923737570282</v>
      </c>
      <c r="E74" s="279">
        <v>0.58237496477408446</v>
      </c>
    </row>
    <row r="75" spans="2:27" x14ac:dyDescent="0.25">
      <c r="B75" s="12"/>
      <c r="C75" s="15"/>
      <c r="D75" s="15"/>
      <c r="E75" s="15"/>
    </row>
    <row r="76" spans="2:27" x14ac:dyDescent="0.25">
      <c r="B76"/>
      <c r="C76"/>
      <c r="D76" s="15"/>
      <c r="E76" s="15"/>
    </row>
    <row r="77" spans="2:27" x14ac:dyDescent="0.25">
      <c r="B77"/>
      <c r="C77"/>
      <c r="D77" s="15"/>
      <c r="E77" s="15"/>
    </row>
    <row r="78" spans="2:27" x14ac:dyDescent="0.25">
      <c r="B78" s="295"/>
      <c r="C78" s="295"/>
      <c r="D78" s="15"/>
      <c r="E78" s="15"/>
      <c r="Z78" s="29" t="s">
        <v>0</v>
      </c>
      <c r="AA78" t="s">
        <v>74</v>
      </c>
    </row>
    <row r="79" spans="2:27" x14ac:dyDescent="0.25">
      <c r="B79" s="295"/>
      <c r="C79" s="295"/>
      <c r="D79" s="295"/>
      <c r="E79" s="15"/>
      <c r="Z79" s="29" t="s">
        <v>255</v>
      </c>
      <c r="AA79" t="s">
        <v>74</v>
      </c>
    </row>
    <row r="80" spans="2:27" x14ac:dyDescent="0.25">
      <c r="E80" s="15"/>
      <c r="Z80" s="29" t="s">
        <v>4</v>
      </c>
      <c r="AA80" t="s">
        <v>74</v>
      </c>
    </row>
    <row r="81" spans="5:29" x14ac:dyDescent="0.25">
      <c r="E81" s="15"/>
      <c r="Z81" s="29" t="s">
        <v>3</v>
      </c>
      <c r="AA81" t="s">
        <v>448</v>
      </c>
    </row>
    <row r="82" spans="5:29" x14ac:dyDescent="0.25">
      <c r="E82" s="15"/>
    </row>
    <row r="83" spans="5:29" x14ac:dyDescent="0.25">
      <c r="E83" s="15"/>
      <c r="Z83" s="29" t="s">
        <v>236</v>
      </c>
      <c r="AA83" t="s">
        <v>648</v>
      </c>
      <c r="AB83" t="s">
        <v>649</v>
      </c>
      <c r="AC83" t="s">
        <v>650</v>
      </c>
    </row>
    <row r="84" spans="5:29" x14ac:dyDescent="0.25">
      <c r="E84" s="15"/>
      <c r="Z84" s="26" t="s">
        <v>108</v>
      </c>
      <c r="AA84" s="27">
        <v>1</v>
      </c>
      <c r="AB84" s="27">
        <v>0.26315789473684209</v>
      </c>
      <c r="AC84" s="27">
        <v>0.52631578947368418</v>
      </c>
    </row>
    <row r="85" spans="5:29" x14ac:dyDescent="0.25">
      <c r="E85" s="15"/>
      <c r="Z85" s="26" t="s">
        <v>109</v>
      </c>
      <c r="AA85" s="27">
        <v>1</v>
      </c>
      <c r="AB85" s="27">
        <v>0.47058823529411764</v>
      </c>
      <c r="AC85" s="27">
        <v>0.47058823529411764</v>
      </c>
    </row>
    <row r="86" spans="5:29" x14ac:dyDescent="0.25">
      <c r="E86" s="15"/>
      <c r="Z86" s="26" t="s">
        <v>632</v>
      </c>
      <c r="AA86" s="27">
        <v>1</v>
      </c>
      <c r="AB86" s="27">
        <v>0.59907834101382484</v>
      </c>
      <c r="AC86" s="27">
        <v>0.46082949308755761</v>
      </c>
    </row>
    <row r="87" spans="5:29" x14ac:dyDescent="0.25">
      <c r="E87" s="15"/>
      <c r="Z87" s="26" t="s">
        <v>273</v>
      </c>
      <c r="AA87" s="27">
        <v>1</v>
      </c>
      <c r="AB87" s="27">
        <v>0.66321243523316065</v>
      </c>
      <c r="AC87" s="27">
        <v>0.31088082901554404</v>
      </c>
    </row>
    <row r="88" spans="5:29" x14ac:dyDescent="0.25">
      <c r="E88" s="15"/>
      <c r="Z88" s="26" t="s">
        <v>110</v>
      </c>
      <c r="AA88" s="27">
        <v>1</v>
      </c>
      <c r="AB88" s="27">
        <v>0.8571428571428571</v>
      </c>
      <c r="AC88" s="27">
        <v>0.5714285714285714</v>
      </c>
    </row>
    <row r="89" spans="5:29" x14ac:dyDescent="0.25">
      <c r="E89" s="15"/>
      <c r="Z89" s="26" t="s">
        <v>111</v>
      </c>
      <c r="AA89" s="27">
        <v>1</v>
      </c>
      <c r="AB89" s="27">
        <v>0.96385542168674698</v>
      </c>
      <c r="AC89" s="27">
        <v>1</v>
      </c>
    </row>
    <row r="90" spans="5:29" x14ac:dyDescent="0.25">
      <c r="E90" s="15"/>
      <c r="Z90" s="26" t="s">
        <v>461</v>
      </c>
      <c r="AA90" s="27">
        <v>1</v>
      </c>
      <c r="AB90" s="27">
        <v>0.96</v>
      </c>
      <c r="AC90" s="27">
        <v>0.64</v>
      </c>
    </row>
    <row r="91" spans="5:29" x14ac:dyDescent="0.25">
      <c r="E91" s="15"/>
      <c r="Z91" s="26" t="s">
        <v>176</v>
      </c>
      <c r="AA91" s="27">
        <v>1</v>
      </c>
      <c r="AB91" s="27">
        <v>1</v>
      </c>
      <c r="AC91" s="27">
        <v>0</v>
      </c>
    </row>
    <row r="92" spans="5:29" x14ac:dyDescent="0.25">
      <c r="E92" s="15"/>
      <c r="Z92" s="26" t="s">
        <v>467</v>
      </c>
      <c r="AA92" s="27">
        <v>1</v>
      </c>
      <c r="AB92" s="27">
        <v>0.77834179357021993</v>
      </c>
      <c r="AC92" s="27">
        <v>1</v>
      </c>
    </row>
    <row r="93" spans="5:29" x14ac:dyDescent="0.25">
      <c r="E93" s="15"/>
      <c r="Z93" s="26" t="s">
        <v>112</v>
      </c>
      <c r="AA93" s="27">
        <v>1</v>
      </c>
      <c r="AB93" s="27">
        <v>0.92592592592592593</v>
      </c>
      <c r="AC93" s="27">
        <v>0.92592592592592593</v>
      </c>
    </row>
    <row r="94" spans="5:29" x14ac:dyDescent="0.25">
      <c r="E94" s="15"/>
      <c r="Z94" s="26" t="s">
        <v>665</v>
      </c>
      <c r="AA94" s="27">
        <v>1</v>
      </c>
      <c r="AB94" s="27">
        <v>1</v>
      </c>
      <c r="AC94" s="27">
        <v>1</v>
      </c>
    </row>
    <row r="95" spans="5:29" x14ac:dyDescent="0.25">
      <c r="E95" s="15"/>
      <c r="Z95" s="26" t="s">
        <v>222</v>
      </c>
      <c r="AA95" s="27">
        <v>1</v>
      </c>
      <c r="AB95" s="27">
        <v>1</v>
      </c>
      <c r="AC95" s="27">
        <v>0.15503875968992248</v>
      </c>
    </row>
    <row r="96" spans="5:29" x14ac:dyDescent="0.25">
      <c r="E96" s="15"/>
      <c r="Z96" s="26" t="s">
        <v>613</v>
      </c>
      <c r="AA96" s="27">
        <v>1</v>
      </c>
      <c r="AB96" s="27">
        <v>1</v>
      </c>
      <c r="AC96" s="27">
        <v>0.53908355795148244</v>
      </c>
    </row>
    <row r="97" spans="2:29" x14ac:dyDescent="0.25">
      <c r="E97" s="15"/>
      <c r="Z97" s="26" t="s">
        <v>614</v>
      </c>
      <c r="AA97" s="27">
        <v>1</v>
      </c>
      <c r="AB97" s="27">
        <v>1</v>
      </c>
      <c r="AC97" s="27">
        <v>0.34168564920273348</v>
      </c>
    </row>
    <row r="98" spans="2:29" x14ac:dyDescent="0.25">
      <c r="B98"/>
      <c r="C98"/>
      <c r="D98"/>
      <c r="E98" s="15"/>
      <c r="Z98" s="26" t="s">
        <v>113</v>
      </c>
      <c r="AA98" s="27">
        <v>1</v>
      </c>
      <c r="AB98" s="27">
        <v>1</v>
      </c>
      <c r="AC98" s="27">
        <v>1</v>
      </c>
    </row>
    <row r="99" spans="2:29" x14ac:dyDescent="0.25">
      <c r="B99"/>
      <c r="C99"/>
      <c r="D99"/>
      <c r="Z99" s="26" t="s">
        <v>105</v>
      </c>
      <c r="AA99" s="27">
        <v>1</v>
      </c>
      <c r="AB99" s="27">
        <v>0.69498069498069504</v>
      </c>
      <c r="AC99" s="27">
        <v>0.77220077220077221</v>
      </c>
    </row>
    <row r="100" spans="2:29" x14ac:dyDescent="0.25">
      <c r="B100"/>
      <c r="C100"/>
      <c r="D100"/>
      <c r="Z100" s="26" t="s">
        <v>669</v>
      </c>
      <c r="AA100" s="27">
        <v>1</v>
      </c>
      <c r="AB100" s="27">
        <v>0.36072144288577157</v>
      </c>
      <c r="AC100" s="27">
        <v>1</v>
      </c>
    </row>
    <row r="101" spans="2:29" x14ac:dyDescent="0.25">
      <c r="B101"/>
      <c r="C101"/>
      <c r="D101"/>
      <c r="Z101" s="26" t="s">
        <v>114</v>
      </c>
      <c r="AA101" s="27">
        <v>1</v>
      </c>
      <c r="AB101" s="27">
        <v>0.97982708933717577</v>
      </c>
      <c r="AC101" s="27">
        <v>0.86455331412103742</v>
      </c>
    </row>
    <row r="102" spans="2:29" x14ac:dyDescent="0.25">
      <c r="B102"/>
      <c r="C102"/>
      <c r="D102"/>
      <c r="Z102" s="26" t="s">
        <v>132</v>
      </c>
      <c r="AA102" s="27">
        <v>1</v>
      </c>
      <c r="AB102" s="27">
        <v>0.7407407407407407</v>
      </c>
      <c r="AC102" s="27">
        <v>1</v>
      </c>
    </row>
    <row r="103" spans="2:29" x14ac:dyDescent="0.25">
      <c r="B103"/>
      <c r="C103"/>
      <c r="D103"/>
      <c r="Z103" s="26" t="s">
        <v>133</v>
      </c>
      <c r="AA103" s="27">
        <v>1</v>
      </c>
      <c r="AB103" s="27">
        <v>1</v>
      </c>
      <c r="AC103" s="27">
        <v>1</v>
      </c>
    </row>
    <row r="104" spans="2:29" x14ac:dyDescent="0.25">
      <c r="B104"/>
      <c r="C104"/>
      <c r="D104"/>
      <c r="Z104" s="26" t="s">
        <v>134</v>
      </c>
      <c r="AA104" s="27">
        <v>1</v>
      </c>
      <c r="AB104" s="27">
        <v>0.76923076923076927</v>
      </c>
      <c r="AC104" s="27">
        <v>1</v>
      </c>
    </row>
    <row r="105" spans="2:29" x14ac:dyDescent="0.25">
      <c r="B105"/>
      <c r="C105"/>
      <c r="D105"/>
      <c r="Z105" s="26" t="s">
        <v>184</v>
      </c>
      <c r="AA105" s="27">
        <v>1</v>
      </c>
      <c r="AB105" s="27">
        <v>1</v>
      </c>
      <c r="AC105" s="27">
        <v>0.64516129032258063</v>
      </c>
    </row>
    <row r="106" spans="2:29" x14ac:dyDescent="0.25">
      <c r="B106"/>
      <c r="C106"/>
      <c r="D106"/>
      <c r="Z106" s="26" t="s">
        <v>155</v>
      </c>
      <c r="AA106" s="27">
        <v>1</v>
      </c>
      <c r="AB106" s="27">
        <v>0.94488188976377951</v>
      </c>
      <c r="AC106" s="27">
        <v>0.78740157480314965</v>
      </c>
    </row>
    <row r="107" spans="2:29" x14ac:dyDescent="0.25">
      <c r="Z107" s="26" t="s">
        <v>156</v>
      </c>
      <c r="AA107" s="27">
        <v>1</v>
      </c>
      <c r="AB107" s="27">
        <v>1</v>
      </c>
      <c r="AC107" s="27">
        <v>0.24752475247524752</v>
      </c>
    </row>
    <row r="108" spans="2:29" s="12" customFormat="1" x14ac:dyDescent="0.25">
      <c r="C108" s="15"/>
      <c r="D108" s="15"/>
      <c r="E108" s="15"/>
      <c r="Z108" s="26" t="s">
        <v>223</v>
      </c>
      <c r="AA108" s="27">
        <v>1</v>
      </c>
      <c r="AB108" s="27">
        <v>1</v>
      </c>
      <c r="AC108" s="27">
        <v>1</v>
      </c>
    </row>
    <row r="109" spans="2:29" s="12" customFormat="1" x14ac:dyDescent="0.25">
      <c r="C109" s="15"/>
      <c r="D109" s="15"/>
      <c r="E109" s="15"/>
      <c r="Z109" s="26" t="s">
        <v>115</v>
      </c>
      <c r="AA109" s="27">
        <v>1</v>
      </c>
      <c r="AB109" s="27">
        <v>1</v>
      </c>
      <c r="AC109" s="27">
        <v>1</v>
      </c>
    </row>
    <row r="110" spans="2:29" s="12" customFormat="1" x14ac:dyDescent="0.25">
      <c r="C110" s="15"/>
      <c r="D110" s="15"/>
      <c r="E110" s="15"/>
      <c r="Z110" s="26" t="s">
        <v>249</v>
      </c>
      <c r="AA110" s="27">
        <v>1</v>
      </c>
      <c r="AB110" s="27">
        <v>0.61538461538461542</v>
      </c>
      <c r="AC110" s="27">
        <v>0.57692307692307687</v>
      </c>
    </row>
    <row r="111" spans="2:29" s="12" customFormat="1" x14ac:dyDescent="0.25">
      <c r="C111" s="15"/>
      <c r="D111" s="15"/>
      <c r="E111" s="15"/>
      <c r="Z111" s="26" t="s">
        <v>216</v>
      </c>
      <c r="AA111" s="27">
        <v>1</v>
      </c>
      <c r="AB111" s="27">
        <v>1</v>
      </c>
      <c r="AC111" s="27">
        <v>0.45819014891179838</v>
      </c>
    </row>
    <row r="112" spans="2:29" s="12" customFormat="1" x14ac:dyDescent="0.25">
      <c r="B112" s="11"/>
      <c r="C112" s="14"/>
      <c r="D112" s="14"/>
      <c r="E112" s="14"/>
      <c r="F112" s="11"/>
      <c r="G112" s="11"/>
      <c r="H112" s="11"/>
      <c r="Z112" s="26" t="s">
        <v>185</v>
      </c>
      <c r="AA112" s="27">
        <v>1</v>
      </c>
      <c r="AB112" s="27">
        <v>1</v>
      </c>
      <c r="AC112" s="27">
        <v>0.26223776223776224</v>
      </c>
    </row>
    <row r="113" spans="2:29" s="12" customFormat="1" x14ac:dyDescent="0.25">
      <c r="B113" s="11"/>
      <c r="C113" s="14"/>
      <c r="D113" s="14"/>
      <c r="E113" s="14"/>
      <c r="F113" s="11"/>
      <c r="G113" s="11"/>
      <c r="H113" s="11"/>
      <c r="Z113" s="26" t="s">
        <v>274</v>
      </c>
      <c r="AA113" s="27">
        <v>1</v>
      </c>
      <c r="AB113" s="27">
        <v>0.58091286307053946</v>
      </c>
      <c r="AC113" s="27">
        <v>0.82987551867219922</v>
      </c>
    </row>
    <row r="114" spans="2:29" s="12" customFormat="1" x14ac:dyDescent="0.25">
      <c r="B114" s="29" t="s">
        <v>3</v>
      </c>
      <c r="C114" t="s">
        <v>448</v>
      </c>
      <c r="D114" s="14"/>
      <c r="E114" s="14"/>
      <c r="F114" s="11"/>
      <c r="G114" s="11"/>
      <c r="H114" s="11"/>
      <c r="Z114" s="26" t="s">
        <v>135</v>
      </c>
      <c r="AA114" s="27">
        <v>1</v>
      </c>
      <c r="AB114" s="27">
        <v>1</v>
      </c>
      <c r="AC114" s="27">
        <v>0.43149946062567424</v>
      </c>
    </row>
    <row r="115" spans="2:29" s="12" customFormat="1" x14ac:dyDescent="0.25">
      <c r="B115" s="29" t="s">
        <v>4</v>
      </c>
      <c r="C115" t="s">
        <v>74</v>
      </c>
      <c r="D115" s="14"/>
      <c r="E115" s="14"/>
      <c r="F115" s="11"/>
      <c r="G115" s="11"/>
      <c r="H115" s="11"/>
      <c r="Z115" s="26" t="s">
        <v>136</v>
      </c>
      <c r="AA115" s="27">
        <v>1</v>
      </c>
      <c r="AB115" s="27">
        <v>0.85470085470085466</v>
      </c>
      <c r="AC115" s="27">
        <v>0.21367521367521367</v>
      </c>
    </row>
    <row r="116" spans="2:29" s="12" customFormat="1" x14ac:dyDescent="0.25">
      <c r="B116" s="29" t="s">
        <v>285</v>
      </c>
      <c r="C116" t="s">
        <v>74</v>
      </c>
      <c r="D116" s="14"/>
      <c r="E116" s="14"/>
      <c r="F116" s="11"/>
      <c r="G116" s="11"/>
      <c r="H116" s="11"/>
      <c r="Z116" s="26" t="s">
        <v>468</v>
      </c>
      <c r="AA116" s="27">
        <v>1</v>
      </c>
      <c r="AB116" s="27">
        <v>0.58536585365853655</v>
      </c>
      <c r="AC116" s="27">
        <v>1</v>
      </c>
    </row>
    <row r="117" spans="2:29" s="12" customFormat="1" x14ac:dyDescent="0.25">
      <c r="B117" s="11"/>
      <c r="C117" s="14"/>
      <c r="D117" s="14"/>
      <c r="E117" s="14"/>
      <c r="F117" s="11"/>
      <c r="G117" s="11"/>
      <c r="H117" s="11"/>
      <c r="Z117" s="26" t="s">
        <v>198</v>
      </c>
      <c r="AA117" s="27">
        <v>1</v>
      </c>
      <c r="AB117" s="27">
        <v>1</v>
      </c>
      <c r="AC117" s="27">
        <v>0.77273354491513735</v>
      </c>
    </row>
    <row r="118" spans="2:29" s="12" customFormat="1" ht="45" x14ac:dyDescent="0.25">
      <c r="B118" s="284" t="s">
        <v>236</v>
      </c>
      <c r="C118" s="289" t="s">
        <v>648</v>
      </c>
      <c r="D118" s="289" t="s">
        <v>649</v>
      </c>
      <c r="E118" s="289" t="s">
        <v>650</v>
      </c>
      <c r="F118" s="11"/>
      <c r="G118" s="11"/>
      <c r="H118" s="11"/>
      <c r="Z118" s="26" t="s">
        <v>462</v>
      </c>
      <c r="AA118" s="27">
        <v>1</v>
      </c>
      <c r="AB118" s="27">
        <v>1</v>
      </c>
      <c r="AC118" s="27">
        <v>1</v>
      </c>
    </row>
    <row r="119" spans="2:29" s="12" customFormat="1" x14ac:dyDescent="0.25">
      <c r="B119" s="26" t="s">
        <v>79</v>
      </c>
      <c r="C119" s="290">
        <v>0.990336956974468</v>
      </c>
      <c r="D119" s="290">
        <v>0.92077970760964634</v>
      </c>
      <c r="E119" s="290">
        <v>0.8460577283518681</v>
      </c>
      <c r="F119" s="11"/>
      <c r="G119" s="11"/>
      <c r="H119" s="11"/>
      <c r="Z119" s="26" t="s">
        <v>463</v>
      </c>
      <c r="AA119" s="27">
        <v>1</v>
      </c>
      <c r="AB119" s="27">
        <v>1</v>
      </c>
      <c r="AC119" s="27">
        <v>1</v>
      </c>
    </row>
    <row r="120" spans="2:29" s="12" customFormat="1" x14ac:dyDescent="0.25">
      <c r="B120" s="26" t="s">
        <v>78</v>
      </c>
      <c r="C120" s="290">
        <v>0.99447105088969345</v>
      </c>
      <c r="D120" s="290">
        <v>0.83740217264338279</v>
      </c>
      <c r="E120" s="290">
        <v>0.59260016353229761</v>
      </c>
      <c r="F120" s="11"/>
      <c r="G120" s="11"/>
      <c r="H120" s="11"/>
      <c r="Z120" s="26" t="s">
        <v>201</v>
      </c>
      <c r="AA120" s="27">
        <v>1</v>
      </c>
      <c r="AB120" s="27">
        <v>1</v>
      </c>
      <c r="AC120" s="27">
        <v>0.21367521367521367</v>
      </c>
    </row>
    <row r="121" spans="2:29" s="12" customFormat="1" x14ac:dyDescent="0.25">
      <c r="B121" s="26" t="s">
        <v>80</v>
      </c>
      <c r="C121" s="290">
        <v>1</v>
      </c>
      <c r="D121" s="290">
        <v>1</v>
      </c>
      <c r="E121" s="290">
        <v>0.42489232662389032</v>
      </c>
      <c r="F121" s="11"/>
      <c r="G121" s="11"/>
      <c r="H121" s="11"/>
      <c r="Z121" s="26" t="s">
        <v>202</v>
      </c>
      <c r="AA121" s="27">
        <v>0.43715846994535523</v>
      </c>
      <c r="AB121" s="27">
        <v>0.39344262295081966</v>
      </c>
      <c r="AC121" s="27">
        <v>0.65573770491803274</v>
      </c>
    </row>
    <row r="122" spans="2:29" s="12" customFormat="1" x14ac:dyDescent="0.25">
      <c r="B122" s="26" t="s">
        <v>81</v>
      </c>
      <c r="C122" s="290">
        <v>1</v>
      </c>
      <c r="D122" s="290">
        <v>0.90606682297772567</v>
      </c>
      <c r="E122" s="290">
        <v>0.43229777256740914</v>
      </c>
      <c r="F122" s="11"/>
      <c r="G122" s="11"/>
      <c r="H122" s="11"/>
      <c r="Z122" s="26" t="s">
        <v>203</v>
      </c>
      <c r="AA122" s="27">
        <v>1</v>
      </c>
      <c r="AB122" s="27">
        <v>1</v>
      </c>
      <c r="AC122" s="27">
        <v>1</v>
      </c>
    </row>
    <row r="123" spans="2:29" s="12" customFormat="1" x14ac:dyDescent="0.25">
      <c r="B123" s="26" t="s">
        <v>82</v>
      </c>
      <c r="C123" s="290">
        <v>1</v>
      </c>
      <c r="D123" s="290">
        <v>1</v>
      </c>
      <c r="E123" s="290">
        <v>0.77273354491513735</v>
      </c>
      <c r="F123" s="11"/>
      <c r="G123" s="11"/>
      <c r="H123" s="11"/>
      <c r="Z123" s="26" t="s">
        <v>137</v>
      </c>
      <c r="AA123" s="27">
        <v>1</v>
      </c>
      <c r="AB123" s="27">
        <v>0.82901554404145072</v>
      </c>
      <c r="AC123" s="27">
        <v>1</v>
      </c>
    </row>
    <row r="124" spans="2:29" s="12" customFormat="1" x14ac:dyDescent="0.25">
      <c r="B124" s="26" t="s">
        <v>73</v>
      </c>
      <c r="C124" s="290">
        <v>0.99642149429452009</v>
      </c>
      <c r="D124" s="290">
        <v>0.89956923737570282</v>
      </c>
      <c r="E124" s="290">
        <v>0.58237496477408446</v>
      </c>
      <c r="F124" s="11"/>
      <c r="G124" s="11"/>
      <c r="H124" s="11"/>
      <c r="Z124" s="26" t="s">
        <v>126</v>
      </c>
      <c r="AA124" s="27">
        <v>1</v>
      </c>
      <c r="AB124" s="27">
        <v>1</v>
      </c>
      <c r="AC124" s="27">
        <v>1</v>
      </c>
    </row>
    <row r="125" spans="2:29" s="12" customFormat="1" x14ac:dyDescent="0.25">
      <c r="B125"/>
      <c r="C125"/>
      <c r="D125"/>
      <c r="E125"/>
      <c r="F125" s="11"/>
      <c r="G125" s="11"/>
      <c r="H125" s="11"/>
      <c r="Z125" s="26" t="s">
        <v>125</v>
      </c>
      <c r="AA125" s="27">
        <v>0</v>
      </c>
      <c r="AB125" s="27">
        <v>0</v>
      </c>
      <c r="AC125" s="27">
        <v>0</v>
      </c>
    </row>
    <row r="126" spans="2:29" s="12" customFormat="1" x14ac:dyDescent="0.25">
      <c r="B126"/>
      <c r="C126"/>
      <c r="D126"/>
      <c r="E126"/>
      <c r="F126" s="11"/>
      <c r="G126" s="11"/>
      <c r="H126" s="11"/>
      <c r="Z126" s="26" t="s">
        <v>822</v>
      </c>
      <c r="AA126" s="27">
        <v>1</v>
      </c>
      <c r="AB126" s="27">
        <v>0.79656384224912147</v>
      </c>
      <c r="AC126" s="27">
        <v>0.11714174150722374</v>
      </c>
    </row>
    <row r="127" spans="2:29" s="12" customFormat="1" x14ac:dyDescent="0.25">
      <c r="B127"/>
      <c r="C127"/>
      <c r="D127"/>
      <c r="E127"/>
      <c r="F127" s="11"/>
      <c r="G127" s="11"/>
      <c r="H127" s="11"/>
      <c r="Z127" s="26" t="s">
        <v>195</v>
      </c>
      <c r="AA127" s="27">
        <v>1</v>
      </c>
      <c r="AB127" s="27">
        <v>0.88235294117647056</v>
      </c>
      <c r="AC127" s="27">
        <v>0</v>
      </c>
    </row>
    <row r="128" spans="2:29" s="12" customFormat="1" x14ac:dyDescent="0.25">
      <c r="B128" s="11"/>
      <c r="C128" s="14"/>
      <c r="D128" s="14"/>
      <c r="E128" s="14"/>
      <c r="F128" s="11"/>
      <c r="G128" s="11"/>
      <c r="H128" s="11"/>
      <c r="Z128" s="26" t="s">
        <v>138</v>
      </c>
      <c r="AA128" s="27">
        <v>1</v>
      </c>
      <c r="AB128" s="27">
        <v>0.6097560975609756</v>
      </c>
      <c r="AC128" s="27">
        <v>0.3048780487804878</v>
      </c>
    </row>
    <row r="129" spans="2:29" s="12" customFormat="1" x14ac:dyDescent="0.25">
      <c r="B129" s="11"/>
      <c r="C129" s="14"/>
      <c r="D129" s="14"/>
      <c r="E129" s="14"/>
      <c r="F129" s="11"/>
      <c r="G129" s="11"/>
      <c r="H129" s="11"/>
      <c r="Z129" s="26" t="s">
        <v>139</v>
      </c>
      <c r="AA129" s="27">
        <v>1</v>
      </c>
      <c r="AB129" s="27">
        <v>1</v>
      </c>
      <c r="AC129" s="27">
        <v>0.64935064935064934</v>
      </c>
    </row>
    <row r="130" spans="2:29" s="12" customFormat="1" x14ac:dyDescent="0.25">
      <c r="B130" s="11"/>
      <c r="C130" s="14"/>
      <c r="D130" s="14"/>
      <c r="E130" s="14"/>
      <c r="F130" s="11"/>
      <c r="G130" s="11"/>
      <c r="H130" s="11"/>
      <c r="Z130" s="26" t="s">
        <v>106</v>
      </c>
      <c r="AA130" s="27">
        <v>1</v>
      </c>
      <c r="AB130" s="27">
        <v>1</v>
      </c>
      <c r="AC130" s="27">
        <v>0.9375</v>
      </c>
    </row>
    <row r="131" spans="2:29" s="12" customFormat="1" x14ac:dyDescent="0.25">
      <c r="B131" s="11"/>
      <c r="C131" s="14"/>
      <c r="D131" s="14"/>
      <c r="E131" s="14"/>
      <c r="F131" s="11"/>
      <c r="G131" s="11"/>
      <c r="H131" s="11"/>
      <c r="Z131" s="26" t="s">
        <v>116</v>
      </c>
      <c r="AA131" s="27">
        <v>1</v>
      </c>
      <c r="AB131" s="27">
        <v>1</v>
      </c>
      <c r="AC131" s="27">
        <v>1</v>
      </c>
    </row>
    <row r="132" spans="2:29" s="12" customFormat="1" x14ac:dyDescent="0.25">
      <c r="B132" s="11"/>
      <c r="C132" s="14"/>
      <c r="D132" s="14"/>
      <c r="E132" s="14"/>
      <c r="F132" s="11"/>
      <c r="G132" s="11"/>
      <c r="H132" s="11"/>
      <c r="Z132" s="26" t="s">
        <v>117</v>
      </c>
      <c r="AA132" s="27">
        <v>1</v>
      </c>
      <c r="AB132" s="27">
        <v>1</v>
      </c>
      <c r="AC132" s="27">
        <v>1</v>
      </c>
    </row>
    <row r="133" spans="2:29" s="12" customFormat="1" x14ac:dyDescent="0.25">
      <c r="B133" s="29" t="s">
        <v>4</v>
      </c>
      <c r="C133" t="s">
        <v>74</v>
      </c>
      <c r="D133" s="14"/>
      <c r="E133" s="14"/>
      <c r="F133" s="11"/>
      <c r="G133" s="11"/>
      <c r="H133" s="11"/>
      <c r="Z133" s="26" t="s">
        <v>177</v>
      </c>
      <c r="AA133" s="27">
        <v>1</v>
      </c>
      <c r="AB133" s="27">
        <v>0.65522620904836193</v>
      </c>
      <c r="AC133" s="27">
        <v>0.78003120124804992</v>
      </c>
    </row>
    <row r="134" spans="2:29" s="12" customFormat="1" x14ac:dyDescent="0.25">
      <c r="B134" s="29" t="s">
        <v>0</v>
      </c>
      <c r="C134" t="s">
        <v>74</v>
      </c>
      <c r="D134" s="14"/>
      <c r="E134" s="14"/>
      <c r="F134" s="11"/>
      <c r="G134" s="11"/>
      <c r="H134" s="11"/>
      <c r="Z134" s="26" t="s">
        <v>187</v>
      </c>
      <c r="AA134" s="27">
        <v>1</v>
      </c>
      <c r="AB134" s="27">
        <v>1</v>
      </c>
      <c r="AC134" s="27">
        <v>1</v>
      </c>
    </row>
    <row r="135" spans="2:29" s="12" customFormat="1" x14ac:dyDescent="0.25">
      <c r="B135" s="29" t="s">
        <v>285</v>
      </c>
      <c r="C135" t="s">
        <v>74</v>
      </c>
      <c r="D135" s="14"/>
      <c r="E135" s="14"/>
      <c r="F135" s="11"/>
      <c r="G135" s="11"/>
      <c r="H135" s="11"/>
      <c r="Z135" s="26" t="s">
        <v>188</v>
      </c>
      <c r="AA135" s="27">
        <v>1</v>
      </c>
      <c r="AB135" s="27">
        <v>1</v>
      </c>
      <c r="AC135" s="27">
        <v>1</v>
      </c>
    </row>
    <row r="136" spans="2:29" s="12" customFormat="1" x14ac:dyDescent="0.25">
      <c r="B136" s="11"/>
      <c r="C136" s="14"/>
      <c r="D136" s="14"/>
      <c r="E136" s="14"/>
      <c r="F136" s="11"/>
      <c r="G136" s="11"/>
      <c r="H136" s="11"/>
      <c r="Z136" s="26" t="s">
        <v>633</v>
      </c>
      <c r="AA136" s="27">
        <v>1</v>
      </c>
      <c r="AB136" s="27">
        <v>0.58252427184466016</v>
      </c>
      <c r="AC136" s="27">
        <v>0.24271844660194175</v>
      </c>
    </row>
    <row r="137" spans="2:29" s="12" customFormat="1" ht="45" x14ac:dyDescent="0.25">
      <c r="B137" s="284" t="s">
        <v>236</v>
      </c>
      <c r="C137" s="289" t="s">
        <v>648</v>
      </c>
      <c r="D137" s="289" t="s">
        <v>649</v>
      </c>
      <c r="E137" s="289" t="s">
        <v>650</v>
      </c>
      <c r="F137" s="11"/>
      <c r="G137" s="11"/>
      <c r="H137" s="11"/>
      <c r="Z137" s="26" t="s">
        <v>634</v>
      </c>
      <c r="AA137" s="27">
        <v>1</v>
      </c>
      <c r="AB137" s="27">
        <v>0.90909090909090906</v>
      </c>
      <c r="AC137" s="27">
        <v>0.45454545454545453</v>
      </c>
    </row>
    <row r="138" spans="2:29" s="12" customFormat="1" x14ac:dyDescent="0.25">
      <c r="B138" s="26" t="s">
        <v>448</v>
      </c>
      <c r="C138" s="290">
        <v>0.99642149429452009</v>
      </c>
      <c r="D138" s="290">
        <v>0.89956923737570282</v>
      </c>
      <c r="E138" s="290">
        <v>0.58237496477408446</v>
      </c>
      <c r="F138" s="11"/>
      <c r="G138" s="11"/>
      <c r="H138" s="11"/>
      <c r="Z138" s="26" t="s">
        <v>635</v>
      </c>
      <c r="AA138" s="27">
        <v>1</v>
      </c>
      <c r="AB138" s="27">
        <v>1</v>
      </c>
      <c r="AC138" s="27">
        <v>0.86956521739130432</v>
      </c>
    </row>
    <row r="139" spans="2:29" s="12" customFormat="1" x14ac:dyDescent="0.25">
      <c r="B139" s="26" t="s">
        <v>449</v>
      </c>
      <c r="C139" s="290">
        <v>1</v>
      </c>
      <c r="D139" s="290">
        <v>0.89135254988913526</v>
      </c>
      <c r="E139" s="290">
        <v>0.74013303769401328</v>
      </c>
      <c r="F139" s="11"/>
      <c r="G139" s="11"/>
      <c r="H139" s="11"/>
      <c r="Z139" s="26" t="s">
        <v>315</v>
      </c>
      <c r="AA139" s="27">
        <v>1</v>
      </c>
      <c r="AB139" s="27">
        <v>1</v>
      </c>
      <c r="AC139" s="27">
        <v>1</v>
      </c>
    </row>
    <row r="140" spans="2:29" s="12" customFormat="1" x14ac:dyDescent="0.25">
      <c r="B140" s="26" t="s">
        <v>459</v>
      </c>
      <c r="C140" s="290">
        <v>0.8414292980671414</v>
      </c>
      <c r="D140" s="290">
        <v>0.8414292980671414</v>
      </c>
      <c r="E140" s="290">
        <v>0.31396236012207529</v>
      </c>
      <c r="F140" s="11"/>
      <c r="G140" s="11"/>
      <c r="H140" s="11"/>
      <c r="Z140" s="26" t="s">
        <v>316</v>
      </c>
      <c r="AA140" s="27">
        <v>1</v>
      </c>
      <c r="AB140" s="27">
        <v>1</v>
      </c>
      <c r="AC140" s="27">
        <v>1</v>
      </c>
    </row>
    <row r="141" spans="2:29" s="12" customFormat="1" x14ac:dyDescent="0.25">
      <c r="B141" s="26" t="s">
        <v>73</v>
      </c>
      <c r="C141" s="290">
        <v>0.98211599202879729</v>
      </c>
      <c r="D141" s="290">
        <v>0.89394834471513973</v>
      </c>
      <c r="E141" s="290">
        <v>0.56163898012712965</v>
      </c>
      <c r="F141" s="11"/>
      <c r="G141" s="11"/>
      <c r="H141" s="11"/>
      <c r="Z141" s="26" t="s">
        <v>157</v>
      </c>
      <c r="AA141" s="27">
        <v>1</v>
      </c>
      <c r="AB141" s="27">
        <v>1</v>
      </c>
      <c r="AC141" s="27">
        <v>1</v>
      </c>
    </row>
    <row r="142" spans="2:29" s="12" customFormat="1" x14ac:dyDescent="0.25">
      <c r="B142"/>
      <c r="C142"/>
      <c r="D142"/>
      <c r="E142"/>
      <c r="F142" s="11"/>
      <c r="G142" s="11"/>
      <c r="H142" s="11"/>
      <c r="Z142" s="26" t="s">
        <v>158</v>
      </c>
      <c r="AA142" s="27">
        <v>1</v>
      </c>
      <c r="AB142" s="27">
        <v>1</v>
      </c>
      <c r="AC142" s="27">
        <v>0.99274532264222981</v>
      </c>
    </row>
    <row r="143" spans="2:29" s="12" customFormat="1" x14ac:dyDescent="0.25">
      <c r="B143"/>
      <c r="C143"/>
      <c r="D143"/>
      <c r="E143"/>
      <c r="F143" s="11"/>
      <c r="G143" s="11"/>
      <c r="H143" s="11"/>
      <c r="Z143" s="26" t="s">
        <v>159</v>
      </c>
      <c r="AA143" s="27">
        <v>1</v>
      </c>
      <c r="AB143" s="27">
        <v>0.65934065934065933</v>
      </c>
      <c r="AC143" s="27">
        <v>0.5494505494505495</v>
      </c>
    </row>
    <row r="144" spans="2:29" s="12" customFormat="1" x14ac:dyDescent="0.25">
      <c r="B144" s="11"/>
      <c r="C144" s="14"/>
      <c r="D144" s="14"/>
      <c r="E144" s="14"/>
      <c r="F144" s="11"/>
      <c r="G144" s="11"/>
      <c r="H144" s="11"/>
      <c r="Z144" s="26" t="s">
        <v>160</v>
      </c>
      <c r="AA144" s="27">
        <v>1</v>
      </c>
      <c r="AB144" s="27">
        <v>0.77795786061588335</v>
      </c>
      <c r="AC144" s="27">
        <v>0.32414910858995138</v>
      </c>
    </row>
    <row r="145" spans="1:29" s="12" customFormat="1" x14ac:dyDescent="0.25">
      <c r="B145" s="11"/>
      <c r="C145" s="14"/>
      <c r="D145" s="14"/>
      <c r="E145" s="14"/>
      <c r="F145" s="11"/>
      <c r="G145" s="11"/>
      <c r="H145" s="11"/>
      <c r="Z145" s="26" t="s">
        <v>161</v>
      </c>
      <c r="AA145" s="27">
        <v>1</v>
      </c>
      <c r="AB145" s="27">
        <v>1</v>
      </c>
      <c r="AC145" s="27">
        <v>0.28971511347175277</v>
      </c>
    </row>
    <row r="146" spans="1:29" s="12" customFormat="1" x14ac:dyDescent="0.25">
      <c r="B146" s="11"/>
      <c r="C146" s="14"/>
      <c r="D146" s="14"/>
      <c r="E146" s="14"/>
      <c r="F146" s="11"/>
      <c r="G146" s="11"/>
      <c r="H146" s="11"/>
      <c r="Z146" s="26" t="s">
        <v>162</v>
      </c>
      <c r="AA146" s="27">
        <v>1</v>
      </c>
      <c r="AB146" s="27">
        <v>1</v>
      </c>
      <c r="AC146" s="27">
        <v>1</v>
      </c>
    </row>
    <row r="147" spans="1:29" s="12" customFormat="1" x14ac:dyDescent="0.25">
      <c r="B147" s="11"/>
      <c r="C147" s="14"/>
      <c r="D147" s="14"/>
      <c r="E147" s="14"/>
      <c r="F147" s="11"/>
      <c r="G147" s="11"/>
      <c r="H147" s="11"/>
      <c r="Z147" s="26" t="s">
        <v>311</v>
      </c>
      <c r="AA147" s="27">
        <v>1</v>
      </c>
      <c r="AB147" s="27">
        <v>1</v>
      </c>
      <c r="AC147" s="27">
        <v>0.34965034965034963</v>
      </c>
    </row>
    <row r="148" spans="1:29" s="12" customFormat="1" x14ac:dyDescent="0.25">
      <c r="C148" s="16"/>
      <c r="D148" s="28"/>
      <c r="E148" s="28"/>
      <c r="F148" s="11"/>
      <c r="G148" s="11"/>
      <c r="H148" s="11"/>
      <c r="Z148" s="26" t="s">
        <v>312</v>
      </c>
      <c r="AA148" s="27">
        <v>1</v>
      </c>
      <c r="AB148" s="27">
        <v>1</v>
      </c>
      <c r="AC148" s="27">
        <v>0.66889632107023411</v>
      </c>
    </row>
    <row r="149" spans="1:29" s="12" customFormat="1" x14ac:dyDescent="0.25">
      <c r="C149" s="15"/>
      <c r="D149" s="14"/>
      <c r="E149" s="14"/>
      <c r="F149" s="11"/>
      <c r="G149" s="11"/>
      <c r="H149" s="11"/>
      <c r="Z149" s="26" t="s">
        <v>140</v>
      </c>
      <c r="AA149" s="27">
        <v>1</v>
      </c>
      <c r="AB149" s="27">
        <v>0.75471698113207553</v>
      </c>
      <c r="AC149" s="27">
        <v>0.62893081761006286</v>
      </c>
    </row>
    <row r="150" spans="1:29" s="12" customFormat="1" x14ac:dyDescent="0.25">
      <c r="B150" s="11"/>
      <c r="C150" s="14"/>
      <c r="D150" s="14"/>
      <c r="E150" s="14"/>
      <c r="F150" s="11"/>
      <c r="G150" s="11"/>
      <c r="H150" s="11"/>
      <c r="Z150" s="26" t="s">
        <v>217</v>
      </c>
      <c r="AA150" s="27">
        <v>1</v>
      </c>
      <c r="AB150" s="27">
        <v>1</v>
      </c>
      <c r="AC150" s="27">
        <v>0.64874884151992585</v>
      </c>
    </row>
    <row r="151" spans="1:29" s="12" customFormat="1" ht="31.5" customHeight="1" x14ac:dyDescent="0.25">
      <c r="B151" s="278" t="s">
        <v>93</v>
      </c>
      <c r="C151" s="36"/>
      <c r="D151" s="36"/>
      <c r="E151" s="36"/>
      <c r="F151" s="36"/>
      <c r="G151" s="36"/>
      <c r="H151" s="36"/>
      <c r="I151" s="36"/>
      <c r="J151" s="36"/>
      <c r="K151" s="36"/>
      <c r="L151" s="36"/>
      <c r="M151" s="36"/>
      <c r="N151" s="37"/>
      <c r="Z151" s="26" t="s">
        <v>464</v>
      </c>
      <c r="AA151" s="27">
        <v>1</v>
      </c>
      <c r="AB151" s="27">
        <v>0.88669950738916259</v>
      </c>
      <c r="AC151" s="27">
        <v>0.73891625615763545</v>
      </c>
    </row>
    <row r="152" spans="1:29" s="12" customFormat="1" x14ac:dyDescent="0.25">
      <c r="B152" s="11"/>
      <c r="C152" s="14"/>
      <c r="D152" s="14"/>
      <c r="E152" s="14"/>
      <c r="F152" s="11"/>
      <c r="G152" s="11"/>
      <c r="H152" s="11"/>
      <c r="Z152" s="26" t="s">
        <v>141</v>
      </c>
      <c r="AA152" s="27">
        <v>1</v>
      </c>
      <c r="AB152" s="27">
        <v>1</v>
      </c>
      <c r="AC152" s="27">
        <v>0.54347826086956519</v>
      </c>
    </row>
    <row r="153" spans="1:29" s="12" customFormat="1" x14ac:dyDescent="0.25">
      <c r="B153" s="11"/>
      <c r="C153" s="14"/>
      <c r="D153" s="14"/>
      <c r="E153" s="14"/>
      <c r="F153" s="11"/>
      <c r="G153" s="11"/>
      <c r="H153" s="11"/>
      <c r="Z153" s="26" t="s">
        <v>278</v>
      </c>
      <c r="AA153" s="27">
        <v>1</v>
      </c>
      <c r="AB153" s="27">
        <v>0.41176470588235292</v>
      </c>
      <c r="AC153" s="27">
        <v>0.29411764705882354</v>
      </c>
    </row>
    <row r="154" spans="1:29" s="12" customFormat="1" x14ac:dyDescent="0.25">
      <c r="B154" s="11"/>
      <c r="C154" s="14"/>
      <c r="D154" s="14"/>
      <c r="E154" s="14"/>
      <c r="F154" s="11"/>
      <c r="G154" s="11"/>
      <c r="H154" s="11"/>
      <c r="Z154" s="26" t="s">
        <v>279</v>
      </c>
      <c r="AA154" s="27">
        <v>1</v>
      </c>
      <c r="AB154" s="27">
        <v>1</v>
      </c>
      <c r="AC154" s="27">
        <v>0.38077106139933364</v>
      </c>
    </row>
    <row r="155" spans="1:29" s="12" customFormat="1" x14ac:dyDescent="0.25">
      <c r="B155" s="11"/>
      <c r="C155" s="14"/>
      <c r="D155" s="14"/>
      <c r="E155" s="14"/>
      <c r="F155" s="11"/>
      <c r="G155" s="11"/>
      <c r="H155" s="11"/>
      <c r="Z155" s="26" t="s">
        <v>191</v>
      </c>
      <c r="AA155" s="27">
        <v>1</v>
      </c>
      <c r="AB155" s="27">
        <v>1</v>
      </c>
      <c r="AC155" s="27">
        <v>1</v>
      </c>
    </row>
    <row r="156" spans="1:29" s="12" customFormat="1" x14ac:dyDescent="0.25">
      <c r="A156" s="11"/>
      <c r="B156" s="29" t="s">
        <v>4</v>
      </c>
      <c r="C156" t="s">
        <v>74</v>
      </c>
      <c r="D156" s="14"/>
      <c r="E156" s="14"/>
      <c r="F156" s="11"/>
      <c r="G156" s="11"/>
      <c r="H156" s="11"/>
      <c r="I156" s="11"/>
      <c r="J156" s="11"/>
      <c r="K156" s="11"/>
      <c r="L156" s="11"/>
      <c r="M156" s="11"/>
      <c r="N156" s="11"/>
      <c r="O156" s="11"/>
      <c r="Z156" s="26" t="s">
        <v>623</v>
      </c>
      <c r="AA156" s="27">
        <v>1</v>
      </c>
      <c r="AB156" s="27">
        <v>1</v>
      </c>
      <c r="AC156" s="27">
        <v>1</v>
      </c>
    </row>
    <row r="157" spans="1:29" x14ac:dyDescent="0.25">
      <c r="B157" s="29" t="s">
        <v>0</v>
      </c>
      <c r="C157" t="s">
        <v>74</v>
      </c>
      <c r="Z157" s="26" t="s">
        <v>624</v>
      </c>
      <c r="AA157" s="27">
        <v>1</v>
      </c>
      <c r="AB157" s="27">
        <v>1</v>
      </c>
      <c r="AC157" s="27">
        <v>1</v>
      </c>
    </row>
    <row r="158" spans="1:29" x14ac:dyDescent="0.25">
      <c r="B158" s="284" t="s">
        <v>3</v>
      </c>
      <c r="C158" t="s">
        <v>74</v>
      </c>
      <c r="Z158" s="26" t="s">
        <v>127</v>
      </c>
      <c r="AA158" s="27">
        <v>1</v>
      </c>
      <c r="AB158" s="27">
        <v>1</v>
      </c>
      <c r="AC158" s="27">
        <v>1</v>
      </c>
    </row>
    <row r="159" spans="1:29" x14ac:dyDescent="0.25">
      <c r="B159" s="29" t="s">
        <v>285</v>
      </c>
      <c r="C159" t="s">
        <v>74</v>
      </c>
      <c r="Z159" s="26" t="s">
        <v>280</v>
      </c>
      <c r="AA159" s="27">
        <v>1</v>
      </c>
      <c r="AB159" s="27">
        <v>0.97701149425287359</v>
      </c>
      <c r="AC159" s="27">
        <v>0.86206896551724133</v>
      </c>
    </row>
    <row r="160" spans="1:29" x14ac:dyDescent="0.25">
      <c r="Z160" s="26" t="s">
        <v>142</v>
      </c>
      <c r="AA160" s="27">
        <v>1</v>
      </c>
      <c r="AB160" s="27">
        <v>1</v>
      </c>
      <c r="AC160" s="27">
        <v>1</v>
      </c>
    </row>
    <row r="161" spans="1:29" x14ac:dyDescent="0.25">
      <c r="B161" s="29" t="s">
        <v>236</v>
      </c>
      <c r="C161" t="s">
        <v>652</v>
      </c>
      <c r="D161"/>
      <c r="E161"/>
      <c r="Z161" s="26" t="s">
        <v>143</v>
      </c>
      <c r="AA161" s="27">
        <v>1</v>
      </c>
      <c r="AB161" s="27">
        <v>1</v>
      </c>
      <c r="AC161" s="27">
        <v>1</v>
      </c>
    </row>
    <row r="162" spans="1:29" x14ac:dyDescent="0.25">
      <c r="B162" s="26" t="s">
        <v>239</v>
      </c>
      <c r="C162" s="292">
        <v>9</v>
      </c>
      <c r="D162"/>
      <c r="E162"/>
      <c r="Z162" s="26" t="s">
        <v>118</v>
      </c>
      <c r="AA162" s="27">
        <v>1</v>
      </c>
      <c r="AB162" s="27">
        <v>1</v>
      </c>
      <c r="AC162" s="27">
        <v>1</v>
      </c>
    </row>
    <row r="163" spans="1:29" x14ac:dyDescent="0.25">
      <c r="B163" s="26" t="s">
        <v>910</v>
      </c>
      <c r="C163" s="292">
        <v>1</v>
      </c>
      <c r="D163"/>
      <c r="E163"/>
      <c r="Z163" s="26" t="s">
        <v>204</v>
      </c>
      <c r="AA163" s="27">
        <v>1</v>
      </c>
      <c r="AB163" s="27">
        <v>1</v>
      </c>
      <c r="AC163" s="27">
        <v>1</v>
      </c>
    </row>
    <row r="164" spans="1:29" x14ac:dyDescent="0.25">
      <c r="A164" s="12"/>
      <c r="B164" s="26" t="s">
        <v>734</v>
      </c>
      <c r="C164" s="292">
        <v>1</v>
      </c>
      <c r="D164"/>
      <c r="E164"/>
      <c r="F164"/>
      <c r="G164"/>
      <c r="H164"/>
      <c r="M164" s="12"/>
      <c r="N164" s="12"/>
      <c r="O164" s="12"/>
      <c r="Z164" s="26" t="s">
        <v>192</v>
      </c>
      <c r="AA164" s="27">
        <v>1</v>
      </c>
      <c r="AB164" s="27">
        <v>0.6327372764786795</v>
      </c>
      <c r="AC164" s="27">
        <v>0.55020632737276476</v>
      </c>
    </row>
    <row r="165" spans="1:29" s="12" customFormat="1" x14ac:dyDescent="0.25">
      <c r="A165" s="11"/>
      <c r="B165" s="26" t="s">
        <v>238</v>
      </c>
      <c r="C165" s="292">
        <v>164</v>
      </c>
      <c r="D165"/>
      <c r="E165"/>
      <c r="F165" s="13"/>
      <c r="G165" s="11"/>
      <c r="H165" s="11"/>
      <c r="I165" s="11"/>
      <c r="J165" s="11"/>
      <c r="K165" s="11"/>
      <c r="L165" s="11"/>
      <c r="M165" s="11"/>
      <c r="N165" s="11"/>
      <c r="O165" s="11"/>
      <c r="Z165" s="26" t="s">
        <v>205</v>
      </c>
      <c r="AA165" s="27">
        <v>0.92961487383798147</v>
      </c>
      <c r="AB165" s="27">
        <v>1</v>
      </c>
      <c r="AC165" s="27">
        <v>1</v>
      </c>
    </row>
    <row r="166" spans="1:29" x14ac:dyDescent="0.25">
      <c r="A166" s="12"/>
      <c r="B166" s="26" t="s">
        <v>73</v>
      </c>
      <c r="C166" s="292">
        <v>175</v>
      </c>
      <c r="I166" s="12"/>
      <c r="J166" s="12"/>
      <c r="K166" s="12"/>
      <c r="L166" s="12"/>
      <c r="M166" s="12"/>
      <c r="N166" s="12"/>
      <c r="O166" s="12"/>
      <c r="Z166" s="26" t="s">
        <v>206</v>
      </c>
      <c r="AA166" s="27">
        <v>1</v>
      </c>
      <c r="AB166" s="27">
        <v>1</v>
      </c>
      <c r="AC166" s="27">
        <v>1</v>
      </c>
    </row>
    <row r="167" spans="1:29" s="12" customFormat="1" x14ac:dyDescent="0.25">
      <c r="B167"/>
      <c r="C167"/>
      <c r="D167" s="14"/>
      <c r="E167" s="14"/>
      <c r="F167" s="11"/>
      <c r="G167" s="11"/>
      <c r="H167" s="11"/>
      <c r="Z167" s="26" t="s">
        <v>478</v>
      </c>
      <c r="AA167" s="27">
        <v>1</v>
      </c>
      <c r="AB167" s="27">
        <v>0.8</v>
      </c>
      <c r="AC167" s="27">
        <v>1</v>
      </c>
    </row>
    <row r="168" spans="1:29" s="12" customFormat="1" x14ac:dyDescent="0.25">
      <c r="B168" s="26"/>
      <c r="C168" s="292"/>
      <c r="D168" s="14"/>
      <c r="E168" s="14"/>
      <c r="F168" s="11"/>
      <c r="G168" s="11"/>
      <c r="H168" s="11"/>
      <c r="Z168" s="26" t="s">
        <v>479</v>
      </c>
      <c r="AA168" s="27">
        <v>0.52493438320209973</v>
      </c>
      <c r="AB168" s="27">
        <v>1</v>
      </c>
      <c r="AC168" s="27">
        <v>1</v>
      </c>
    </row>
    <row r="169" spans="1:29" s="12" customFormat="1" x14ac:dyDescent="0.25">
      <c r="B169" s="26"/>
      <c r="C169" s="292"/>
      <c r="D169" s="14"/>
      <c r="E169" s="14"/>
      <c r="F169" s="11"/>
      <c r="G169" s="11"/>
      <c r="H169" s="11"/>
      <c r="Z169" s="26" t="s">
        <v>460</v>
      </c>
      <c r="AA169" s="27">
        <v>1</v>
      </c>
      <c r="AB169" s="27">
        <v>0.86021505376344087</v>
      </c>
      <c r="AC169" s="27">
        <v>1</v>
      </c>
    </row>
    <row r="170" spans="1:29" s="12" customFormat="1" x14ac:dyDescent="0.25">
      <c r="B170" s="26"/>
      <c r="C170" s="292"/>
      <c r="D170" s="14"/>
      <c r="E170" s="14"/>
      <c r="F170" s="11"/>
      <c r="G170" s="11"/>
      <c r="H170" s="11"/>
      <c r="Z170" s="26" t="s">
        <v>621</v>
      </c>
      <c r="AA170" s="27">
        <v>1</v>
      </c>
      <c r="AB170" s="27">
        <v>0.58287795992714031</v>
      </c>
      <c r="AC170" s="27">
        <v>0.36429872495446264</v>
      </c>
    </row>
    <row r="171" spans="1:29" s="12" customFormat="1" x14ac:dyDescent="0.25">
      <c r="B171" s="26"/>
      <c r="C171" s="292"/>
      <c r="D171" s="14"/>
      <c r="E171" s="14"/>
      <c r="F171" s="11"/>
      <c r="G171" s="11"/>
      <c r="H171" s="11"/>
      <c r="Z171" s="26" t="s">
        <v>210</v>
      </c>
      <c r="AA171" s="27">
        <v>1</v>
      </c>
      <c r="AB171" s="27">
        <v>0.95238095238095233</v>
      </c>
      <c r="AC171" s="27">
        <v>0.52910052910052907</v>
      </c>
    </row>
    <row r="172" spans="1:29" s="12" customFormat="1" x14ac:dyDescent="0.25">
      <c r="B172" s="11"/>
      <c r="C172" s="14"/>
      <c r="D172" s="14"/>
      <c r="E172" s="14"/>
      <c r="F172" s="11"/>
      <c r="G172" s="11"/>
      <c r="H172" s="11"/>
      <c r="Z172" s="26" t="s">
        <v>211</v>
      </c>
      <c r="AA172" s="27">
        <v>1</v>
      </c>
      <c r="AB172" s="27">
        <v>0.6872852233676976</v>
      </c>
      <c r="AC172" s="27">
        <v>0.6872852233676976</v>
      </c>
    </row>
    <row r="173" spans="1:29" s="12" customFormat="1" x14ac:dyDescent="0.25">
      <c r="B173" s="11"/>
      <c r="C173" s="14"/>
      <c r="D173" s="14"/>
      <c r="E173" s="14"/>
      <c r="F173" s="11"/>
      <c r="G173" s="11"/>
      <c r="H173" s="11"/>
      <c r="Z173" s="26" t="s">
        <v>212</v>
      </c>
      <c r="AA173" s="27">
        <v>1</v>
      </c>
      <c r="AB173" s="27">
        <v>0.92165898617511521</v>
      </c>
      <c r="AC173" s="27">
        <v>0.92165898617511521</v>
      </c>
    </row>
    <row r="174" spans="1:29" s="12" customFormat="1" x14ac:dyDescent="0.25">
      <c r="B174"/>
      <c r="C174"/>
      <c r="D174" s="14"/>
      <c r="E174" s="14"/>
      <c r="F174" s="11"/>
      <c r="G174" s="11"/>
      <c r="H174" s="11"/>
      <c r="Z174" s="26" t="s">
        <v>622</v>
      </c>
      <c r="AA174" s="27">
        <v>1</v>
      </c>
      <c r="AB174" s="27">
        <v>1</v>
      </c>
      <c r="AC174" s="27">
        <v>1</v>
      </c>
    </row>
    <row r="175" spans="1:29" s="12" customFormat="1" x14ac:dyDescent="0.25">
      <c r="B175" s="29" t="s">
        <v>3</v>
      </c>
      <c r="C175" t="s">
        <v>448</v>
      </c>
      <c r="D175" s="14"/>
      <c r="E175" s="14"/>
      <c r="F175" s="11"/>
      <c r="G175" s="11"/>
      <c r="H175" s="11"/>
      <c r="Z175" s="26" t="s">
        <v>207</v>
      </c>
      <c r="AA175" s="27">
        <v>1</v>
      </c>
      <c r="AB175" s="27">
        <v>1</v>
      </c>
      <c r="AC175" s="27">
        <v>0.73260073260073255</v>
      </c>
    </row>
    <row r="176" spans="1:29" s="12" customFormat="1" x14ac:dyDescent="0.25">
      <c r="B176" s="29" t="s">
        <v>285</v>
      </c>
      <c r="C176" t="s">
        <v>74</v>
      </c>
      <c r="D176" s="14"/>
      <c r="E176" s="14"/>
      <c r="F176" s="11"/>
      <c r="G176" s="11"/>
      <c r="H176" s="11"/>
      <c r="Z176" s="26" t="s">
        <v>224</v>
      </c>
      <c r="AA176" s="27">
        <v>1</v>
      </c>
      <c r="AB176" s="27">
        <v>1</v>
      </c>
      <c r="AC176" s="27">
        <v>1</v>
      </c>
    </row>
    <row r="177" spans="1:29" s="12" customFormat="1" ht="16.5" customHeight="1" x14ac:dyDescent="0.25">
      <c r="A177" s="11"/>
      <c r="B177" s="11"/>
      <c r="C177" s="14"/>
      <c r="D177" s="14"/>
      <c r="E177" s="14"/>
      <c r="F177" s="11"/>
      <c r="G177" s="11"/>
      <c r="H177" s="11"/>
      <c r="O177" s="11"/>
      <c r="Z177" s="26" t="s">
        <v>457</v>
      </c>
      <c r="AA177" s="27">
        <v>1</v>
      </c>
      <c r="AB177" s="27">
        <v>1</v>
      </c>
      <c r="AC177" s="27">
        <v>1</v>
      </c>
    </row>
    <row r="178" spans="1:29" ht="75" x14ac:dyDescent="0.25">
      <c r="B178" s="284" t="s">
        <v>236</v>
      </c>
      <c r="C178" s="289" t="s">
        <v>648</v>
      </c>
      <c r="D178" s="289" t="s">
        <v>659</v>
      </c>
      <c r="F178" s="297"/>
      <c r="I178" s="12"/>
      <c r="J178" s="12"/>
      <c r="K178" s="12"/>
      <c r="L178" s="12"/>
      <c r="M178" s="12"/>
      <c r="N178" s="12"/>
      <c r="Z178" s="26" t="s">
        <v>215</v>
      </c>
      <c r="AA178" s="27">
        <v>1</v>
      </c>
      <c r="AB178" s="27">
        <v>1</v>
      </c>
      <c r="AC178" s="27">
        <v>0.97402597402597402</v>
      </c>
    </row>
    <row r="179" spans="1:29" x14ac:dyDescent="0.25">
      <c r="B179" s="26" t="s">
        <v>213</v>
      </c>
      <c r="C179" s="290">
        <v>0.99394599830487962</v>
      </c>
      <c r="D179" s="290">
        <v>5.6680590870564892E-3</v>
      </c>
      <c r="I179" s="12"/>
      <c r="J179" s="12"/>
      <c r="K179" s="12"/>
      <c r="L179" s="12"/>
      <c r="M179" s="12"/>
      <c r="N179" s="12"/>
      <c r="Z179" s="26" t="s">
        <v>178</v>
      </c>
      <c r="AA179" s="27">
        <v>1</v>
      </c>
      <c r="AB179" s="27">
        <v>1</v>
      </c>
      <c r="AC179" s="27">
        <v>1</v>
      </c>
    </row>
    <row r="180" spans="1:29" x14ac:dyDescent="0.25">
      <c r="B180" s="26" t="s">
        <v>221</v>
      </c>
      <c r="C180" s="290">
        <v>1</v>
      </c>
      <c r="D180" s="290">
        <v>0</v>
      </c>
      <c r="I180" s="12"/>
      <c r="J180" s="12"/>
      <c r="K180" s="12"/>
      <c r="L180" s="12"/>
      <c r="M180" s="12"/>
      <c r="N180" s="12"/>
      <c r="Z180" s="26" t="s">
        <v>119</v>
      </c>
      <c r="AA180" s="27">
        <v>1</v>
      </c>
      <c r="AB180" s="27">
        <v>0.73529411764705888</v>
      </c>
      <c r="AC180" s="27">
        <v>0.73529411764705888</v>
      </c>
    </row>
    <row r="181" spans="1:29" x14ac:dyDescent="0.25">
      <c r="B181" s="26" t="s">
        <v>73</v>
      </c>
      <c r="C181" s="290">
        <v>0.99642149429452009</v>
      </c>
      <c r="D181" s="290">
        <v>3.350375966755552E-3</v>
      </c>
      <c r="I181" s="12"/>
      <c r="J181" s="12"/>
      <c r="K181" s="12"/>
      <c r="L181" s="12"/>
      <c r="M181" s="12"/>
      <c r="N181" s="12"/>
      <c r="Z181" s="26" t="s">
        <v>226</v>
      </c>
      <c r="AA181" s="27">
        <v>1</v>
      </c>
      <c r="AB181" s="27">
        <v>1</v>
      </c>
      <c r="AC181" s="27">
        <v>0</v>
      </c>
    </row>
    <row r="182" spans="1:29" x14ac:dyDescent="0.25">
      <c r="B182"/>
      <c r="C182"/>
      <c r="I182" s="12"/>
      <c r="J182" s="12"/>
      <c r="K182" s="12"/>
      <c r="L182" s="12"/>
      <c r="M182" s="12"/>
      <c r="N182" s="12"/>
      <c r="Z182" s="26" t="s">
        <v>128</v>
      </c>
      <c r="AA182" s="27">
        <v>1</v>
      </c>
      <c r="AB182" s="27">
        <v>1</v>
      </c>
      <c r="AC182" s="27">
        <v>1</v>
      </c>
    </row>
    <row r="183" spans="1:29" x14ac:dyDescent="0.25">
      <c r="B183"/>
      <c r="C183"/>
      <c r="I183" s="12"/>
      <c r="J183" s="12"/>
      <c r="K183" s="12"/>
      <c r="L183" s="12"/>
      <c r="M183" s="12"/>
      <c r="N183" s="12"/>
      <c r="Z183" s="26" t="s">
        <v>163</v>
      </c>
      <c r="AA183" s="27">
        <v>1</v>
      </c>
      <c r="AB183" s="27">
        <v>1</v>
      </c>
      <c r="AC183" s="27">
        <v>1</v>
      </c>
    </row>
    <row r="184" spans="1:29" x14ac:dyDescent="0.25">
      <c r="B184"/>
      <c r="C184"/>
      <c r="I184" s="12"/>
      <c r="J184" s="12"/>
      <c r="K184" s="12"/>
      <c r="L184" s="12"/>
      <c r="M184" s="12"/>
      <c r="N184" s="12"/>
      <c r="Z184" s="26" t="s">
        <v>314</v>
      </c>
      <c r="AA184" s="27">
        <v>1</v>
      </c>
      <c r="AB184" s="27">
        <v>1</v>
      </c>
      <c r="AC184" s="27">
        <v>1</v>
      </c>
    </row>
    <row r="185" spans="1:29" x14ac:dyDescent="0.25">
      <c r="B185"/>
      <c r="C185"/>
      <c r="I185" s="12"/>
      <c r="J185" s="12"/>
      <c r="K185" s="12"/>
      <c r="L185" s="12"/>
      <c r="M185" s="12"/>
      <c r="N185" s="12"/>
      <c r="Z185" s="26" t="s">
        <v>186</v>
      </c>
      <c r="AA185" s="27">
        <v>1</v>
      </c>
      <c r="AB185" s="27">
        <v>1</v>
      </c>
      <c r="AC185" s="27">
        <v>0.42865890998162892</v>
      </c>
    </row>
    <row r="186" spans="1:29" x14ac:dyDescent="0.25">
      <c r="B186"/>
      <c r="C186"/>
      <c r="D186"/>
      <c r="I186" s="12"/>
      <c r="J186" s="12"/>
      <c r="K186" s="12"/>
      <c r="L186" s="12"/>
      <c r="M186" s="12"/>
      <c r="N186" s="12"/>
      <c r="Z186" s="26" t="s">
        <v>194</v>
      </c>
      <c r="AA186" s="27">
        <v>1</v>
      </c>
      <c r="AB186" s="27">
        <v>0.86956521739130432</v>
      </c>
      <c r="AC186" s="27">
        <v>1</v>
      </c>
    </row>
    <row r="187" spans="1:29" x14ac:dyDescent="0.25">
      <c r="B187"/>
      <c r="C187"/>
      <c r="D187"/>
      <c r="I187" s="12"/>
      <c r="J187" s="12"/>
      <c r="K187" s="12"/>
      <c r="L187" s="12"/>
      <c r="M187" s="12"/>
      <c r="N187" s="12"/>
      <c r="Z187" s="26" t="s">
        <v>214</v>
      </c>
      <c r="AA187" s="27">
        <v>1</v>
      </c>
      <c r="AB187" s="27">
        <v>0.72398190045248867</v>
      </c>
      <c r="AC187" s="27">
        <v>0.90497737556561086</v>
      </c>
    </row>
    <row r="188" spans="1:29" ht="21" x14ac:dyDescent="0.25">
      <c r="B188" s="278" t="s">
        <v>94</v>
      </c>
      <c r="C188" s="296"/>
      <c r="D188" s="36"/>
      <c r="E188" s="36"/>
      <c r="F188" s="36"/>
      <c r="G188" s="36"/>
      <c r="H188" s="36"/>
      <c r="I188" s="36"/>
      <c r="J188" s="36"/>
      <c r="K188" s="36"/>
      <c r="L188" s="36"/>
      <c r="M188" s="36"/>
      <c r="N188" s="37"/>
      <c r="Z188" s="26" t="s">
        <v>144</v>
      </c>
      <c r="AA188" s="27">
        <v>1</v>
      </c>
      <c r="AB188" s="27">
        <v>1</v>
      </c>
      <c r="AC188" s="27">
        <v>1</v>
      </c>
    </row>
    <row r="189" spans="1:29" ht="21" x14ac:dyDescent="0.25">
      <c r="B189" s="298"/>
      <c r="C189" s="298"/>
      <c r="D189" s="299"/>
      <c r="E189" s="299"/>
      <c r="F189" s="299"/>
      <c r="G189" s="299"/>
      <c r="H189" s="299"/>
      <c r="I189" s="299"/>
      <c r="J189" s="299"/>
      <c r="K189" s="299"/>
      <c r="L189" s="299"/>
      <c r="M189" s="299"/>
      <c r="N189" s="299"/>
      <c r="Z189" s="26" t="s">
        <v>619</v>
      </c>
      <c r="AA189" s="27">
        <v>1</v>
      </c>
      <c r="AB189" s="27">
        <v>1</v>
      </c>
      <c r="AC189" s="27">
        <v>0.14903129657228018</v>
      </c>
    </row>
    <row r="190" spans="1:29" ht="15.75" customHeight="1" x14ac:dyDescent="0.25">
      <c r="B190" s="298"/>
      <c r="C190" s="298"/>
      <c r="D190" s="299"/>
      <c r="E190" s="299"/>
      <c r="F190" s="299"/>
      <c r="G190" s="299"/>
      <c r="H190" s="299"/>
      <c r="I190" s="299"/>
      <c r="J190" s="299"/>
      <c r="K190" s="299"/>
      <c r="L190" s="299"/>
      <c r="M190" s="299"/>
      <c r="N190" s="299"/>
      <c r="Z190" s="26" t="s">
        <v>618</v>
      </c>
      <c r="AA190" s="27">
        <v>1</v>
      </c>
      <c r="AB190" s="27">
        <v>1</v>
      </c>
      <c r="AC190" s="27">
        <v>1</v>
      </c>
    </row>
    <row r="191" spans="1:29" ht="15.75" customHeight="1" x14ac:dyDescent="0.25">
      <c r="B191" s="29" t="s">
        <v>3</v>
      </c>
      <c r="C191" t="s">
        <v>74</v>
      </c>
      <c r="F191"/>
      <c r="Z191" s="26" t="s">
        <v>617</v>
      </c>
      <c r="AA191" s="27">
        <v>1</v>
      </c>
      <c r="AB191" s="27">
        <v>1</v>
      </c>
      <c r="AC191" s="27">
        <v>0.74349442379182151</v>
      </c>
    </row>
    <row r="192" spans="1:29" ht="15.75" customHeight="1" x14ac:dyDescent="0.25">
      <c r="B192" s="29" t="s">
        <v>285</v>
      </c>
      <c r="C192" t="s">
        <v>74</v>
      </c>
      <c r="F192"/>
      <c r="Z192" s="26" t="s">
        <v>199</v>
      </c>
      <c r="AA192" s="27">
        <v>1</v>
      </c>
      <c r="AB192" s="27">
        <v>1</v>
      </c>
      <c r="AC192" s="27">
        <v>0.78534031413612571</v>
      </c>
    </row>
    <row r="193" spans="2:29" x14ac:dyDescent="0.25">
      <c r="F193"/>
      <c r="Z193" s="26" t="s">
        <v>282</v>
      </c>
      <c r="AA193" s="27">
        <v>1</v>
      </c>
      <c r="AB193" s="27">
        <v>0.99071207430340558</v>
      </c>
      <c r="AC193" s="27">
        <v>0.61919504643962853</v>
      </c>
    </row>
    <row r="194" spans="2:29" x14ac:dyDescent="0.25">
      <c r="B194" s="29" t="s">
        <v>639</v>
      </c>
      <c r="C194" s="29" t="s">
        <v>248</v>
      </c>
      <c r="D194"/>
      <c r="E194"/>
      <c r="F194"/>
      <c r="Z194" s="26" t="s">
        <v>667</v>
      </c>
      <c r="AA194" s="27">
        <v>1</v>
      </c>
      <c r="AB194" s="27">
        <v>1</v>
      </c>
      <c r="AC194" s="27">
        <v>1</v>
      </c>
    </row>
    <row r="195" spans="2:29" x14ac:dyDescent="0.25">
      <c r="B195" s="29" t="s">
        <v>236</v>
      </c>
      <c r="C195" s="293" t="s">
        <v>213</v>
      </c>
      <c r="D195" s="293" t="s">
        <v>221</v>
      </c>
      <c r="E195" s="293" t="s">
        <v>73</v>
      </c>
      <c r="F195"/>
      <c r="Z195" s="26" t="s">
        <v>164</v>
      </c>
      <c r="AA195" s="27">
        <v>1</v>
      </c>
      <c r="AB195" s="27">
        <v>1</v>
      </c>
      <c r="AC195" s="27">
        <v>0.3125</v>
      </c>
    </row>
    <row r="196" spans="2:29" x14ac:dyDescent="0.25">
      <c r="B196" s="26" t="s">
        <v>175</v>
      </c>
      <c r="C196" s="283">
        <v>196.35000000000002</v>
      </c>
      <c r="D196" s="283"/>
      <c r="E196" s="283">
        <v>196.35000000000002</v>
      </c>
      <c r="F196"/>
      <c r="Z196" s="26" t="s">
        <v>165</v>
      </c>
      <c r="AA196" s="27">
        <v>1</v>
      </c>
      <c r="AB196" s="27">
        <v>0.5865102639296188</v>
      </c>
      <c r="AC196" s="27">
        <v>0.87976539589442815</v>
      </c>
    </row>
    <row r="197" spans="2:29" x14ac:dyDescent="0.25">
      <c r="B197" s="26" t="s">
        <v>104</v>
      </c>
      <c r="C197" s="283">
        <v>31.549999999999997</v>
      </c>
      <c r="D197" s="283">
        <v>43.65</v>
      </c>
      <c r="E197" s="283">
        <v>75.199999999999989</v>
      </c>
      <c r="F197"/>
      <c r="Z197" s="26" t="s">
        <v>166</v>
      </c>
      <c r="AA197" s="27">
        <v>1</v>
      </c>
      <c r="AB197" s="27">
        <v>0.77922077922077926</v>
      </c>
      <c r="AC197" s="27">
        <v>0.64935064935064934</v>
      </c>
    </row>
    <row r="198" spans="2:29" x14ac:dyDescent="0.25">
      <c r="B198" s="26" t="s">
        <v>107</v>
      </c>
      <c r="C198" s="283">
        <v>58.35</v>
      </c>
      <c r="D198" s="283"/>
      <c r="E198" s="283">
        <v>58.35</v>
      </c>
      <c r="F198"/>
      <c r="Z198" s="26" t="s">
        <v>167</v>
      </c>
      <c r="AA198" s="27">
        <v>1</v>
      </c>
      <c r="AB198" s="27">
        <v>0.94117647058823528</v>
      </c>
      <c r="AC198" s="27">
        <v>1</v>
      </c>
    </row>
    <row r="199" spans="2:29" x14ac:dyDescent="0.25">
      <c r="B199" s="26" t="s">
        <v>124</v>
      </c>
      <c r="C199" s="283">
        <v>0.85</v>
      </c>
      <c r="D199" s="283"/>
      <c r="E199" s="283">
        <v>0.85</v>
      </c>
      <c r="F199"/>
      <c r="Z199" s="26" t="s">
        <v>168</v>
      </c>
      <c r="AA199" s="27">
        <v>1</v>
      </c>
      <c r="AB199" s="27">
        <v>1</v>
      </c>
      <c r="AC199" s="27">
        <v>0.63424947145877375</v>
      </c>
    </row>
    <row r="200" spans="2:29" x14ac:dyDescent="0.25">
      <c r="B200" s="26" t="s">
        <v>200</v>
      </c>
      <c r="C200" s="283">
        <v>156.44999999999999</v>
      </c>
      <c r="D200" s="283"/>
      <c r="E200" s="283">
        <v>156.44999999999999</v>
      </c>
      <c r="F200"/>
      <c r="Z200" s="26" t="s">
        <v>120</v>
      </c>
      <c r="AA200" s="27">
        <v>1</v>
      </c>
      <c r="AB200" s="27">
        <v>1</v>
      </c>
      <c r="AC200" s="27">
        <v>1</v>
      </c>
    </row>
    <row r="201" spans="2:29" x14ac:dyDescent="0.25">
      <c r="B201" s="26" t="s">
        <v>181</v>
      </c>
      <c r="C201" s="283">
        <v>137.69999999999999</v>
      </c>
      <c r="D201" s="283">
        <v>83.050000000000011</v>
      </c>
      <c r="E201" s="283">
        <v>220.75</v>
      </c>
      <c r="F201"/>
      <c r="Z201" s="26" t="s">
        <v>821</v>
      </c>
      <c r="AA201" s="27">
        <v>1</v>
      </c>
      <c r="AB201" s="27">
        <v>0.79873049457815393</v>
      </c>
      <c r="AC201" s="27">
        <v>0.26448029621793179</v>
      </c>
    </row>
    <row r="202" spans="2:29" x14ac:dyDescent="0.25">
      <c r="B202" s="26" t="s">
        <v>182</v>
      </c>
      <c r="C202" s="283">
        <v>7.1999999999999993</v>
      </c>
      <c r="D202" s="283">
        <v>22.3</v>
      </c>
      <c r="E202" s="283">
        <v>29.5</v>
      </c>
      <c r="F202"/>
      <c r="Z202" s="26" t="s">
        <v>121</v>
      </c>
      <c r="AA202" s="27">
        <v>1</v>
      </c>
      <c r="AB202" s="27">
        <v>1</v>
      </c>
      <c r="AC202" s="27">
        <v>1</v>
      </c>
    </row>
    <row r="203" spans="2:29" x14ac:dyDescent="0.25">
      <c r="B203" s="26" t="s">
        <v>220</v>
      </c>
      <c r="C203" s="283">
        <v>9.4</v>
      </c>
      <c r="D203" s="283"/>
      <c r="E203" s="283">
        <v>9.4</v>
      </c>
      <c r="F203"/>
      <c r="Z203" s="26" t="s">
        <v>145</v>
      </c>
      <c r="AA203" s="27">
        <v>1</v>
      </c>
      <c r="AB203" s="27">
        <v>0.75376884422110557</v>
      </c>
      <c r="AC203" s="27">
        <v>0.50251256281407031</v>
      </c>
    </row>
    <row r="204" spans="2:29" x14ac:dyDescent="0.25">
      <c r="B204" s="26" t="s">
        <v>129</v>
      </c>
      <c r="C204" s="283">
        <v>0</v>
      </c>
      <c r="D204" s="283"/>
      <c r="E204" s="283">
        <v>0</v>
      </c>
      <c r="F204"/>
      <c r="Z204" s="26" t="s">
        <v>146</v>
      </c>
      <c r="AA204" s="27">
        <v>1</v>
      </c>
      <c r="AB204" s="27">
        <v>1</v>
      </c>
      <c r="AC204" s="27">
        <v>1</v>
      </c>
    </row>
    <row r="205" spans="2:29" x14ac:dyDescent="0.25">
      <c r="B205" s="26" t="s">
        <v>183</v>
      </c>
      <c r="C205" s="283">
        <v>153.00000000000003</v>
      </c>
      <c r="D205" s="283">
        <v>81.8</v>
      </c>
      <c r="E205" s="283">
        <v>234.8</v>
      </c>
      <c r="F205"/>
      <c r="Z205" s="26" t="s">
        <v>169</v>
      </c>
      <c r="AA205" s="27">
        <v>1</v>
      </c>
      <c r="AB205" s="27">
        <v>0.87042532146389717</v>
      </c>
      <c r="AC205" s="27">
        <v>0.59347181008902072</v>
      </c>
    </row>
    <row r="206" spans="2:29" x14ac:dyDescent="0.25">
      <c r="B206" s="26" t="s">
        <v>209</v>
      </c>
      <c r="C206" s="283">
        <v>26.05</v>
      </c>
      <c r="D206" s="283"/>
      <c r="E206" s="283">
        <v>26.05</v>
      </c>
      <c r="F206"/>
      <c r="Z206" s="26" t="s">
        <v>196</v>
      </c>
      <c r="AA206" s="27">
        <v>1</v>
      </c>
      <c r="AB206" s="27">
        <v>1</v>
      </c>
      <c r="AC206" s="27">
        <v>1</v>
      </c>
    </row>
    <row r="207" spans="2:29" x14ac:dyDescent="0.25">
      <c r="B207" s="26" t="s">
        <v>131</v>
      </c>
      <c r="C207" s="283">
        <v>49.599999999999994</v>
      </c>
      <c r="D207" s="283">
        <v>0.39999999999999991</v>
      </c>
      <c r="E207" s="283">
        <v>49.999999999999993</v>
      </c>
      <c r="F207"/>
      <c r="Z207" s="26" t="s">
        <v>197</v>
      </c>
      <c r="AA207" s="27">
        <v>1</v>
      </c>
      <c r="AB207" s="27">
        <v>1</v>
      </c>
      <c r="AC207" s="27">
        <v>1</v>
      </c>
    </row>
    <row r="208" spans="2:29" x14ac:dyDescent="0.25">
      <c r="B208" s="26" t="s">
        <v>466</v>
      </c>
      <c r="C208" s="283">
        <v>68.099999999999994</v>
      </c>
      <c r="D208" s="283"/>
      <c r="E208" s="283">
        <v>68.099999999999994</v>
      </c>
      <c r="F208"/>
      <c r="Z208" s="26" t="s">
        <v>147</v>
      </c>
      <c r="AA208" s="27">
        <v>1</v>
      </c>
      <c r="AB208" s="27">
        <v>0.76555023923444976</v>
      </c>
      <c r="AC208" s="27">
        <v>0.4784688995215311</v>
      </c>
    </row>
    <row r="209" spans="2:29" x14ac:dyDescent="0.25">
      <c r="B209" s="26" t="s">
        <v>227</v>
      </c>
      <c r="C209" s="283">
        <v>2</v>
      </c>
      <c r="D209" s="283"/>
      <c r="E209" s="283">
        <v>2</v>
      </c>
      <c r="F209"/>
      <c r="Z209" s="26" t="s">
        <v>130</v>
      </c>
      <c r="AA209" s="27">
        <v>1</v>
      </c>
      <c r="AB209" s="27">
        <v>1</v>
      </c>
      <c r="AC209" s="27">
        <v>1</v>
      </c>
    </row>
    <row r="210" spans="2:29" x14ac:dyDescent="0.25">
      <c r="B210" s="26" t="s">
        <v>219</v>
      </c>
      <c r="C210" s="283">
        <v>21.3</v>
      </c>
      <c r="D210" s="283"/>
      <c r="E210" s="283">
        <v>21.3</v>
      </c>
      <c r="F210"/>
      <c r="Z210" s="26" t="s">
        <v>179</v>
      </c>
      <c r="AA210" s="27">
        <v>1</v>
      </c>
      <c r="AB210" s="27">
        <v>1</v>
      </c>
      <c r="AC210" s="27">
        <v>1</v>
      </c>
    </row>
    <row r="211" spans="2:29" x14ac:dyDescent="0.25">
      <c r="B211" s="26" t="s">
        <v>218</v>
      </c>
      <c r="C211" s="283">
        <v>2.9000000000000004</v>
      </c>
      <c r="D211" s="283"/>
      <c r="E211" s="283">
        <v>2.9000000000000004</v>
      </c>
      <c r="F211"/>
      <c r="Z211" s="26" t="s">
        <v>610</v>
      </c>
      <c r="AA211" s="27">
        <v>1</v>
      </c>
      <c r="AB211" s="27">
        <v>0.82644628099173556</v>
      </c>
      <c r="AC211" s="27">
        <v>0.82644628099173556</v>
      </c>
    </row>
    <row r="212" spans="2:29" x14ac:dyDescent="0.25">
      <c r="B212" s="26" t="s">
        <v>154</v>
      </c>
      <c r="C212" s="283">
        <v>89.549999999999983</v>
      </c>
      <c r="D212" s="283">
        <v>486.95</v>
      </c>
      <c r="E212" s="283">
        <v>576.5</v>
      </c>
      <c r="F212"/>
      <c r="Z212" s="26" t="s">
        <v>148</v>
      </c>
      <c r="AA212" s="27">
        <v>1</v>
      </c>
      <c r="AB212" s="27">
        <v>0.69620253164556967</v>
      </c>
      <c r="AC212" s="27">
        <v>0.63291139240506333</v>
      </c>
    </row>
    <row r="213" spans="2:29" x14ac:dyDescent="0.25">
      <c r="B213" s="26" t="s">
        <v>730</v>
      </c>
      <c r="C213" s="283">
        <v>14.05</v>
      </c>
      <c r="D213" s="283"/>
      <c r="E213" s="283">
        <v>14.05</v>
      </c>
      <c r="F213"/>
      <c r="Z213" s="26" t="s">
        <v>149</v>
      </c>
      <c r="AA213" s="27">
        <v>1</v>
      </c>
      <c r="AB213" s="27">
        <v>1</v>
      </c>
      <c r="AC213" s="27">
        <v>1</v>
      </c>
    </row>
    <row r="214" spans="2:29" x14ac:dyDescent="0.25">
      <c r="B214" s="26" t="s">
        <v>73</v>
      </c>
      <c r="C214" s="283">
        <v>1024.3999999999999</v>
      </c>
      <c r="D214" s="283">
        <v>718.15</v>
      </c>
      <c r="E214" s="283">
        <v>1742.55</v>
      </c>
      <c r="F214"/>
      <c r="Z214" s="26" t="s">
        <v>150</v>
      </c>
      <c r="AA214" s="27">
        <v>1</v>
      </c>
      <c r="AB214" s="27">
        <v>0.70175438596491224</v>
      </c>
      <c r="AC214" s="27">
        <v>1</v>
      </c>
    </row>
    <row r="215" spans="2:29" x14ac:dyDescent="0.25">
      <c r="B215"/>
      <c r="C215"/>
      <c r="D215"/>
      <c r="E215"/>
      <c r="F215"/>
      <c r="Z215" s="26" t="s">
        <v>151</v>
      </c>
      <c r="AA215" s="27">
        <v>1</v>
      </c>
      <c r="AB215" s="27">
        <v>0.92715231788079466</v>
      </c>
      <c r="AC215" s="27">
        <v>1</v>
      </c>
    </row>
    <row r="216" spans="2:29" x14ac:dyDescent="0.25">
      <c r="B216"/>
      <c r="C216"/>
      <c r="D216"/>
      <c r="E216"/>
      <c r="F216"/>
      <c r="Z216" s="26" t="s">
        <v>152</v>
      </c>
      <c r="AA216" s="27">
        <v>1</v>
      </c>
      <c r="AB216" s="27">
        <v>0.898876404494382</v>
      </c>
      <c r="AC216" s="27">
        <v>0.5617977528089888</v>
      </c>
    </row>
    <row r="217" spans="2:29" x14ac:dyDescent="0.25">
      <c r="B217"/>
      <c r="C217"/>
      <c r="D217"/>
      <c r="E217"/>
      <c r="F217"/>
      <c r="Z217" s="26" t="s">
        <v>170</v>
      </c>
      <c r="AA217" s="27">
        <v>1</v>
      </c>
      <c r="AB217" s="27">
        <v>1</v>
      </c>
      <c r="AC217" s="27">
        <v>1</v>
      </c>
    </row>
    <row r="218" spans="2:29" x14ac:dyDescent="0.25">
      <c r="B218" s="29" t="s">
        <v>3</v>
      </c>
      <c r="C218" t="s">
        <v>74</v>
      </c>
      <c r="E218" s="16"/>
      <c r="F218" s="13"/>
      <c r="Z218" s="26" t="s">
        <v>171</v>
      </c>
      <c r="AA218" s="27">
        <v>1</v>
      </c>
      <c r="AB218" s="27">
        <v>0.59945504087193457</v>
      </c>
      <c r="AC218" s="27">
        <v>1</v>
      </c>
    </row>
    <row r="219" spans="2:29" x14ac:dyDescent="0.25">
      <c r="B219" s="29" t="s">
        <v>285</v>
      </c>
      <c r="C219" t="s">
        <v>74</v>
      </c>
      <c r="F219" s="13"/>
      <c r="Z219" s="26" t="s">
        <v>122</v>
      </c>
      <c r="AA219" s="27">
        <v>1</v>
      </c>
      <c r="AB219" s="27">
        <v>0.90452261306532666</v>
      </c>
      <c r="AC219" s="27">
        <v>1</v>
      </c>
    </row>
    <row r="220" spans="2:29" x14ac:dyDescent="0.25">
      <c r="F220" s="13"/>
      <c r="Z220" s="26" t="s">
        <v>173</v>
      </c>
      <c r="AA220" s="27">
        <v>1</v>
      </c>
      <c r="AB220" s="27">
        <v>1</v>
      </c>
      <c r="AC220" s="27">
        <v>1</v>
      </c>
    </row>
    <row r="221" spans="2:29" x14ac:dyDescent="0.25">
      <c r="B221" s="29" t="s">
        <v>639</v>
      </c>
      <c r="C221" s="29" t="s">
        <v>248</v>
      </c>
      <c r="D221"/>
      <c r="E221"/>
      <c r="F221"/>
      <c r="G221"/>
      <c r="H221"/>
      <c r="I221"/>
      <c r="J221"/>
      <c r="K221"/>
      <c r="L221"/>
      <c r="M221"/>
      <c r="Z221" s="26" t="s">
        <v>153</v>
      </c>
      <c r="AA221" s="27">
        <v>1</v>
      </c>
      <c r="AB221" s="27">
        <v>1</v>
      </c>
      <c r="AC221" s="27">
        <v>1</v>
      </c>
    </row>
    <row r="222" spans="2:29" x14ac:dyDescent="0.25">
      <c r="B222" s="29" t="s">
        <v>236</v>
      </c>
      <c r="C222" s="293" t="s">
        <v>256</v>
      </c>
      <c r="D222" s="293" t="s">
        <v>313</v>
      </c>
      <c r="E222" s="293" t="s">
        <v>257</v>
      </c>
      <c r="F222" s="293" t="s">
        <v>258</v>
      </c>
      <c r="G222" s="293" t="s">
        <v>259</v>
      </c>
      <c r="H222" s="293" t="s">
        <v>260</v>
      </c>
      <c r="I222" s="293" t="s">
        <v>265</v>
      </c>
      <c r="J222" s="293" t="s">
        <v>266</v>
      </c>
      <c r="K222" s="293" t="s">
        <v>267</v>
      </c>
      <c r="L222" s="293" t="s">
        <v>268</v>
      </c>
      <c r="M222" s="293" t="s">
        <v>73</v>
      </c>
      <c r="Z222" s="26" t="s">
        <v>180</v>
      </c>
      <c r="AA222" s="27">
        <v>1</v>
      </c>
      <c r="AB222" s="27">
        <v>1</v>
      </c>
      <c r="AC222" s="27">
        <v>1</v>
      </c>
    </row>
    <row r="223" spans="2:29" x14ac:dyDescent="0.25">
      <c r="B223" s="26" t="s">
        <v>213</v>
      </c>
      <c r="C223" s="283">
        <v>58.35</v>
      </c>
      <c r="D223" s="283">
        <v>53.7</v>
      </c>
      <c r="E223" s="283">
        <v>139.14999999999998</v>
      </c>
      <c r="F223" s="283">
        <v>9.4</v>
      </c>
      <c r="G223" s="283">
        <v>364.7</v>
      </c>
      <c r="H223" s="283"/>
      <c r="I223" s="283">
        <v>36.799999999999997</v>
      </c>
      <c r="J223" s="283">
        <v>182.60000000000002</v>
      </c>
      <c r="K223" s="283">
        <v>170.5</v>
      </c>
      <c r="L223" s="283">
        <v>9.1999999999999993</v>
      </c>
      <c r="M223" s="283">
        <v>1024.3999999999999</v>
      </c>
      <c r="Z223" s="26" t="s">
        <v>123</v>
      </c>
      <c r="AA223" s="27">
        <v>1</v>
      </c>
      <c r="AB223" s="27">
        <v>1</v>
      </c>
      <c r="AC223" s="27">
        <v>1</v>
      </c>
    </row>
    <row r="224" spans="2:29" x14ac:dyDescent="0.25">
      <c r="B224" s="26" t="s">
        <v>221</v>
      </c>
      <c r="C224" s="283"/>
      <c r="D224" s="283">
        <v>43.65</v>
      </c>
      <c r="E224" s="283">
        <v>0.39999999999999991</v>
      </c>
      <c r="F224" s="283"/>
      <c r="G224" s="283"/>
      <c r="H224" s="283">
        <v>486.95</v>
      </c>
      <c r="I224" s="283">
        <v>164.85000000000005</v>
      </c>
      <c r="J224" s="283"/>
      <c r="K224" s="283"/>
      <c r="L224" s="283">
        <v>22.3</v>
      </c>
      <c r="M224" s="283">
        <v>718.15</v>
      </c>
      <c r="Z224" s="26" t="s">
        <v>174</v>
      </c>
      <c r="AA224" s="27">
        <v>1</v>
      </c>
      <c r="AB224" s="27">
        <v>1</v>
      </c>
      <c r="AC224" s="27">
        <v>0.46403712296983757</v>
      </c>
    </row>
    <row r="225" spans="1:29" x14ac:dyDescent="0.25">
      <c r="B225" s="26" t="s">
        <v>73</v>
      </c>
      <c r="C225" s="283">
        <v>58.35</v>
      </c>
      <c r="D225" s="283">
        <v>97.35</v>
      </c>
      <c r="E225" s="283">
        <v>139.54999999999998</v>
      </c>
      <c r="F225" s="283">
        <v>9.4</v>
      </c>
      <c r="G225" s="283">
        <v>364.7</v>
      </c>
      <c r="H225" s="283">
        <v>486.95</v>
      </c>
      <c r="I225" s="283">
        <v>201.65000000000003</v>
      </c>
      <c r="J225" s="283">
        <v>182.60000000000002</v>
      </c>
      <c r="K225" s="283">
        <v>170.5</v>
      </c>
      <c r="L225" s="283">
        <v>31.5</v>
      </c>
      <c r="M225" s="283">
        <v>1742.5499999999997</v>
      </c>
      <c r="Z225" s="26" t="s">
        <v>208</v>
      </c>
      <c r="AA225" s="27">
        <v>1</v>
      </c>
      <c r="AB225" s="27">
        <v>1</v>
      </c>
      <c r="AC225" s="27">
        <v>1</v>
      </c>
    </row>
    <row r="226" spans="1:29" x14ac:dyDescent="0.25">
      <c r="B226"/>
      <c r="C226"/>
      <c r="D226"/>
      <c r="E226"/>
      <c r="F226" s="13"/>
      <c r="Z226" s="26" t="s">
        <v>686</v>
      </c>
      <c r="AA226" s="27">
        <v>1</v>
      </c>
      <c r="AB226" s="27">
        <v>1</v>
      </c>
      <c r="AC226" s="27">
        <v>1</v>
      </c>
    </row>
    <row r="227" spans="1:29" x14ac:dyDescent="0.25">
      <c r="B227"/>
      <c r="C227"/>
      <c r="D227"/>
      <c r="E227"/>
      <c r="F227" s="13"/>
      <c r="Z227" s="26" t="s">
        <v>718</v>
      </c>
      <c r="AA227" s="27">
        <v>1</v>
      </c>
      <c r="AB227" s="27">
        <v>1</v>
      </c>
      <c r="AC227" s="27">
        <v>1</v>
      </c>
    </row>
    <row r="228" spans="1:29" x14ac:dyDescent="0.25">
      <c r="B228"/>
      <c r="C228"/>
      <c r="D228"/>
      <c r="E228"/>
      <c r="F228" s="13"/>
      <c r="Z228" s="26" t="s">
        <v>732</v>
      </c>
      <c r="AA228" s="27">
        <v>1</v>
      </c>
      <c r="AB228" s="27">
        <v>0.51502145922746778</v>
      </c>
      <c r="AC228" s="27">
        <v>0.42918454935622319</v>
      </c>
    </row>
    <row r="229" spans="1:29" x14ac:dyDescent="0.25">
      <c r="B229"/>
      <c r="C229"/>
      <c r="D229"/>
      <c r="E229"/>
      <c r="F229" s="13"/>
      <c r="Z229" s="26" t="s">
        <v>733</v>
      </c>
      <c r="AA229" s="27">
        <v>1</v>
      </c>
      <c r="AB229" s="27">
        <v>0.80645161290322576</v>
      </c>
      <c r="AC229" s="27">
        <v>0.80645161290322576</v>
      </c>
    </row>
    <row r="230" spans="1:29" x14ac:dyDescent="0.25">
      <c r="B230"/>
      <c r="C230"/>
      <c r="D230"/>
      <c r="E230"/>
      <c r="F230" s="13"/>
      <c r="Z230" s="26" t="s">
        <v>736</v>
      </c>
      <c r="AA230" s="27">
        <v>1</v>
      </c>
      <c r="AB230" s="27">
        <v>0.48484848484848486</v>
      </c>
      <c r="AC230" s="27">
        <v>0</v>
      </c>
    </row>
    <row r="231" spans="1:29" x14ac:dyDescent="0.25">
      <c r="B231"/>
      <c r="C231"/>
      <c r="D231"/>
      <c r="E231"/>
      <c r="F231" s="13"/>
      <c r="Z231" s="26" t="s">
        <v>795</v>
      </c>
      <c r="AA231" s="27">
        <v>1</v>
      </c>
      <c r="AB231" s="27">
        <v>0.5161290322580645</v>
      </c>
      <c r="AC231" s="27">
        <v>0</v>
      </c>
    </row>
    <row r="232" spans="1:29" x14ac:dyDescent="0.25">
      <c r="B232"/>
      <c r="C232"/>
      <c r="D232"/>
      <c r="E232"/>
      <c r="F232" s="13"/>
      <c r="Z232" s="26" t="s">
        <v>797</v>
      </c>
      <c r="AA232" s="27">
        <v>1</v>
      </c>
      <c r="AB232" s="27">
        <v>0.89686098654708524</v>
      </c>
      <c r="AC232" s="27">
        <v>0</v>
      </c>
    </row>
    <row r="233" spans="1:29" x14ac:dyDescent="0.25">
      <c r="B233"/>
      <c r="C233"/>
      <c r="D233"/>
      <c r="E233"/>
      <c r="F233" s="13"/>
      <c r="Z233" s="26" t="s">
        <v>803</v>
      </c>
      <c r="AA233" s="27">
        <v>1</v>
      </c>
      <c r="AB233" s="27">
        <v>1</v>
      </c>
      <c r="AC233" s="27">
        <v>0</v>
      </c>
    </row>
    <row r="234" spans="1:29" x14ac:dyDescent="0.25">
      <c r="B234"/>
      <c r="C234"/>
      <c r="D234"/>
      <c r="E234"/>
      <c r="F234" s="13"/>
      <c r="Z234" s="26" t="s">
        <v>742</v>
      </c>
      <c r="AA234" s="27">
        <v>1</v>
      </c>
      <c r="AB234" s="27">
        <v>1</v>
      </c>
      <c r="AC234" s="27">
        <v>0</v>
      </c>
    </row>
    <row r="235" spans="1:29" x14ac:dyDescent="0.25">
      <c r="B235"/>
      <c r="C235"/>
      <c r="D235"/>
      <c r="E235"/>
      <c r="F235" s="13"/>
      <c r="Z235" s="26" t="s">
        <v>73</v>
      </c>
      <c r="AA235" s="27">
        <v>0.99642149429451987</v>
      </c>
      <c r="AB235" s="27">
        <v>0.89956923737570282</v>
      </c>
      <c r="AC235" s="27">
        <v>0.58237496477408446</v>
      </c>
    </row>
    <row r="236" spans="1:29" x14ac:dyDescent="0.25">
      <c r="B236"/>
      <c r="C236"/>
      <c r="D236"/>
      <c r="E236"/>
      <c r="F236" s="13"/>
      <c r="Z236"/>
      <c r="AA236"/>
      <c r="AB236"/>
      <c r="AC236"/>
    </row>
    <row r="237" spans="1:29" x14ac:dyDescent="0.25">
      <c r="B237"/>
      <c r="C237"/>
      <c r="D237"/>
      <c r="E237"/>
      <c r="F237" s="13"/>
      <c r="Z237"/>
      <c r="AA237"/>
      <c r="AB237"/>
      <c r="AC237"/>
    </row>
    <row r="238" spans="1:29" x14ac:dyDescent="0.25">
      <c r="A238" s="12"/>
      <c r="B238"/>
      <c r="C238"/>
      <c r="D238"/>
      <c r="E238"/>
      <c r="F238" s="13"/>
      <c r="O238" s="12"/>
      <c r="Z238"/>
      <c r="AA238"/>
      <c r="AB238"/>
      <c r="AC238"/>
    </row>
    <row r="239" spans="1:29" s="12" customFormat="1" x14ac:dyDescent="0.25">
      <c r="B239"/>
      <c r="C239"/>
      <c r="D239"/>
      <c r="E239"/>
      <c r="F239" s="13"/>
      <c r="G239" s="11"/>
      <c r="H239" s="11"/>
      <c r="I239" s="11"/>
      <c r="J239" s="11"/>
      <c r="K239" s="11"/>
      <c r="L239" s="11"/>
      <c r="M239" s="11"/>
      <c r="N239" s="11"/>
      <c r="Z239"/>
      <c r="AA239"/>
      <c r="AB239"/>
      <c r="AC239"/>
    </row>
    <row r="240" spans="1:29" s="12" customFormat="1" x14ac:dyDescent="0.25">
      <c r="B240"/>
      <c r="C240"/>
      <c r="D240"/>
      <c r="E240"/>
      <c r="F240" s="13"/>
      <c r="G240" s="11"/>
      <c r="H240" s="11"/>
      <c r="I240" s="11"/>
      <c r="J240" s="11"/>
      <c r="K240" s="11"/>
      <c r="L240" s="11"/>
      <c r="M240" s="11"/>
      <c r="N240" s="11"/>
      <c r="Z240"/>
      <c r="AA240"/>
      <c r="AB240"/>
      <c r="AC240"/>
    </row>
    <row r="241" spans="2:29" s="12" customFormat="1" x14ac:dyDescent="0.25">
      <c r="B241"/>
      <c r="C241"/>
      <c r="D241"/>
      <c r="E241"/>
      <c r="F241" s="13"/>
      <c r="G241" s="11"/>
      <c r="H241" s="11"/>
      <c r="I241" s="11"/>
      <c r="J241" s="11"/>
      <c r="K241" s="11"/>
      <c r="L241" s="11"/>
      <c r="M241" s="11"/>
      <c r="N241" s="11"/>
      <c r="Z241"/>
      <c r="AA241"/>
      <c r="AB241"/>
      <c r="AC241"/>
    </row>
    <row r="242" spans="2:29" s="12" customFormat="1" x14ac:dyDescent="0.25">
      <c r="B242"/>
      <c r="C242"/>
      <c r="D242"/>
      <c r="E242"/>
      <c r="F242" s="13"/>
      <c r="G242" s="11"/>
      <c r="H242" s="11"/>
      <c r="I242" s="11"/>
      <c r="J242" s="11"/>
      <c r="K242" s="11"/>
      <c r="L242" s="11"/>
      <c r="M242" s="11"/>
      <c r="N242" s="11"/>
      <c r="Z242"/>
      <c r="AA242"/>
      <c r="AB242"/>
      <c r="AC242"/>
    </row>
    <row r="243" spans="2:29" s="12" customFormat="1" x14ac:dyDescent="0.25">
      <c r="B243" s="11"/>
      <c r="C243" s="14"/>
      <c r="D243" s="14"/>
      <c r="E243" s="16"/>
      <c r="F243" s="13"/>
      <c r="G243" s="11"/>
      <c r="H243" s="11"/>
      <c r="I243" s="11"/>
      <c r="J243" s="11"/>
      <c r="K243" s="11"/>
      <c r="L243" s="11"/>
      <c r="M243" s="11"/>
      <c r="N243" s="11"/>
      <c r="Z243"/>
      <c r="AA243"/>
      <c r="AB243"/>
      <c r="AC243"/>
    </row>
    <row r="244" spans="2:29" s="12" customFormat="1" x14ac:dyDescent="0.25">
      <c r="B244" s="11"/>
      <c r="C244" s="14"/>
      <c r="D244" s="14"/>
      <c r="E244" s="16"/>
      <c r="F244" s="13"/>
      <c r="G244" s="11"/>
      <c r="H244" s="11"/>
      <c r="I244" s="11"/>
      <c r="J244" s="11"/>
      <c r="K244" s="11"/>
      <c r="L244" s="11"/>
      <c r="M244" s="11"/>
      <c r="N244" s="11"/>
      <c r="Z244"/>
      <c r="AA244"/>
      <c r="AB244"/>
      <c r="AC244"/>
    </row>
    <row r="245" spans="2:29" s="12" customFormat="1" x14ac:dyDescent="0.25">
      <c r="B245" s="11"/>
      <c r="C245" s="14"/>
      <c r="D245" s="14"/>
      <c r="E245" s="14"/>
      <c r="F245" s="11"/>
      <c r="G245" s="11"/>
      <c r="H245" s="11"/>
      <c r="I245" s="11"/>
      <c r="J245" s="11"/>
      <c r="K245" s="11"/>
      <c r="L245" s="11"/>
      <c r="M245" s="11"/>
      <c r="N245" s="11"/>
      <c r="Z245"/>
      <c r="AA245"/>
      <c r="AB245"/>
      <c r="AC245"/>
    </row>
    <row r="246" spans="2:29" s="12" customFormat="1" x14ac:dyDescent="0.25">
      <c r="B246" s="11"/>
      <c r="C246" s="14"/>
      <c r="D246" s="14"/>
      <c r="E246" s="14"/>
      <c r="F246" s="11"/>
      <c r="G246" s="11"/>
      <c r="H246" s="11"/>
      <c r="I246" s="11"/>
      <c r="J246" s="11"/>
      <c r="K246" s="11"/>
      <c r="L246" s="11"/>
      <c r="M246" s="11"/>
      <c r="N246" s="11"/>
      <c r="Z246"/>
      <c r="AA246"/>
      <c r="AB246"/>
      <c r="AC246"/>
    </row>
    <row r="247" spans="2:29" s="12" customFormat="1" x14ac:dyDescent="0.25">
      <c r="C247" s="16"/>
      <c r="D247" s="30"/>
      <c r="E247" s="15"/>
      <c r="Z247"/>
      <c r="AA247"/>
      <c r="AB247"/>
      <c r="AC247"/>
    </row>
    <row r="248" spans="2:29" s="12" customFormat="1" x14ac:dyDescent="0.25">
      <c r="C248" s="16"/>
      <c r="D248" s="30"/>
      <c r="E248" s="15"/>
      <c r="Z248"/>
      <c r="AA248"/>
      <c r="AB248"/>
      <c r="AC248"/>
    </row>
    <row r="249" spans="2:29" s="12" customFormat="1" x14ac:dyDescent="0.25">
      <c r="B249" s="29" t="s">
        <v>3</v>
      </c>
      <c r="C249" t="s">
        <v>448</v>
      </c>
      <c r="D249" s="30"/>
      <c r="E249" s="15"/>
      <c r="Z249"/>
      <c r="AA249"/>
      <c r="AB249"/>
      <c r="AC249"/>
    </row>
    <row r="250" spans="2:29" s="12" customFormat="1" x14ac:dyDescent="0.25">
      <c r="B250" s="29" t="s">
        <v>285</v>
      </c>
      <c r="C250" t="s">
        <v>74</v>
      </c>
      <c r="D250" s="14"/>
      <c r="E250" s="14"/>
      <c r="Z250"/>
      <c r="AA250"/>
      <c r="AB250"/>
      <c r="AC250"/>
    </row>
    <row r="251" spans="2:29" s="12" customFormat="1" x14ac:dyDescent="0.25">
      <c r="B251" s="11"/>
      <c r="C251" s="14"/>
      <c r="D251" s="14"/>
      <c r="E251" s="14"/>
      <c r="Z251"/>
      <c r="AA251"/>
      <c r="AB251"/>
      <c r="AC251"/>
    </row>
    <row r="252" spans="2:29" s="12" customFormat="1" ht="60" x14ac:dyDescent="0.25">
      <c r="B252" s="284" t="s">
        <v>236</v>
      </c>
      <c r="C252" s="291" t="s">
        <v>653</v>
      </c>
      <c r="D252" s="291" t="s">
        <v>654</v>
      </c>
      <c r="E252" s="294"/>
    </row>
    <row r="253" spans="2:29" s="12" customFormat="1" x14ac:dyDescent="0.25">
      <c r="B253" s="26" t="s">
        <v>175</v>
      </c>
      <c r="C253" s="279">
        <v>0.57062302296795486</v>
      </c>
      <c r="D253" s="279">
        <v>0.21001237793976069</v>
      </c>
      <c r="E253"/>
    </row>
    <row r="254" spans="2:29" s="12" customFormat="1" x14ac:dyDescent="0.25">
      <c r="B254" s="26" t="s">
        <v>104</v>
      </c>
      <c r="C254" s="279">
        <v>0.40492258832870187</v>
      </c>
      <c r="D254" s="279">
        <v>0.49741961095672887</v>
      </c>
      <c r="E254"/>
    </row>
    <row r="255" spans="2:29" s="12" customFormat="1" x14ac:dyDescent="0.25">
      <c r="B255" s="26" t="s">
        <v>107</v>
      </c>
      <c r="C255" s="279">
        <v>0.68018635242532199</v>
      </c>
      <c r="D255" s="279">
        <v>4.9876678542066316E-2</v>
      </c>
      <c r="E255"/>
    </row>
    <row r="256" spans="2:29" s="12" customFormat="1" x14ac:dyDescent="0.25">
      <c r="B256" s="26" t="s">
        <v>124</v>
      </c>
      <c r="C256" s="279">
        <v>0</v>
      </c>
      <c r="D256" s="279">
        <v>0</v>
      </c>
      <c r="E256"/>
    </row>
    <row r="257" spans="1:15" s="12" customFormat="1" x14ac:dyDescent="0.25">
      <c r="B257" s="26" t="s">
        <v>200</v>
      </c>
      <c r="C257" s="279">
        <v>0.13339552238805971</v>
      </c>
      <c r="D257" s="279">
        <v>0.8090796019900498</v>
      </c>
      <c r="E257"/>
    </row>
    <row r="258" spans="1:15" s="12" customFormat="1" x14ac:dyDescent="0.25">
      <c r="B258" s="26" t="s">
        <v>181</v>
      </c>
      <c r="C258" s="279">
        <v>0.70041152263374484</v>
      </c>
      <c r="D258" s="279">
        <v>0.1637860082304527</v>
      </c>
      <c r="E258"/>
    </row>
    <row r="259" spans="1:15" s="12" customFormat="1" x14ac:dyDescent="0.25">
      <c r="B259" s="26" t="s">
        <v>182</v>
      </c>
      <c r="C259" s="279">
        <v>0.23460410557184752</v>
      </c>
      <c r="D259" s="279">
        <v>0.76539589442815248</v>
      </c>
      <c r="E259"/>
    </row>
    <row r="260" spans="1:15" s="12" customFormat="1" x14ac:dyDescent="0.25">
      <c r="B260" s="26" t="s">
        <v>220</v>
      </c>
      <c r="C260" s="279">
        <v>0.8606060606060606</v>
      </c>
      <c r="D260" s="279">
        <v>0.1393939393939394</v>
      </c>
      <c r="E260"/>
    </row>
    <row r="261" spans="1:15" s="12" customFormat="1" x14ac:dyDescent="0.25">
      <c r="B261" s="26" t="s">
        <v>129</v>
      </c>
      <c r="C261" s="279">
        <v>1</v>
      </c>
      <c r="D261" s="279">
        <v>0</v>
      </c>
      <c r="E261"/>
    </row>
    <row r="262" spans="1:15" s="12" customFormat="1" x14ac:dyDescent="0.25">
      <c r="B262" s="26" t="s">
        <v>183</v>
      </c>
      <c r="C262" s="279">
        <v>0.90168375205821427</v>
      </c>
      <c r="D262" s="279">
        <v>6.6978275880384561E-2</v>
      </c>
      <c r="E262"/>
    </row>
    <row r="263" spans="1:15" s="12" customFormat="1" x14ac:dyDescent="0.25">
      <c r="B263" s="26" t="s">
        <v>209</v>
      </c>
      <c r="C263" s="279">
        <v>0</v>
      </c>
      <c r="D263" s="279">
        <v>0.88123515439429934</v>
      </c>
      <c r="E263"/>
    </row>
    <row r="264" spans="1:15" s="12" customFormat="1" x14ac:dyDescent="0.25">
      <c r="B264" s="26" t="s">
        <v>131</v>
      </c>
      <c r="C264" s="279">
        <v>0.83668136534378568</v>
      </c>
      <c r="D264" s="279">
        <v>3.7726604605585495E-2</v>
      </c>
      <c r="E264"/>
    </row>
    <row r="265" spans="1:15" s="12" customFormat="1" x14ac:dyDescent="0.25">
      <c r="B265" s="26" t="s">
        <v>466</v>
      </c>
      <c r="C265" s="279">
        <v>0.38049940546967898</v>
      </c>
      <c r="D265" s="279">
        <v>0.41617122473246138</v>
      </c>
      <c r="E265"/>
    </row>
    <row r="266" spans="1:15" s="12" customFormat="1" x14ac:dyDescent="0.25">
      <c r="B266" s="26" t="s">
        <v>227</v>
      </c>
      <c r="C266" s="279">
        <v>1</v>
      </c>
      <c r="D266" s="279">
        <v>0</v>
      </c>
      <c r="E266"/>
    </row>
    <row r="267" spans="1:15" s="12" customFormat="1" x14ac:dyDescent="0.25">
      <c r="B267" s="26" t="s">
        <v>219</v>
      </c>
      <c r="C267" s="279">
        <v>0</v>
      </c>
      <c r="D267" s="279">
        <v>0.5161290322580645</v>
      </c>
      <c r="E267"/>
    </row>
    <row r="268" spans="1:15" s="12" customFormat="1" x14ac:dyDescent="0.25">
      <c r="B268" s="26" t="s">
        <v>218</v>
      </c>
      <c r="C268" s="279">
        <v>0.9563106796116505</v>
      </c>
      <c r="D268" s="279">
        <v>4.3689320388349488E-2</v>
      </c>
      <c r="E268"/>
    </row>
    <row r="269" spans="1:15" s="12" customFormat="1" x14ac:dyDescent="0.25">
      <c r="B269" s="26" t="s">
        <v>154</v>
      </c>
      <c r="C269" s="279">
        <v>0.37120284855902969</v>
      </c>
      <c r="D269" s="279">
        <v>0.57054634472015131</v>
      </c>
      <c r="E269"/>
    </row>
    <row r="270" spans="1:15" s="12" customFormat="1" x14ac:dyDescent="0.25">
      <c r="A270" s="11"/>
      <c r="B270" s="26" t="s">
        <v>730</v>
      </c>
      <c r="C270" s="279">
        <v>0.41580041580041582</v>
      </c>
      <c r="D270" s="279">
        <v>0.53638253638253641</v>
      </c>
      <c r="E270"/>
      <c r="O270" s="11"/>
    </row>
    <row r="271" spans="1:15" x14ac:dyDescent="0.25">
      <c r="B271" s="26" t="s">
        <v>73</v>
      </c>
      <c r="C271" s="279">
        <v>0.61919778848347407</v>
      </c>
      <c r="D271" s="279">
        <v>0.28037144889222881</v>
      </c>
      <c r="E271"/>
      <c r="F271" s="12"/>
      <c r="G271" s="12"/>
      <c r="H271" s="12"/>
      <c r="I271" s="12"/>
      <c r="J271" s="12"/>
      <c r="K271" s="12"/>
      <c r="L271" s="12"/>
      <c r="M271" s="12"/>
      <c r="N271" s="12"/>
    </row>
    <row r="272" spans="1:15" x14ac:dyDescent="0.25">
      <c r="B272"/>
      <c r="C272"/>
      <c r="D272"/>
      <c r="E272"/>
      <c r="F272" s="12"/>
      <c r="G272" s="12"/>
      <c r="H272" s="12"/>
      <c r="I272" s="12"/>
      <c r="J272" s="12"/>
      <c r="K272" s="12"/>
      <c r="L272" s="12"/>
      <c r="M272" s="12"/>
      <c r="N272" s="12"/>
    </row>
    <row r="273" spans="2:14" x14ac:dyDescent="0.25">
      <c r="B273"/>
      <c r="C273"/>
      <c r="D273"/>
      <c r="E273"/>
      <c r="F273" s="12"/>
      <c r="G273" s="12"/>
      <c r="H273" s="12"/>
      <c r="I273" s="12"/>
      <c r="J273" s="12"/>
      <c r="K273" s="12"/>
      <c r="L273" s="12"/>
      <c r="M273" s="12"/>
      <c r="N273" s="12"/>
    </row>
    <row r="274" spans="2:14" x14ac:dyDescent="0.25">
      <c r="B274" s="12"/>
      <c r="C274" s="12"/>
      <c r="D274" s="12"/>
      <c r="E274" s="15"/>
      <c r="F274" s="12"/>
      <c r="G274" s="12"/>
      <c r="H274" s="12"/>
      <c r="I274" s="12"/>
      <c r="J274" s="12"/>
      <c r="K274" s="12"/>
      <c r="L274" s="12"/>
      <c r="M274" s="12"/>
      <c r="N274" s="12"/>
    </row>
    <row r="275" spans="2:14" x14ac:dyDescent="0.25">
      <c r="B275" s="12"/>
      <c r="C275" s="16"/>
      <c r="D275" s="15"/>
      <c r="E275" s="15"/>
      <c r="F275" s="12"/>
      <c r="G275" s="12"/>
      <c r="H275" s="12"/>
      <c r="I275" s="12"/>
      <c r="J275" s="12"/>
      <c r="K275" s="12"/>
      <c r="L275" s="12"/>
      <c r="M275" s="12"/>
      <c r="N275" s="12"/>
    </row>
    <row r="276" spans="2:14" x14ac:dyDescent="0.25">
      <c r="B276" s="12"/>
      <c r="C276" s="16"/>
      <c r="D276" s="15"/>
      <c r="E276" s="15"/>
      <c r="F276" s="12"/>
      <c r="G276" s="12"/>
      <c r="H276" s="12"/>
      <c r="I276" s="12"/>
      <c r="J276" s="12"/>
      <c r="K276" s="12"/>
      <c r="L276" s="12"/>
      <c r="M276" s="12"/>
      <c r="N276" s="12"/>
    </row>
    <row r="277" spans="2:14" x14ac:dyDescent="0.25">
      <c r="B277" s="12"/>
      <c r="C277" s="16"/>
      <c r="D277" s="15"/>
      <c r="E277" s="15"/>
      <c r="F277" s="12"/>
      <c r="G277" s="12"/>
      <c r="H277" s="12"/>
      <c r="I277" s="12"/>
      <c r="J277" s="12"/>
      <c r="K277" s="12"/>
      <c r="L277" s="12"/>
      <c r="M277" s="12"/>
      <c r="N277" s="12"/>
    </row>
    <row r="278" spans="2:14" x14ac:dyDescent="0.25">
      <c r="B278" s="12"/>
      <c r="C278" s="16"/>
      <c r="D278" s="15"/>
      <c r="E278" s="15"/>
      <c r="F278" s="12"/>
      <c r="G278" s="12"/>
      <c r="H278" s="12"/>
      <c r="I278" s="12"/>
      <c r="J278" s="12"/>
      <c r="K278" s="12"/>
      <c r="L278" s="12"/>
      <c r="M278" s="12"/>
      <c r="N278" s="12"/>
    </row>
    <row r="279" spans="2:14" x14ac:dyDescent="0.25">
      <c r="B279" s="29" t="s">
        <v>3</v>
      </c>
      <c r="C279" t="s">
        <v>448</v>
      </c>
    </row>
    <row r="280" spans="2:14" x14ac:dyDescent="0.25">
      <c r="B280" s="29" t="s">
        <v>285</v>
      </c>
      <c r="C280" t="s">
        <v>74</v>
      </c>
    </row>
    <row r="282" spans="2:14" ht="60" x14ac:dyDescent="0.25">
      <c r="B282" s="284" t="s">
        <v>236</v>
      </c>
      <c r="C282" s="291" t="s">
        <v>653</v>
      </c>
      <c r="D282" s="291" t="s">
        <v>662</v>
      </c>
    </row>
    <row r="283" spans="2:14" x14ac:dyDescent="0.25">
      <c r="B283" s="26" t="s">
        <v>256</v>
      </c>
      <c r="C283" s="279">
        <v>0.68018635242532199</v>
      </c>
      <c r="D283" s="279">
        <v>4.9876678542066316E-2</v>
      </c>
    </row>
    <row r="284" spans="2:14" x14ac:dyDescent="0.25">
      <c r="B284" s="26" t="s">
        <v>257</v>
      </c>
      <c r="C284" s="279">
        <v>0.78310537768106936</v>
      </c>
      <c r="D284" s="279">
        <v>8.5949642524090764E-2</v>
      </c>
    </row>
    <row r="285" spans="2:14" x14ac:dyDescent="0.25">
      <c r="B285" s="26" t="s">
        <v>258</v>
      </c>
      <c r="C285" s="279">
        <v>0.92358803986710969</v>
      </c>
      <c r="D285" s="279">
        <v>7.6411960132890366E-2</v>
      </c>
    </row>
    <row r="286" spans="2:14" x14ac:dyDescent="0.25">
      <c r="B286" s="26" t="s">
        <v>259</v>
      </c>
      <c r="C286" s="279">
        <v>0.6232464929859719</v>
      </c>
      <c r="D286" s="279">
        <v>0.20589004095146815</v>
      </c>
    </row>
    <row r="287" spans="2:14" x14ac:dyDescent="0.25">
      <c r="B287" s="26" t="s">
        <v>260</v>
      </c>
      <c r="C287" s="279">
        <v>0.54194760161818534</v>
      </c>
      <c r="D287" s="279">
        <v>0.45174340204199576</v>
      </c>
    </row>
    <row r="288" spans="2:14" x14ac:dyDescent="0.25">
      <c r="B288" s="26" t="s">
        <v>265</v>
      </c>
      <c r="C288" s="279">
        <v>0.78784512853062516</v>
      </c>
      <c r="D288" s="279">
        <v>0.15177721358298954</v>
      </c>
    </row>
    <row r="289" spans="2:6" x14ac:dyDescent="0.25">
      <c r="B289" s="26" t="s">
        <v>266</v>
      </c>
      <c r="C289" s="279">
        <v>0.5394470667565745</v>
      </c>
      <c r="D289" s="279">
        <v>0.23465947403910992</v>
      </c>
    </row>
    <row r="290" spans="2:6" x14ac:dyDescent="0.25">
      <c r="B290" s="26" t="s">
        <v>267</v>
      </c>
      <c r="C290" s="279">
        <v>0.17013794968893697</v>
      </c>
      <c r="D290" s="279">
        <v>0.77360021639166887</v>
      </c>
    </row>
    <row r="291" spans="2:6" x14ac:dyDescent="0.25">
      <c r="B291" s="26" t="s">
        <v>268</v>
      </c>
      <c r="C291" s="279">
        <v>0.31496062992125984</v>
      </c>
      <c r="D291" s="279">
        <v>0.68503937007874016</v>
      </c>
    </row>
    <row r="292" spans="2:6" x14ac:dyDescent="0.25">
      <c r="B292" s="26" t="s">
        <v>313</v>
      </c>
      <c r="C292" s="279">
        <v>0.35839775122979622</v>
      </c>
      <c r="D292" s="279">
        <v>0.49648629655657062</v>
      </c>
    </row>
    <row r="293" spans="2:6" x14ac:dyDescent="0.25">
      <c r="B293" s="26" t="s">
        <v>73</v>
      </c>
      <c r="C293" s="279">
        <v>0.61919778848347407</v>
      </c>
      <c r="D293" s="279">
        <v>0.28037144889222881</v>
      </c>
    </row>
    <row r="294" spans="2:6" x14ac:dyDescent="0.25">
      <c r="B294"/>
      <c r="C294"/>
      <c r="D294"/>
    </row>
    <row r="295" spans="2:6" x14ac:dyDescent="0.25">
      <c r="B295"/>
      <c r="C295"/>
      <c r="D295"/>
    </row>
    <row r="296" spans="2:6" x14ac:dyDescent="0.25">
      <c r="E296" s="16"/>
      <c r="F296" s="13"/>
    </row>
    <row r="297" spans="2:6" x14ac:dyDescent="0.25">
      <c r="E297" s="16"/>
      <c r="F297" s="13"/>
    </row>
    <row r="298" spans="2:6" x14ac:dyDescent="0.25">
      <c r="E298" s="16"/>
      <c r="F298" s="13"/>
    </row>
    <row r="299" spans="2:6" x14ac:dyDescent="0.25">
      <c r="E299" s="16"/>
      <c r="F299" s="13"/>
    </row>
    <row r="300" spans="2:6" x14ac:dyDescent="0.25">
      <c r="E300" s="16"/>
      <c r="F300" s="13"/>
    </row>
    <row r="301" spans="2:6" x14ac:dyDescent="0.25">
      <c r="B301" s="29" t="s">
        <v>3</v>
      </c>
      <c r="C301" t="s">
        <v>74</v>
      </c>
      <c r="E301" s="16"/>
      <c r="F301" s="13"/>
    </row>
    <row r="302" spans="2:6" x14ac:dyDescent="0.25">
      <c r="B302" s="29" t="s">
        <v>285</v>
      </c>
      <c r="C302" t="s">
        <v>74</v>
      </c>
      <c r="E302" s="16"/>
      <c r="F302" s="13"/>
    </row>
    <row r="303" spans="2:6" x14ac:dyDescent="0.25">
      <c r="E303" s="16"/>
      <c r="F303" s="13"/>
    </row>
    <row r="304" spans="2:6" ht="60" x14ac:dyDescent="0.25">
      <c r="B304" s="284" t="s">
        <v>236</v>
      </c>
      <c r="C304" s="291" t="s">
        <v>655</v>
      </c>
      <c r="D304" s="291" t="s">
        <v>654</v>
      </c>
      <c r="E304" s="16"/>
      <c r="F304" s="13"/>
    </row>
    <row r="305" spans="1:15" x14ac:dyDescent="0.25">
      <c r="B305" s="26" t="s">
        <v>213</v>
      </c>
      <c r="C305" s="279">
        <v>0.60190038634227838</v>
      </c>
      <c r="D305" s="279">
        <v>0.23886394486791271</v>
      </c>
      <c r="E305" s="16"/>
      <c r="F305" s="13"/>
    </row>
    <row r="306" spans="1:15" x14ac:dyDescent="0.25">
      <c r="B306" s="26" t="s">
        <v>221</v>
      </c>
      <c r="C306" s="279">
        <v>0.61954126193780101</v>
      </c>
      <c r="D306" s="279">
        <v>0.34369983402715426</v>
      </c>
      <c r="E306" s="16"/>
      <c r="F306" s="13"/>
    </row>
    <row r="307" spans="1:15" x14ac:dyDescent="0.25">
      <c r="A307" s="12"/>
      <c r="B307" s="26" t="s">
        <v>73</v>
      </c>
      <c r="C307" s="279">
        <v>0.60956071740825635</v>
      </c>
      <c r="D307" s="279">
        <v>0.28438762730688344</v>
      </c>
      <c r="E307" s="16"/>
      <c r="F307" s="13"/>
      <c r="O307" s="12"/>
    </row>
    <row r="308" spans="1:15" s="12" customFormat="1" ht="24" customHeight="1" x14ac:dyDescent="0.25">
      <c r="A308" s="11"/>
      <c r="B308"/>
      <c r="C308"/>
      <c r="D308"/>
      <c r="E308" s="16"/>
      <c r="F308" s="13"/>
      <c r="G308" s="11"/>
      <c r="H308" s="11"/>
      <c r="I308" s="11"/>
      <c r="J308" s="11"/>
      <c r="K308" s="11"/>
      <c r="L308" s="11"/>
      <c r="M308" s="11"/>
      <c r="N308" s="11"/>
      <c r="O308" s="11"/>
    </row>
    <row r="309" spans="1:15" x14ac:dyDescent="0.25">
      <c r="B309"/>
      <c r="C309"/>
      <c r="D309"/>
      <c r="E309" s="16"/>
      <c r="F309" s="13"/>
    </row>
    <row r="310" spans="1:15" x14ac:dyDescent="0.25">
      <c r="B310"/>
      <c r="C310"/>
      <c r="D310"/>
      <c r="E310" s="16"/>
      <c r="F310" s="13"/>
    </row>
    <row r="311" spans="1:15" x14ac:dyDescent="0.25">
      <c r="B311"/>
      <c r="C311"/>
      <c r="D311"/>
      <c r="E311" s="16"/>
      <c r="F311" s="13"/>
    </row>
    <row r="312" spans="1:15" x14ac:dyDescent="0.25">
      <c r="B312"/>
      <c r="C312"/>
      <c r="D312"/>
      <c r="E312" s="16"/>
      <c r="F312" s="13"/>
    </row>
    <row r="313" spans="1:15" x14ac:dyDescent="0.25">
      <c r="B313"/>
      <c r="C313"/>
      <c r="D313"/>
      <c r="E313" s="16"/>
      <c r="F313" s="13"/>
    </row>
    <row r="314" spans="1:15" x14ac:dyDescent="0.25">
      <c r="B314"/>
      <c r="C314"/>
      <c r="D314"/>
      <c r="E314" s="16"/>
      <c r="F314" s="13"/>
    </row>
    <row r="315" spans="1:15" x14ac:dyDescent="0.25">
      <c r="B315"/>
      <c r="C315"/>
      <c r="D315"/>
      <c r="I315" s="12"/>
      <c r="J315" s="12"/>
      <c r="K315" s="12"/>
      <c r="L315" s="12"/>
      <c r="M315" s="12"/>
      <c r="N315" s="12"/>
    </row>
    <row r="316" spans="1:15" x14ac:dyDescent="0.25">
      <c r="A316" s="12"/>
      <c r="B316"/>
      <c r="C316"/>
      <c r="D316"/>
      <c r="I316" s="12"/>
      <c r="J316" s="12"/>
      <c r="K316" s="12"/>
      <c r="L316" s="12"/>
      <c r="M316" s="12"/>
      <c r="N316" s="12"/>
      <c r="O316" s="12"/>
    </row>
    <row r="317" spans="1:15" s="12" customFormat="1" x14ac:dyDescent="0.25">
      <c r="B317"/>
      <c r="C317"/>
      <c r="D317"/>
      <c r="E317" s="14"/>
      <c r="F317" s="11"/>
      <c r="G317" s="11"/>
      <c r="H317" s="11"/>
    </row>
    <row r="318" spans="1:15" s="12" customFormat="1" x14ac:dyDescent="0.25">
      <c r="B318" s="11"/>
      <c r="C318" s="14"/>
      <c r="D318" s="14"/>
      <c r="E318" s="14"/>
      <c r="F318" s="11"/>
      <c r="G318" s="11"/>
      <c r="H318" s="11"/>
    </row>
    <row r="319" spans="1:15" s="12" customFormat="1" x14ac:dyDescent="0.25">
      <c r="B319" s="29" t="s">
        <v>3</v>
      </c>
      <c r="C319" t="s">
        <v>448</v>
      </c>
      <c r="D319" s="14"/>
      <c r="E319" s="14"/>
      <c r="F319" s="11"/>
      <c r="G319" s="11"/>
      <c r="H319" s="11"/>
    </row>
    <row r="320" spans="1:15" s="12" customFormat="1" x14ac:dyDescent="0.25">
      <c r="B320" s="29" t="s">
        <v>285</v>
      </c>
      <c r="C320" t="s">
        <v>74</v>
      </c>
      <c r="D320" s="14"/>
      <c r="E320" s="14"/>
      <c r="F320" s="11"/>
      <c r="G320" s="11"/>
      <c r="H320" s="11"/>
    </row>
    <row r="321" spans="1:158" s="12" customFormat="1" x14ac:dyDescent="0.25">
      <c r="B321" s="11"/>
      <c r="C321" s="14"/>
      <c r="D321" s="14"/>
      <c r="E321" s="14"/>
      <c r="F321" s="11"/>
      <c r="G321" s="11"/>
      <c r="H321" s="11"/>
    </row>
    <row r="322" spans="1:158" s="12" customFormat="1" ht="90" x14ac:dyDescent="0.25">
      <c r="B322" s="284" t="s">
        <v>236</v>
      </c>
      <c r="C322" s="294" t="s">
        <v>649</v>
      </c>
      <c r="D322" s="294" t="s">
        <v>660</v>
      </c>
      <c r="E322" s="14"/>
      <c r="F322" s="11"/>
      <c r="G322" s="11"/>
      <c r="H322" s="11"/>
    </row>
    <row r="323" spans="1:158" s="12" customFormat="1" x14ac:dyDescent="0.25">
      <c r="B323" s="26" t="s">
        <v>213</v>
      </c>
      <c r="C323" s="279">
        <v>0.84507809662186706</v>
      </c>
      <c r="D323" s="279">
        <v>5.3394932800581239E-2</v>
      </c>
      <c r="E323" s="14"/>
      <c r="F323" s="11"/>
      <c r="G323" s="11"/>
      <c r="H323" s="11"/>
    </row>
    <row r="324" spans="1:158" s="12" customFormat="1" x14ac:dyDescent="0.25">
      <c r="B324" s="26" t="s">
        <v>221</v>
      </c>
      <c r="C324" s="279">
        <v>0.97834006104164617</v>
      </c>
      <c r="D324" s="279">
        <v>2.9175281415114103E-4</v>
      </c>
      <c r="E324" s="14"/>
      <c r="F324" s="11"/>
      <c r="G324" s="11"/>
      <c r="H324" s="11"/>
    </row>
    <row r="325" spans="1:158" s="12" customFormat="1" x14ac:dyDescent="0.25">
      <c r="B325" s="26" t="s">
        <v>73</v>
      </c>
      <c r="C325" s="279">
        <v>0.89956923737570282</v>
      </c>
      <c r="D325" s="279">
        <v>3.1680913592506632E-2</v>
      </c>
      <c r="E325" s="14"/>
      <c r="F325" s="11"/>
      <c r="G325" s="11"/>
      <c r="H325" s="11"/>
    </row>
    <row r="326" spans="1:158" s="12" customFormat="1" x14ac:dyDescent="0.25">
      <c r="B326" s="11"/>
      <c r="C326" s="14"/>
      <c r="D326" s="14"/>
      <c r="E326" s="14"/>
      <c r="F326" s="11"/>
      <c r="G326" s="11"/>
      <c r="H326" s="11"/>
    </row>
    <row r="327" spans="1:158" s="12" customFormat="1" x14ac:dyDescent="0.25">
      <c r="A327" s="11"/>
      <c r="B327" s="11"/>
      <c r="C327" s="14"/>
      <c r="D327" s="14"/>
      <c r="E327" s="14"/>
      <c r="F327" s="11"/>
      <c r="G327" s="11"/>
      <c r="H327" s="11"/>
      <c r="O327" s="11"/>
    </row>
    <row r="328" spans="1:158" x14ac:dyDescent="0.25">
      <c r="I328" s="12"/>
      <c r="J328" s="12"/>
      <c r="K328" s="12"/>
      <c r="L328" s="12"/>
      <c r="M328" s="12"/>
      <c r="N328" s="12"/>
      <c r="O328"/>
    </row>
    <row r="329" spans="1:158" x14ac:dyDescent="0.25">
      <c r="B329" s="12"/>
      <c r="I329" s="12"/>
      <c r="J329" s="12"/>
      <c r="K329" s="12"/>
      <c r="L329" s="12"/>
      <c r="M329" s="12"/>
      <c r="N329" s="12"/>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c r="DX329"/>
      <c r="DY329"/>
      <c r="DZ329"/>
      <c r="EA329"/>
      <c r="EB329"/>
      <c r="EC329"/>
      <c r="ED329"/>
      <c r="EE329"/>
      <c r="EF329"/>
      <c r="EG329"/>
      <c r="EH329"/>
      <c r="EI329"/>
      <c r="EJ329"/>
      <c r="EK329"/>
      <c r="EL329"/>
      <c r="EM329"/>
      <c r="EN329"/>
      <c r="EO329"/>
      <c r="EP329"/>
      <c r="EQ329"/>
      <c r="ER329"/>
      <c r="ES329"/>
      <c r="ET329"/>
      <c r="EU329"/>
      <c r="EV329"/>
      <c r="EW329"/>
      <c r="EX329"/>
      <c r="EY329"/>
      <c r="EZ329"/>
      <c r="FA329"/>
      <c r="FB329"/>
    </row>
    <row r="330" spans="1:158" x14ac:dyDescent="0.25">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c r="DM330"/>
      <c r="DN330"/>
      <c r="DO330"/>
      <c r="DP330"/>
      <c r="DQ330"/>
      <c r="DR330"/>
      <c r="DS330"/>
      <c r="DT330"/>
      <c r="DU330"/>
      <c r="DV330"/>
      <c r="DW330"/>
      <c r="DX330"/>
      <c r="DY330"/>
      <c r="DZ330"/>
      <c r="EA330"/>
      <c r="EB330"/>
      <c r="EC330"/>
      <c r="ED330"/>
      <c r="EE330"/>
      <c r="EF330"/>
      <c r="EG330"/>
      <c r="EH330"/>
      <c r="EI330"/>
      <c r="EJ330"/>
      <c r="EK330"/>
      <c r="EL330"/>
      <c r="EM330"/>
      <c r="EN330"/>
      <c r="EO330"/>
      <c r="EP330"/>
      <c r="EQ330"/>
      <c r="ER330"/>
      <c r="ES330"/>
      <c r="ET330"/>
      <c r="EU330"/>
      <c r="EV330"/>
      <c r="EW330"/>
      <c r="EX330"/>
      <c r="EY330"/>
      <c r="EZ330"/>
      <c r="FA330"/>
      <c r="FB330"/>
    </row>
    <row r="331" spans="1:158" x14ac:dyDescent="0.25">
      <c r="B331" s="29" t="s">
        <v>3</v>
      </c>
      <c r="C331" t="s">
        <v>74</v>
      </c>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c r="DX331"/>
      <c r="DY331"/>
      <c r="DZ331"/>
      <c r="EA331"/>
      <c r="EB331"/>
      <c r="EC331"/>
      <c r="ED331"/>
      <c r="EE331"/>
      <c r="EF331"/>
      <c r="EG331"/>
      <c r="EH331"/>
      <c r="EI331"/>
      <c r="EJ331"/>
      <c r="EK331"/>
      <c r="EL331"/>
      <c r="EM331"/>
      <c r="EN331"/>
      <c r="EO331"/>
      <c r="EP331"/>
      <c r="EQ331"/>
      <c r="ER331"/>
      <c r="ES331"/>
      <c r="ET331"/>
      <c r="EU331"/>
      <c r="EV331"/>
      <c r="EW331"/>
      <c r="EX331"/>
      <c r="EY331"/>
      <c r="EZ331"/>
      <c r="FA331"/>
      <c r="FB331"/>
    </row>
    <row r="332" spans="1:158" x14ac:dyDescent="0.25">
      <c r="B332" s="29" t="s">
        <v>285</v>
      </c>
      <c r="C332" t="s">
        <v>74</v>
      </c>
      <c r="E332"/>
      <c r="F332"/>
      <c r="G332"/>
      <c r="H332"/>
      <c r="I332"/>
      <c r="J332"/>
      <c r="K332"/>
      <c r="L332"/>
      <c r="M332"/>
      <c r="N332"/>
      <c r="O332"/>
      <c r="P332" s="294"/>
      <c r="Q332" s="294"/>
      <c r="R332" s="294"/>
      <c r="S332" s="294"/>
      <c r="T332" s="294"/>
      <c r="U332" s="294"/>
      <c r="V332" s="294"/>
      <c r="W332" s="294"/>
      <c r="X332" s="294"/>
      <c r="Y332" s="294"/>
      <c r="Z332" s="294"/>
      <c r="AA332" s="294"/>
      <c r="AB332" s="294"/>
      <c r="AC332" s="294"/>
      <c r="AD332" s="294"/>
      <c r="AE332" s="294"/>
      <c r="AF332" s="294"/>
      <c r="AG332" s="294"/>
      <c r="AH332" s="294"/>
      <c r="AI332" s="294"/>
      <c r="AJ332" s="294"/>
      <c r="AK332" s="294"/>
      <c r="AL332" s="294"/>
      <c r="AM332" s="294"/>
      <c r="AN332" s="294"/>
      <c r="AO332" s="294"/>
      <c r="AP332" s="294"/>
      <c r="AQ332" s="294"/>
      <c r="AR332" s="294"/>
      <c r="AS332" s="294"/>
      <c r="AT332" s="294"/>
      <c r="AU332" s="294"/>
      <c r="AV332" s="294"/>
      <c r="AW332" s="294"/>
      <c r="AX332" s="294"/>
      <c r="AY332" s="294"/>
      <c r="AZ332" s="294"/>
      <c r="BA332" s="294"/>
      <c r="BB332" s="294"/>
      <c r="BC332" s="294"/>
      <c r="BD332" s="294"/>
      <c r="BE332" s="294"/>
      <c r="BF332" s="294"/>
      <c r="BG332" s="294"/>
      <c r="BH332" s="294"/>
      <c r="BI332" s="294"/>
      <c r="BJ332" s="294"/>
      <c r="BK332" s="294"/>
      <c r="BL332" s="294"/>
      <c r="BM332" s="294"/>
      <c r="BN332" s="294"/>
      <c r="BO332" s="294"/>
      <c r="BP332" s="294"/>
      <c r="BQ332" s="294"/>
      <c r="BR332" s="294"/>
      <c r="BS332" s="294"/>
      <c r="BT332" s="294"/>
      <c r="BU332" s="294"/>
      <c r="BV332" s="294"/>
      <c r="BW332" s="294"/>
      <c r="BX332" s="294"/>
      <c r="BY332" s="294"/>
      <c r="BZ332" s="294"/>
      <c r="CA332" s="294"/>
      <c r="CB332" s="294"/>
      <c r="CC332" s="294"/>
      <c r="CD332" s="294"/>
      <c r="CE332" s="294"/>
      <c r="CF332" s="294"/>
      <c r="CG332" s="294"/>
      <c r="CH332" s="294"/>
      <c r="CI332" s="294"/>
      <c r="CJ332" s="294"/>
      <c r="CK332" s="294"/>
      <c r="CL332" s="294"/>
      <c r="CM332" s="294"/>
      <c r="CN332" s="294"/>
      <c r="CO332" s="294"/>
      <c r="CP332" s="294"/>
      <c r="CQ332" s="294"/>
      <c r="CR332" s="294"/>
      <c r="CS332" s="294"/>
      <c r="CT332" s="294"/>
      <c r="CU332" s="294"/>
      <c r="CV332" s="294"/>
      <c r="CW332" s="294"/>
      <c r="CX332" s="294"/>
      <c r="CY332" s="294"/>
      <c r="CZ332" s="294"/>
      <c r="DA332" s="294"/>
      <c r="DB332" s="294"/>
      <c r="DC332" s="294"/>
      <c r="DD332" s="294"/>
      <c r="DE332" s="294"/>
      <c r="DF332" s="294"/>
      <c r="DG332" s="294"/>
      <c r="DH332" s="294"/>
      <c r="DI332" s="294"/>
      <c r="DJ332" s="294"/>
      <c r="DK332" s="294"/>
      <c r="DL332" s="294"/>
      <c r="DM332" s="294"/>
      <c r="DN332" s="294"/>
      <c r="DO332" s="294"/>
      <c r="DP332" s="294"/>
      <c r="DQ332" s="294"/>
      <c r="DR332" s="294"/>
      <c r="DS332" s="294"/>
      <c r="DT332" s="294"/>
      <c r="DU332" s="294"/>
      <c r="DV332" s="294"/>
      <c r="DW332" s="294"/>
      <c r="DX332" s="294"/>
      <c r="DY332" s="294"/>
      <c r="DZ332" s="294"/>
      <c r="EA332" s="294"/>
      <c r="EB332" s="294"/>
      <c r="EC332" s="294"/>
      <c r="ED332" s="294"/>
      <c r="EE332" s="294"/>
      <c r="EF332" s="294"/>
      <c r="EG332" s="294"/>
      <c r="EH332" s="294"/>
      <c r="EI332" s="294"/>
      <c r="EJ332" s="294"/>
      <c r="EK332" s="294"/>
      <c r="EL332" s="294"/>
      <c r="EM332" s="294"/>
      <c r="EN332" s="294"/>
      <c r="EO332" s="294"/>
      <c r="EP332" s="294"/>
      <c r="EQ332" s="294"/>
      <c r="ER332" s="294"/>
      <c r="ES332" s="294"/>
      <c r="ET332" s="294"/>
      <c r="EU332" s="294"/>
      <c r="EV332" s="294"/>
      <c r="EW332" s="294"/>
      <c r="EX332" s="294"/>
      <c r="EY332" s="294"/>
      <c r="EZ332" s="294"/>
      <c r="FA332" s="294"/>
      <c r="FB332" s="294"/>
    </row>
    <row r="333" spans="1:158" x14ac:dyDescent="0.25">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c r="DD333"/>
      <c r="DE333"/>
      <c r="DF333"/>
      <c r="DG333"/>
      <c r="DH333"/>
      <c r="DI333"/>
      <c r="DJ333"/>
      <c r="DK333"/>
      <c r="DL333"/>
      <c r="DM333"/>
      <c r="DN333"/>
      <c r="DO333"/>
      <c r="DP333"/>
      <c r="DQ333"/>
      <c r="DR333"/>
      <c r="DS333"/>
      <c r="DT333"/>
      <c r="DU333"/>
      <c r="DV333"/>
      <c r="DW333"/>
      <c r="DX333"/>
      <c r="DY333"/>
      <c r="DZ333"/>
      <c r="EA333"/>
      <c r="EB333"/>
      <c r="EC333"/>
      <c r="ED333"/>
      <c r="EE333"/>
      <c r="EF333"/>
      <c r="EG333"/>
      <c r="EH333"/>
      <c r="EI333"/>
      <c r="EJ333"/>
      <c r="EK333"/>
      <c r="EL333"/>
      <c r="EM333"/>
      <c r="EN333"/>
      <c r="EO333"/>
      <c r="EP333"/>
      <c r="EQ333"/>
      <c r="ER333"/>
      <c r="ES333"/>
      <c r="ET333"/>
      <c r="EU333"/>
      <c r="EV333"/>
      <c r="EW333"/>
      <c r="EX333"/>
      <c r="EY333"/>
      <c r="EZ333"/>
      <c r="FA333"/>
      <c r="FB333"/>
    </row>
    <row r="334" spans="1:158" ht="90" x14ac:dyDescent="0.25">
      <c r="B334" s="284" t="s">
        <v>236</v>
      </c>
      <c r="C334" s="289" t="s">
        <v>650</v>
      </c>
      <c r="D334" s="289" t="s">
        <v>661</v>
      </c>
      <c r="E334" s="294"/>
      <c r="F334" s="294"/>
      <c r="G334" s="294"/>
      <c r="H334" s="294"/>
      <c r="I334" s="294"/>
      <c r="J334" s="294"/>
      <c r="K334" s="294"/>
      <c r="L334" s="294"/>
      <c r="M334" s="294"/>
      <c r="N334" s="29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c r="DE334"/>
      <c r="DF334"/>
      <c r="DG334"/>
      <c r="DH334"/>
      <c r="DI334"/>
      <c r="DJ334"/>
      <c r="DK334"/>
      <c r="DL334"/>
      <c r="DM334"/>
      <c r="DN334"/>
      <c r="DO334"/>
      <c r="DP334"/>
      <c r="DQ334"/>
      <c r="DR334"/>
      <c r="DS334"/>
      <c r="DT334"/>
      <c r="DU334"/>
      <c r="DV334"/>
      <c r="DW334"/>
      <c r="DX334"/>
      <c r="DY334"/>
      <c r="DZ334"/>
      <c r="EA334"/>
      <c r="EB334"/>
      <c r="EC334"/>
      <c r="ED334"/>
      <c r="EE334"/>
      <c r="EF334"/>
      <c r="EG334"/>
      <c r="EH334"/>
      <c r="EI334"/>
      <c r="EJ334"/>
      <c r="EK334"/>
      <c r="EL334"/>
      <c r="EM334"/>
      <c r="EN334"/>
      <c r="EO334"/>
      <c r="EP334"/>
      <c r="EQ334"/>
      <c r="ER334"/>
      <c r="ES334"/>
      <c r="ET334"/>
      <c r="EU334"/>
      <c r="EV334"/>
      <c r="EW334"/>
      <c r="EX334"/>
      <c r="EY334"/>
      <c r="EZ334"/>
      <c r="FA334"/>
      <c r="FB334"/>
    </row>
    <row r="335" spans="1:158" x14ac:dyDescent="0.25">
      <c r="B335" s="26" t="s">
        <v>213</v>
      </c>
      <c r="C335" s="290">
        <v>0.60578469249242983</v>
      </c>
      <c r="D335" s="290">
        <v>7.6351467056489583E-2</v>
      </c>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c r="DM335"/>
      <c r="DN335"/>
      <c r="DO335"/>
      <c r="DP335"/>
      <c r="DQ335"/>
      <c r="DR335"/>
      <c r="DS335"/>
      <c r="DT335"/>
      <c r="DU335"/>
      <c r="DV335"/>
      <c r="DW335"/>
      <c r="DX335"/>
      <c r="DY335"/>
      <c r="DZ335"/>
      <c r="EA335"/>
      <c r="EB335"/>
      <c r="EC335"/>
      <c r="ED335"/>
      <c r="EE335"/>
      <c r="EF335"/>
      <c r="EG335"/>
      <c r="EH335"/>
      <c r="EI335"/>
      <c r="EJ335"/>
      <c r="EK335"/>
      <c r="EL335"/>
      <c r="EM335"/>
      <c r="EN335"/>
      <c r="EO335"/>
      <c r="EP335"/>
      <c r="EQ335"/>
      <c r="ER335"/>
      <c r="ES335"/>
      <c r="ET335"/>
      <c r="EU335"/>
      <c r="EV335"/>
      <c r="EW335"/>
      <c r="EX335"/>
      <c r="EY335"/>
      <c r="EZ335"/>
      <c r="FA335"/>
      <c r="FB335"/>
    </row>
    <row r="336" spans="1:158" x14ac:dyDescent="0.25">
      <c r="B336" s="26" t="s">
        <v>221</v>
      </c>
      <c r="C336" s="290">
        <v>0.50412211248061378</v>
      </c>
      <c r="D336" s="290">
        <v>1.1903790166790096E-3</v>
      </c>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c r="CK336"/>
      <c r="CL336"/>
      <c r="CM336"/>
      <c r="CN336"/>
      <c r="CO336"/>
      <c r="CP336"/>
      <c r="CQ336"/>
      <c r="CR336"/>
      <c r="CS336"/>
      <c r="CT336"/>
      <c r="CU336"/>
      <c r="CV336"/>
      <c r="CW336"/>
      <c r="CX336"/>
      <c r="CY336"/>
      <c r="CZ336"/>
      <c r="DA336"/>
      <c r="DB336"/>
      <c r="DC336"/>
      <c r="DD336"/>
      <c r="DE336"/>
      <c r="DF336"/>
      <c r="DG336"/>
      <c r="DH336"/>
      <c r="DI336"/>
      <c r="DJ336"/>
      <c r="DK336"/>
      <c r="DL336"/>
      <c r="DM336"/>
      <c r="DN336"/>
      <c r="DO336"/>
      <c r="DP336"/>
      <c r="DQ336"/>
      <c r="DR336"/>
      <c r="DS336"/>
      <c r="DT336"/>
      <c r="DU336"/>
      <c r="DV336"/>
      <c r="DW336"/>
      <c r="DX336"/>
      <c r="DY336"/>
      <c r="DZ336"/>
      <c r="EA336"/>
      <c r="EB336"/>
      <c r="EC336"/>
      <c r="ED336"/>
      <c r="EE336"/>
      <c r="EF336"/>
      <c r="EG336"/>
      <c r="EH336"/>
      <c r="EI336"/>
      <c r="EJ336"/>
      <c r="EK336"/>
      <c r="EL336"/>
      <c r="EM336"/>
      <c r="EN336"/>
      <c r="EO336"/>
      <c r="EP336"/>
      <c r="EQ336"/>
      <c r="ER336"/>
      <c r="ES336"/>
      <c r="ET336"/>
      <c r="EU336"/>
      <c r="EV336"/>
      <c r="EW336"/>
      <c r="EX336"/>
      <c r="EY336"/>
      <c r="EZ336"/>
      <c r="FA336"/>
      <c r="FB336"/>
    </row>
    <row r="337" spans="2:158" x14ac:dyDescent="0.25">
      <c r="B337" s="26" t="s">
        <v>73</v>
      </c>
      <c r="C337" s="290">
        <v>0.56163898012712965</v>
      </c>
      <c r="D337" s="290">
        <v>4.3713698338807498E-2</v>
      </c>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c r="DD337"/>
      <c r="DE337"/>
      <c r="DF337"/>
      <c r="DG337"/>
      <c r="DH337"/>
      <c r="DI337"/>
      <c r="DJ337"/>
      <c r="DK337"/>
      <c r="DL337"/>
      <c r="DM337"/>
      <c r="DN337"/>
      <c r="DO337"/>
      <c r="DP337"/>
      <c r="DQ337"/>
      <c r="DR337"/>
      <c r="DS337"/>
      <c r="DT337"/>
      <c r="DU337"/>
      <c r="DV337"/>
      <c r="DW337"/>
      <c r="DX337"/>
      <c r="DY337"/>
      <c r="DZ337"/>
      <c r="EA337"/>
      <c r="EB337"/>
      <c r="EC337"/>
      <c r="ED337"/>
      <c r="EE337"/>
      <c r="EF337"/>
      <c r="EG337"/>
      <c r="EH337"/>
      <c r="EI337"/>
      <c r="EJ337"/>
      <c r="EK337"/>
      <c r="EL337"/>
      <c r="EM337"/>
      <c r="EN337"/>
      <c r="EO337"/>
      <c r="EP337"/>
      <c r="EQ337"/>
      <c r="ER337"/>
      <c r="ES337"/>
      <c r="ET337"/>
      <c r="EU337"/>
      <c r="EV337"/>
      <c r="EW337"/>
      <c r="EX337"/>
      <c r="EY337"/>
      <c r="EZ337"/>
      <c r="FA337"/>
      <c r="FB337"/>
    </row>
    <row r="338" spans="2:158" x14ac:dyDescent="0.25">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c r="CK338"/>
      <c r="CL338"/>
      <c r="CM338"/>
      <c r="CN338"/>
      <c r="CO338"/>
      <c r="CP338"/>
      <c r="CQ338"/>
      <c r="CR338"/>
      <c r="CS338"/>
      <c r="CT338"/>
      <c r="CU338"/>
      <c r="CV338"/>
      <c r="CW338"/>
      <c r="CX338"/>
      <c r="CY338"/>
      <c r="CZ338"/>
      <c r="DA338"/>
      <c r="DB338"/>
      <c r="DC338"/>
      <c r="DD338"/>
      <c r="DE338"/>
      <c r="DF338"/>
      <c r="DG338"/>
      <c r="DH338"/>
      <c r="DI338"/>
      <c r="DJ338"/>
      <c r="DK338"/>
      <c r="DL338"/>
      <c r="DM338"/>
      <c r="DN338"/>
      <c r="DO338"/>
      <c r="DP338"/>
      <c r="DQ338"/>
      <c r="DR338"/>
      <c r="DS338"/>
      <c r="DT338"/>
      <c r="DU338"/>
      <c r="DV338"/>
      <c r="DW338"/>
      <c r="DX338"/>
      <c r="DY338"/>
      <c r="DZ338"/>
      <c r="EA338"/>
      <c r="EB338"/>
      <c r="EC338"/>
      <c r="ED338"/>
      <c r="EE338"/>
      <c r="EF338"/>
      <c r="EG338"/>
      <c r="EH338"/>
      <c r="EI338"/>
      <c r="EJ338"/>
      <c r="EK338"/>
      <c r="EL338"/>
      <c r="EM338"/>
      <c r="EN338"/>
      <c r="EO338"/>
      <c r="EP338"/>
      <c r="EQ338"/>
      <c r="ER338"/>
      <c r="ES338"/>
      <c r="ET338"/>
      <c r="EU338"/>
      <c r="EV338"/>
      <c r="EW338"/>
      <c r="EX338"/>
      <c r="EY338"/>
      <c r="EZ338"/>
      <c r="FA338"/>
      <c r="FB338"/>
    </row>
    <row r="339" spans="2:158" x14ac:dyDescent="0.25">
      <c r="C339"/>
      <c r="D339"/>
      <c r="E339"/>
      <c r="F339"/>
      <c r="G339"/>
      <c r="H339"/>
      <c r="I339"/>
      <c r="J339"/>
      <c r="K339"/>
      <c r="L339"/>
      <c r="M339"/>
      <c r="N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c r="CK339"/>
      <c r="CL339"/>
      <c r="CM339"/>
      <c r="CN339"/>
      <c r="CO339"/>
      <c r="CP339"/>
      <c r="CQ339"/>
      <c r="CR339"/>
      <c r="CS339"/>
      <c r="CT339"/>
      <c r="CU339"/>
      <c r="CV339"/>
      <c r="CW339"/>
      <c r="CX339"/>
      <c r="CY339"/>
      <c r="CZ339"/>
      <c r="DA339"/>
      <c r="DB339"/>
      <c r="DC339"/>
      <c r="DD339"/>
      <c r="DE339"/>
      <c r="DF339"/>
      <c r="DG339"/>
      <c r="DH339"/>
      <c r="DI339"/>
      <c r="DJ339"/>
      <c r="DK339"/>
      <c r="DL339"/>
      <c r="DM339"/>
      <c r="DN339"/>
      <c r="DO339"/>
      <c r="DP339"/>
      <c r="DQ339"/>
      <c r="DR339"/>
      <c r="DS339"/>
      <c r="DT339"/>
      <c r="DU339"/>
      <c r="DV339"/>
      <c r="DW339"/>
      <c r="DX339"/>
      <c r="DY339"/>
      <c r="DZ339"/>
      <c r="EA339"/>
      <c r="EB339"/>
      <c r="EC339"/>
      <c r="ED339"/>
      <c r="EE339"/>
      <c r="EF339"/>
      <c r="EG339"/>
      <c r="EH339"/>
      <c r="EI339"/>
      <c r="EJ339"/>
      <c r="EK339"/>
      <c r="EL339"/>
      <c r="EM339"/>
      <c r="EN339"/>
      <c r="EO339"/>
      <c r="EP339"/>
      <c r="EQ339"/>
      <c r="ER339"/>
      <c r="ES339"/>
      <c r="ET339"/>
      <c r="EU339"/>
      <c r="EV339"/>
      <c r="EW339"/>
      <c r="EX339"/>
      <c r="EY339"/>
      <c r="EZ339"/>
      <c r="FA339"/>
      <c r="FB339"/>
    </row>
    <row r="340" spans="2:158" x14ac:dyDescent="0.25">
      <c r="C340"/>
      <c r="D340"/>
      <c r="E340"/>
      <c r="F340"/>
      <c r="G340"/>
      <c r="H340"/>
      <c r="I340"/>
      <c r="J340"/>
      <c r="K340"/>
      <c r="L340"/>
      <c r="M340"/>
      <c r="N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c r="CN340"/>
      <c r="CO340"/>
      <c r="CP340"/>
      <c r="CQ340"/>
      <c r="CR340"/>
      <c r="CS340"/>
      <c r="CT340"/>
      <c r="CU340"/>
      <c r="CV340"/>
      <c r="CW340"/>
      <c r="CX340"/>
      <c r="CY340"/>
      <c r="CZ340"/>
      <c r="DA340"/>
      <c r="DB340"/>
      <c r="DC340"/>
      <c r="DD340"/>
      <c r="DE340"/>
      <c r="DF340"/>
      <c r="DG340"/>
      <c r="DH340"/>
      <c r="DI340"/>
      <c r="DJ340"/>
      <c r="DK340"/>
      <c r="DL340"/>
      <c r="DM340"/>
      <c r="DN340"/>
      <c r="DO340"/>
      <c r="DP340"/>
      <c r="DQ340"/>
      <c r="DR340"/>
      <c r="DS340"/>
      <c r="DT340"/>
      <c r="DU340"/>
      <c r="DV340"/>
      <c r="DW340"/>
      <c r="DX340"/>
      <c r="DY340"/>
      <c r="DZ340"/>
      <c r="EA340"/>
      <c r="EB340"/>
      <c r="EC340"/>
      <c r="ED340"/>
      <c r="EE340"/>
      <c r="EF340"/>
      <c r="EG340"/>
      <c r="EH340"/>
      <c r="EI340"/>
      <c r="EJ340"/>
      <c r="EK340"/>
      <c r="EL340"/>
      <c r="EM340"/>
      <c r="EN340"/>
      <c r="EO340"/>
      <c r="EP340"/>
      <c r="EQ340"/>
      <c r="ER340"/>
      <c r="ES340"/>
      <c r="ET340"/>
      <c r="EU340"/>
      <c r="EV340"/>
      <c r="EW340"/>
      <c r="EX340"/>
      <c r="EY340"/>
      <c r="EZ340"/>
      <c r="FA340"/>
      <c r="FB340"/>
    </row>
    <row r="341" spans="2:158" x14ac:dyDescent="0.25">
      <c r="E341" s="16"/>
      <c r="F341" s="13"/>
    </row>
    <row r="342" spans="2:158" x14ac:dyDescent="0.25">
      <c r="E342" s="16"/>
      <c r="F342" s="13"/>
    </row>
    <row r="343" spans="2:158" ht="21" x14ac:dyDescent="0.25">
      <c r="B343" s="278" t="s">
        <v>95</v>
      </c>
      <c r="C343" s="36"/>
      <c r="D343" s="36"/>
      <c r="E343" s="36"/>
      <c r="F343" s="36"/>
      <c r="G343" s="36"/>
      <c r="H343" s="36"/>
      <c r="I343" s="36"/>
      <c r="J343" s="36"/>
      <c r="K343" s="36"/>
      <c r="L343" s="36"/>
      <c r="M343" s="36"/>
      <c r="N343" s="37"/>
    </row>
    <row r="344" spans="2:158" x14ac:dyDescent="0.25">
      <c r="E344" s="16"/>
      <c r="F344" s="13"/>
    </row>
    <row r="345" spans="2:158" x14ac:dyDescent="0.25">
      <c r="E345" s="16"/>
      <c r="F345" s="13"/>
    </row>
    <row r="346" spans="2:158" x14ac:dyDescent="0.25">
      <c r="B346" s="29" t="s">
        <v>3</v>
      </c>
      <c r="C346" t="s">
        <v>448</v>
      </c>
    </row>
    <row r="347" spans="2:158" x14ac:dyDescent="0.25">
      <c r="B347" s="29" t="s">
        <v>0</v>
      </c>
      <c r="C347" t="s">
        <v>74</v>
      </c>
    </row>
    <row r="348" spans="2:158" x14ac:dyDescent="0.25">
      <c r="B348" s="29" t="s">
        <v>4</v>
      </c>
      <c r="C348" t="s">
        <v>74</v>
      </c>
    </row>
    <row r="349" spans="2:158" x14ac:dyDescent="0.25">
      <c r="B349" s="29" t="s">
        <v>285</v>
      </c>
      <c r="C349" t="s">
        <v>74</v>
      </c>
    </row>
    <row r="351" spans="2:158" x14ac:dyDescent="0.25">
      <c r="B351" s="29" t="s">
        <v>236</v>
      </c>
      <c r="C351" s="293" t="s">
        <v>656</v>
      </c>
      <c r="D351"/>
    </row>
    <row r="352" spans="2:158" x14ac:dyDescent="0.25">
      <c r="B352" s="281">
        <v>0</v>
      </c>
      <c r="C352" s="280">
        <v>1801</v>
      </c>
      <c r="D352"/>
    </row>
    <row r="353" spans="2:4" x14ac:dyDescent="0.25">
      <c r="B353" s="281">
        <v>1</v>
      </c>
      <c r="C353" s="280">
        <v>242</v>
      </c>
      <c r="D353"/>
    </row>
    <row r="354" spans="2:4" x14ac:dyDescent="0.25">
      <c r="B354" s="281">
        <v>2</v>
      </c>
      <c r="C354" s="280">
        <v>4773</v>
      </c>
      <c r="D354"/>
    </row>
    <row r="355" spans="2:4" x14ac:dyDescent="0.25">
      <c r="B355" s="281">
        <v>3</v>
      </c>
      <c r="C355" s="280">
        <v>613</v>
      </c>
    </row>
    <row r="356" spans="2:4" x14ac:dyDescent="0.25">
      <c r="B356" s="281">
        <v>4</v>
      </c>
      <c r="C356" s="280">
        <v>808</v>
      </c>
    </row>
    <row r="357" spans="2:4" x14ac:dyDescent="0.25">
      <c r="B357" s="281">
        <v>5</v>
      </c>
      <c r="C357" s="280">
        <v>350</v>
      </c>
    </row>
    <row r="358" spans="2:4" x14ac:dyDescent="0.25">
      <c r="B358" s="281">
        <v>6</v>
      </c>
      <c r="C358" s="280">
        <v>98</v>
      </c>
    </row>
    <row r="359" spans="2:4" x14ac:dyDescent="0.25">
      <c r="B359" s="281">
        <v>7</v>
      </c>
      <c r="C359" s="280">
        <v>31</v>
      </c>
    </row>
    <row r="360" spans="2:4" x14ac:dyDescent="0.25">
      <c r="B360" s="281">
        <v>8</v>
      </c>
      <c r="C360" s="280">
        <v>2058</v>
      </c>
    </row>
    <row r="361" spans="2:4" x14ac:dyDescent="0.25">
      <c r="B361" s="281">
        <v>9</v>
      </c>
      <c r="C361" s="280">
        <v>886</v>
      </c>
    </row>
    <row r="362" spans="2:4" x14ac:dyDescent="0.25">
      <c r="B362" s="281">
        <v>10</v>
      </c>
      <c r="C362" s="280">
        <v>1515</v>
      </c>
    </row>
    <row r="363" spans="2:4" x14ac:dyDescent="0.25">
      <c r="B363" s="281">
        <v>11</v>
      </c>
      <c r="C363" s="280">
        <v>75</v>
      </c>
    </row>
    <row r="364" spans="2:4" x14ac:dyDescent="0.25">
      <c r="B364" s="281">
        <v>12</v>
      </c>
      <c r="C364" s="280">
        <v>150</v>
      </c>
    </row>
    <row r="365" spans="2:4" x14ac:dyDescent="0.25">
      <c r="B365" s="281">
        <v>14</v>
      </c>
      <c r="C365" s="280">
        <v>727</v>
      </c>
    </row>
    <row r="366" spans="2:4" x14ac:dyDescent="0.25">
      <c r="B366" s="281">
        <v>17</v>
      </c>
      <c r="C366" s="280">
        <v>1548</v>
      </c>
    </row>
    <row r="367" spans="2:4" x14ac:dyDescent="0.25">
      <c r="B367" s="26" t="s">
        <v>73</v>
      </c>
      <c r="C367" s="280">
        <v>15675</v>
      </c>
    </row>
    <row r="368" spans="2:4" x14ac:dyDescent="0.25">
      <c r="B368" s="12"/>
      <c r="C368" s="16"/>
    </row>
    <row r="369" spans="2:3" x14ac:dyDescent="0.25">
      <c r="B369" s="12"/>
      <c r="C369" s="16"/>
    </row>
    <row r="370" spans="2:3" x14ac:dyDescent="0.25">
      <c r="B370" s="29" t="s">
        <v>3</v>
      </c>
      <c r="C370" t="s">
        <v>448</v>
      </c>
    </row>
    <row r="371" spans="2:3" x14ac:dyDescent="0.25">
      <c r="B371" s="29" t="s">
        <v>4</v>
      </c>
      <c r="C371" t="s">
        <v>74</v>
      </c>
    </row>
    <row r="372" spans="2:3" x14ac:dyDescent="0.25">
      <c r="B372" s="29" t="s">
        <v>285</v>
      </c>
      <c r="C372" t="s">
        <v>74</v>
      </c>
    </row>
    <row r="374" spans="2:3" x14ac:dyDescent="0.25">
      <c r="B374" s="29" t="s">
        <v>236</v>
      </c>
      <c r="C374" t="s">
        <v>640</v>
      </c>
    </row>
    <row r="375" spans="2:3" x14ac:dyDescent="0.25">
      <c r="B375" s="26" t="s">
        <v>175</v>
      </c>
      <c r="C375" s="279">
        <v>0</v>
      </c>
    </row>
    <row r="376" spans="2:3" x14ac:dyDescent="0.25">
      <c r="B376" s="26" t="s">
        <v>104</v>
      </c>
      <c r="C376" s="279">
        <v>0.8062723302897975</v>
      </c>
    </row>
    <row r="377" spans="2:3" x14ac:dyDescent="0.25">
      <c r="B377" s="26" t="s">
        <v>107</v>
      </c>
      <c r="C377" s="279">
        <v>1.4031241436009867E-2</v>
      </c>
    </row>
    <row r="378" spans="2:3" x14ac:dyDescent="0.25">
      <c r="B378" s="26" t="s">
        <v>124</v>
      </c>
      <c r="C378" s="279">
        <v>0</v>
      </c>
    </row>
    <row r="379" spans="2:3" x14ac:dyDescent="0.25">
      <c r="B379" s="26" t="s">
        <v>200</v>
      </c>
      <c r="C379" s="279">
        <v>0.81790715823527149</v>
      </c>
    </row>
    <row r="380" spans="2:3" x14ac:dyDescent="0.25">
      <c r="B380" s="26" t="s">
        <v>181</v>
      </c>
      <c r="C380" s="279">
        <v>0.78016288585844962</v>
      </c>
    </row>
    <row r="381" spans="2:3" x14ac:dyDescent="0.25">
      <c r="B381" s="26" t="s">
        <v>182</v>
      </c>
      <c r="C381" s="279">
        <v>0.46041055718475071</v>
      </c>
    </row>
    <row r="382" spans="2:3" x14ac:dyDescent="0.25">
      <c r="B382" s="26" t="s">
        <v>220</v>
      </c>
      <c r="C382" s="279">
        <v>0.83449883449883444</v>
      </c>
    </row>
    <row r="383" spans="2:3" x14ac:dyDescent="0.25">
      <c r="B383" s="26" t="s">
        <v>129</v>
      </c>
      <c r="C383" s="279">
        <v>0.625</v>
      </c>
    </row>
    <row r="384" spans="2:3" x14ac:dyDescent="0.25">
      <c r="B384" s="26" t="s">
        <v>183</v>
      </c>
      <c r="C384" s="279">
        <v>0.23285706697827588</v>
      </c>
    </row>
    <row r="385" spans="2:3" x14ac:dyDescent="0.25">
      <c r="B385" s="26" t="s">
        <v>209</v>
      </c>
      <c r="C385" s="279">
        <v>0.69833729216152018</v>
      </c>
    </row>
    <row r="386" spans="2:3" x14ac:dyDescent="0.25">
      <c r="B386" s="26" t="s">
        <v>131</v>
      </c>
      <c r="C386" s="279">
        <v>0.81029977807122178</v>
      </c>
    </row>
    <row r="387" spans="2:3" x14ac:dyDescent="0.25">
      <c r="B387" s="26" t="s">
        <v>466</v>
      </c>
      <c r="C387" s="279">
        <v>0.99711881459800611</v>
      </c>
    </row>
    <row r="388" spans="2:3" x14ac:dyDescent="0.25">
      <c r="B388" s="26" t="s">
        <v>227</v>
      </c>
      <c r="C388" s="279">
        <v>1</v>
      </c>
    </row>
    <row r="389" spans="2:3" x14ac:dyDescent="0.25">
      <c r="B389" s="26" t="s">
        <v>219</v>
      </c>
      <c r="C389" s="279">
        <v>1</v>
      </c>
    </row>
    <row r="390" spans="2:3" x14ac:dyDescent="0.25">
      <c r="B390" s="26" t="s">
        <v>218</v>
      </c>
      <c r="C390" s="279">
        <v>0</v>
      </c>
    </row>
    <row r="391" spans="2:3" x14ac:dyDescent="0.25">
      <c r="B391" s="26" t="s">
        <v>154</v>
      </c>
      <c r="C391" s="279">
        <v>0.82281009336617461</v>
      </c>
    </row>
    <row r="392" spans="2:3" x14ac:dyDescent="0.25">
      <c r="B392" s="26" t="s">
        <v>730</v>
      </c>
      <c r="C392" s="279">
        <v>0.46361746361746364</v>
      </c>
    </row>
    <row r="393" spans="2:3" x14ac:dyDescent="0.25">
      <c r="B393" s="26" t="s">
        <v>73</v>
      </c>
      <c r="C393" s="279">
        <v>0.54083080678600948</v>
      </c>
    </row>
    <row r="394" spans="2:3" x14ac:dyDescent="0.25">
      <c r="B394"/>
      <c r="C394"/>
    </row>
    <row r="395" spans="2:3" x14ac:dyDescent="0.25">
      <c r="B395"/>
      <c r="C395"/>
    </row>
    <row r="396" spans="2:3" x14ac:dyDescent="0.25">
      <c r="B396" s="12"/>
      <c r="C396" s="16"/>
    </row>
    <row r="397" spans="2:3" x14ac:dyDescent="0.25">
      <c r="B397" s="12"/>
      <c r="C397" s="16"/>
    </row>
    <row r="398" spans="2:3" x14ac:dyDescent="0.25">
      <c r="B398" s="29" t="s">
        <v>3</v>
      </c>
      <c r="C398" t="s">
        <v>448</v>
      </c>
    </row>
    <row r="399" spans="2:3" x14ac:dyDescent="0.25">
      <c r="B399" s="29" t="s">
        <v>4</v>
      </c>
      <c r="C399" t="s">
        <v>74</v>
      </c>
    </row>
    <row r="400" spans="2:3" x14ac:dyDescent="0.25">
      <c r="B400" s="29" t="s">
        <v>285</v>
      </c>
      <c r="C400" t="s">
        <v>74</v>
      </c>
    </row>
    <row r="402" spans="2:3" x14ac:dyDescent="0.25">
      <c r="B402" s="29" t="s">
        <v>236</v>
      </c>
      <c r="C402" t="s">
        <v>657</v>
      </c>
    </row>
    <row r="403" spans="2:3" x14ac:dyDescent="0.25">
      <c r="B403" s="26" t="s">
        <v>256</v>
      </c>
      <c r="C403" s="279">
        <v>1.4031241436009867E-2</v>
      </c>
    </row>
    <row r="404" spans="2:3" x14ac:dyDescent="0.25">
      <c r="B404" s="26" t="s">
        <v>257</v>
      </c>
      <c r="C404" s="279">
        <v>0.80952759479658509</v>
      </c>
    </row>
    <row r="405" spans="2:3" x14ac:dyDescent="0.25">
      <c r="B405" s="26" t="s">
        <v>258</v>
      </c>
      <c r="C405" s="279">
        <v>0.73984155379504213</v>
      </c>
    </row>
    <row r="406" spans="2:3" x14ac:dyDescent="0.25">
      <c r="B406" s="26" t="s">
        <v>259</v>
      </c>
      <c r="C406" s="279">
        <v>0</v>
      </c>
    </row>
    <row r="407" spans="2:3" x14ac:dyDescent="0.25">
      <c r="B407" s="26" t="s">
        <v>260</v>
      </c>
      <c r="C407" s="279">
        <v>0.44951132100998165</v>
      </c>
    </row>
    <row r="408" spans="2:3" x14ac:dyDescent="0.25">
      <c r="B408" s="26" t="s">
        <v>265</v>
      </c>
      <c r="C408" s="279">
        <v>0.77003286261031467</v>
      </c>
    </row>
    <row r="409" spans="2:3" x14ac:dyDescent="0.25">
      <c r="B409" s="26" t="s">
        <v>266</v>
      </c>
      <c r="C409" s="279">
        <v>0.87335482175920187</v>
      </c>
    </row>
    <row r="410" spans="2:3" x14ac:dyDescent="0.25">
      <c r="B410" s="26" t="s">
        <v>267</v>
      </c>
      <c r="C410" s="279">
        <v>0.77181212358253537</v>
      </c>
    </row>
    <row r="411" spans="2:3" x14ac:dyDescent="0.25">
      <c r="B411" s="26" t="s">
        <v>268</v>
      </c>
      <c r="C411" s="279">
        <v>0.51706036745406825</v>
      </c>
    </row>
    <row r="412" spans="2:3" x14ac:dyDescent="0.25">
      <c r="B412" s="26" t="s">
        <v>313</v>
      </c>
      <c r="C412" s="279">
        <v>0.82255797610681658</v>
      </c>
    </row>
    <row r="413" spans="2:3" x14ac:dyDescent="0.25">
      <c r="B413" s="26" t="s">
        <v>73</v>
      </c>
      <c r="C413" s="279">
        <v>0.54083080678600948</v>
      </c>
    </row>
    <row r="414" spans="2:3" x14ac:dyDescent="0.25">
      <c r="B414"/>
      <c r="C414"/>
    </row>
    <row r="415" spans="2:3" x14ac:dyDescent="0.25">
      <c r="B415"/>
      <c r="C415"/>
    </row>
    <row r="416" spans="2:3" x14ac:dyDescent="0.25">
      <c r="B416"/>
      <c r="C416"/>
    </row>
    <row r="417" spans="2:3" x14ac:dyDescent="0.25">
      <c r="B417"/>
      <c r="C417"/>
    </row>
    <row r="418" spans="2:3" x14ac:dyDescent="0.25">
      <c r="B418"/>
      <c r="C418"/>
    </row>
    <row r="419" spans="2:3" x14ac:dyDescent="0.25">
      <c r="B419"/>
      <c r="C419"/>
    </row>
    <row r="420" spans="2:3" x14ac:dyDescent="0.25">
      <c r="B420"/>
      <c r="C420"/>
    </row>
    <row r="421" spans="2:3" x14ac:dyDescent="0.25">
      <c r="B421" s="29" t="s">
        <v>3</v>
      </c>
      <c r="C421" t="s">
        <v>74</v>
      </c>
    </row>
    <row r="422" spans="2:3" x14ac:dyDescent="0.25">
      <c r="B422" s="29" t="s">
        <v>255</v>
      </c>
      <c r="C422" t="s">
        <v>74</v>
      </c>
    </row>
    <row r="423" spans="2:3" x14ac:dyDescent="0.25">
      <c r="B423" s="29" t="s">
        <v>285</v>
      </c>
      <c r="C423" t="s">
        <v>74</v>
      </c>
    </row>
    <row r="425" spans="2:3" x14ac:dyDescent="0.25">
      <c r="B425" s="29" t="s">
        <v>236</v>
      </c>
      <c r="C425" t="s">
        <v>658</v>
      </c>
    </row>
    <row r="426" spans="2:3" x14ac:dyDescent="0.25">
      <c r="B426" s="26" t="s">
        <v>213</v>
      </c>
      <c r="C426" s="279">
        <v>0.3762524798997598</v>
      </c>
    </row>
    <row r="427" spans="2:3" x14ac:dyDescent="0.25">
      <c r="B427" s="26" t="s">
        <v>221</v>
      </c>
      <c r="C427" s="279">
        <v>0.15145430305009114</v>
      </c>
    </row>
    <row r="428" spans="2:3" x14ac:dyDescent="0.25">
      <c r="B428" s="26" t="s">
        <v>73</v>
      </c>
      <c r="C428" s="279">
        <v>0.27863666438242868</v>
      </c>
    </row>
    <row r="429" spans="2:3" x14ac:dyDescent="0.25">
      <c r="B429"/>
      <c r="C429"/>
    </row>
    <row r="430" spans="2:3" x14ac:dyDescent="0.25">
      <c r="B430"/>
      <c r="C430"/>
    </row>
    <row r="431" spans="2:3" x14ac:dyDescent="0.25">
      <c r="B431"/>
      <c r="C431"/>
    </row>
    <row r="432" spans="2:3" x14ac:dyDescent="0.25">
      <c r="B432"/>
      <c r="C432"/>
    </row>
    <row r="433" spans="2:8" x14ac:dyDescent="0.25">
      <c r="B433"/>
      <c r="C433"/>
    </row>
    <row r="434" spans="2:8" x14ac:dyDescent="0.25">
      <c r="B434"/>
      <c r="C434"/>
    </row>
    <row r="435" spans="2:8" x14ac:dyDescent="0.25">
      <c r="B435"/>
      <c r="C435"/>
    </row>
    <row r="436" spans="2:8" x14ac:dyDescent="0.25">
      <c r="B436"/>
      <c r="C436"/>
    </row>
    <row r="437" spans="2:8" x14ac:dyDescent="0.25">
      <c r="B437"/>
      <c r="C437"/>
    </row>
    <row r="438" spans="2:8" x14ac:dyDescent="0.25">
      <c r="B438"/>
      <c r="C438"/>
    </row>
    <row r="439" spans="2:8" x14ac:dyDescent="0.25">
      <c r="B439"/>
      <c r="C439"/>
    </row>
    <row r="440" spans="2:8" x14ac:dyDescent="0.25">
      <c r="B440"/>
      <c r="C440"/>
      <c r="D440"/>
      <c r="E440"/>
      <c r="F440"/>
      <c r="G440"/>
      <c r="H440"/>
    </row>
    <row r="441" spans="2:8" x14ac:dyDescent="0.25">
      <c r="B441" s="29" t="s">
        <v>3</v>
      </c>
      <c r="C441" t="s">
        <v>448</v>
      </c>
      <c r="D441"/>
      <c r="E441"/>
      <c r="F441"/>
      <c r="G441"/>
      <c r="H441"/>
    </row>
    <row r="442" spans="2:8" x14ac:dyDescent="0.25">
      <c r="B442" s="29" t="s">
        <v>4</v>
      </c>
      <c r="C442" t="s">
        <v>74</v>
      </c>
      <c r="D442"/>
      <c r="E442"/>
      <c r="F442"/>
      <c r="G442"/>
      <c r="H442"/>
    </row>
    <row r="443" spans="2:8" x14ac:dyDescent="0.25">
      <c r="B443" s="29" t="s">
        <v>285</v>
      </c>
      <c r="C443" t="s">
        <v>74</v>
      </c>
      <c r="D443"/>
      <c r="E443"/>
      <c r="F443"/>
      <c r="G443"/>
      <c r="H443"/>
    </row>
    <row r="444" spans="2:8" x14ac:dyDescent="0.25">
      <c r="D444"/>
      <c r="E444"/>
      <c r="F444"/>
      <c r="G444"/>
      <c r="H444"/>
    </row>
    <row r="445" spans="2:8" ht="90" x14ac:dyDescent="0.25">
      <c r="B445" s="284" t="s">
        <v>236</v>
      </c>
      <c r="C445" s="294" t="s">
        <v>287</v>
      </c>
      <c r="D445" s="294"/>
      <c r="E445" s="294"/>
      <c r="F445" s="294"/>
      <c r="G445" s="294"/>
      <c r="H445" s="294"/>
    </row>
    <row r="446" spans="2:8" x14ac:dyDescent="0.25">
      <c r="B446" s="26" t="s">
        <v>65</v>
      </c>
      <c r="C446" s="280">
        <v>58</v>
      </c>
      <c r="D446"/>
      <c r="E446"/>
      <c r="F446"/>
      <c r="G446"/>
      <c r="H446"/>
    </row>
    <row r="447" spans="2:8" x14ac:dyDescent="0.25">
      <c r="B447" s="26" t="s">
        <v>66</v>
      </c>
      <c r="C447" s="280">
        <v>10</v>
      </c>
      <c r="D447"/>
      <c r="E447"/>
      <c r="F447"/>
      <c r="G447"/>
      <c r="H447"/>
    </row>
    <row r="448" spans="2:8" x14ac:dyDescent="0.25">
      <c r="B448" s="26" t="s">
        <v>292</v>
      </c>
      <c r="C448" s="280">
        <v>83</v>
      </c>
      <c r="D448"/>
      <c r="E448"/>
      <c r="F448"/>
      <c r="G448"/>
      <c r="H448"/>
    </row>
    <row r="449" spans="2:8" x14ac:dyDescent="0.25">
      <c r="B449" s="26" t="s">
        <v>73</v>
      </c>
      <c r="C449" s="280">
        <v>151</v>
      </c>
      <c r="D449"/>
      <c r="E449"/>
      <c r="F449"/>
      <c r="G449"/>
      <c r="H449"/>
    </row>
    <row r="450" spans="2:8" x14ac:dyDescent="0.25">
      <c r="B450"/>
      <c r="C450"/>
      <c r="D450"/>
      <c r="E450"/>
      <c r="F450"/>
      <c r="G450"/>
      <c r="H450"/>
    </row>
    <row r="451" spans="2:8" x14ac:dyDescent="0.25">
      <c r="B451"/>
      <c r="C451"/>
      <c r="D451"/>
      <c r="E451"/>
      <c r="F451"/>
      <c r="G451"/>
      <c r="H451"/>
    </row>
    <row r="452" spans="2:8" x14ac:dyDescent="0.25">
      <c r="B452"/>
      <c r="C452"/>
      <c r="D452"/>
      <c r="E452"/>
      <c r="F452"/>
      <c r="G452"/>
      <c r="H452"/>
    </row>
    <row r="453" spans="2:8" x14ac:dyDescent="0.25">
      <c r="B453"/>
      <c r="C453"/>
      <c r="D453"/>
      <c r="E453"/>
      <c r="F453"/>
      <c r="G453"/>
      <c r="H453"/>
    </row>
    <row r="454" spans="2:8" x14ac:dyDescent="0.25">
      <c r="B454"/>
      <c r="C454"/>
      <c r="D454"/>
      <c r="E454"/>
      <c r="F454"/>
      <c r="G454"/>
      <c r="H454"/>
    </row>
    <row r="455" spans="2:8" x14ac:dyDescent="0.25">
      <c r="B455"/>
      <c r="C455"/>
      <c r="D455"/>
      <c r="E455"/>
      <c r="F455"/>
      <c r="G455"/>
      <c r="H455"/>
    </row>
    <row r="456" spans="2:8" x14ac:dyDescent="0.25">
      <c r="B456"/>
      <c r="C456"/>
      <c r="D456"/>
      <c r="E456"/>
      <c r="F456"/>
      <c r="G456"/>
      <c r="H456"/>
    </row>
    <row r="458" spans="2:8" x14ac:dyDescent="0.25">
      <c r="B458"/>
      <c r="C458"/>
    </row>
    <row r="459" spans="2:8" x14ac:dyDescent="0.25">
      <c r="B459"/>
      <c r="C459"/>
    </row>
    <row r="460" spans="2:8" x14ac:dyDescent="0.25">
      <c r="B460" s="29" t="s">
        <v>3</v>
      </c>
      <c r="C460" t="s">
        <v>448</v>
      </c>
    </row>
    <row r="461" spans="2:8" x14ac:dyDescent="0.25">
      <c r="B461" s="29" t="s">
        <v>4</v>
      </c>
      <c r="C461" t="s">
        <v>74</v>
      </c>
    </row>
    <row r="462" spans="2:8" x14ac:dyDescent="0.25">
      <c r="B462" s="29" t="s">
        <v>285</v>
      </c>
      <c r="C462" t="s">
        <v>74</v>
      </c>
    </row>
    <row r="464" spans="2:8" x14ac:dyDescent="0.25">
      <c r="B464" s="29" t="s">
        <v>236</v>
      </c>
      <c r="C464" t="s">
        <v>642</v>
      </c>
    </row>
    <row r="465" spans="2:6" x14ac:dyDescent="0.25">
      <c r="B465" s="26" t="s">
        <v>289</v>
      </c>
      <c r="C465" s="283">
        <v>74</v>
      </c>
    </row>
    <row r="466" spans="2:6" x14ac:dyDescent="0.25">
      <c r="B466" s="26" t="s">
        <v>89</v>
      </c>
      <c r="C466" s="283">
        <v>40</v>
      </c>
    </row>
    <row r="467" spans="2:6" x14ac:dyDescent="0.25">
      <c r="B467" s="26" t="s">
        <v>291</v>
      </c>
      <c r="C467" s="283">
        <v>8</v>
      </c>
    </row>
    <row r="468" spans="2:6" x14ac:dyDescent="0.25">
      <c r="B468" s="26" t="s">
        <v>290</v>
      </c>
      <c r="C468" s="283">
        <v>29</v>
      </c>
    </row>
    <row r="469" spans="2:6" x14ac:dyDescent="0.25">
      <c r="B469" s="26" t="s">
        <v>73</v>
      </c>
      <c r="C469" s="283">
        <v>151</v>
      </c>
    </row>
    <row r="470" spans="2:6" x14ac:dyDescent="0.25">
      <c r="B470"/>
      <c r="C470"/>
    </row>
    <row r="471" spans="2:6" x14ac:dyDescent="0.25">
      <c r="B471"/>
      <c r="C471"/>
    </row>
    <row r="472" spans="2:6" x14ac:dyDescent="0.25">
      <c r="B472" s="12"/>
      <c r="C472" s="17"/>
    </row>
    <row r="473" spans="2:6" x14ac:dyDescent="0.25">
      <c r="B473" s="12"/>
      <c r="C473" s="17"/>
    </row>
    <row r="474" spans="2:6" x14ac:dyDescent="0.25">
      <c r="B474" s="12"/>
      <c r="C474" s="17"/>
    </row>
    <row r="475" spans="2:6" x14ac:dyDescent="0.25">
      <c r="B475" s="12"/>
      <c r="C475" s="17"/>
    </row>
    <row r="476" spans="2:6" x14ac:dyDescent="0.25">
      <c r="B476" s="12"/>
      <c r="C476" s="17"/>
    </row>
    <row r="477" spans="2:6" x14ac:dyDescent="0.25">
      <c r="B477" s="12"/>
      <c r="C477" s="17"/>
    </row>
    <row r="478" spans="2:6" x14ac:dyDescent="0.25">
      <c r="B478"/>
      <c r="C478"/>
      <c r="D478" s="16"/>
      <c r="E478" s="16"/>
      <c r="F478" s="13"/>
    </row>
    <row r="479" spans="2:6" hidden="1" x14ac:dyDescent="0.25">
      <c r="B479" s="29" t="s">
        <v>3</v>
      </c>
      <c r="C479" t="s">
        <v>448</v>
      </c>
    </row>
    <row r="480" spans="2:6" hidden="1" x14ac:dyDescent="0.25">
      <c r="B480" s="29" t="s">
        <v>285</v>
      </c>
      <c r="C480" t="s">
        <v>74</v>
      </c>
    </row>
    <row r="481" spans="1:15" hidden="1" x14ac:dyDescent="0.25"/>
    <row r="482" spans="1:15" hidden="1" x14ac:dyDescent="0.25">
      <c r="B482" s="29" t="s">
        <v>236</v>
      </c>
      <c r="C482"/>
    </row>
    <row r="483" spans="1:15" hidden="1" x14ac:dyDescent="0.25">
      <c r="B483" s="26" t="s">
        <v>213</v>
      </c>
      <c r="C483"/>
    </row>
    <row r="484" spans="1:15" hidden="1" x14ac:dyDescent="0.25">
      <c r="B484" s="26" t="s">
        <v>221</v>
      </c>
      <c r="C484"/>
    </row>
    <row r="485" spans="1:15" hidden="1" x14ac:dyDescent="0.25">
      <c r="B485" s="26" t="s">
        <v>73</v>
      </c>
      <c r="C485"/>
    </row>
    <row r="486" spans="1:15" ht="31.5" customHeight="1" x14ac:dyDescent="0.25">
      <c r="B486"/>
      <c r="C486"/>
      <c r="O486" s="12"/>
    </row>
    <row r="487" spans="1:15" x14ac:dyDescent="0.25">
      <c r="B487"/>
      <c r="C487"/>
      <c r="O487" s="12"/>
    </row>
    <row r="488" spans="1:15" x14ac:dyDescent="0.25">
      <c r="B488"/>
      <c r="C488"/>
      <c r="O488" s="12"/>
    </row>
    <row r="489" spans="1:15" x14ac:dyDescent="0.25">
      <c r="B489"/>
      <c r="C489"/>
      <c r="O489" s="12"/>
    </row>
    <row r="490" spans="1:15" x14ac:dyDescent="0.25">
      <c r="A490" s="12"/>
      <c r="O490" s="12"/>
    </row>
    <row r="491" spans="1:15" s="12" customFormat="1" ht="24.6" customHeight="1" x14ac:dyDescent="0.25">
      <c r="B491" s="11"/>
      <c r="C491" s="14"/>
      <c r="D491" s="14"/>
      <c r="E491" s="14"/>
      <c r="F491" s="11"/>
      <c r="G491" s="11"/>
      <c r="H491" s="11"/>
      <c r="I491" s="11"/>
      <c r="J491" s="11"/>
      <c r="K491" s="11"/>
      <c r="L491" s="11"/>
      <c r="M491" s="11"/>
      <c r="N491" s="11"/>
    </row>
    <row r="492" spans="1:15" s="12" customFormat="1" x14ac:dyDescent="0.25">
      <c r="B492" s="11"/>
      <c r="C492" s="14"/>
      <c r="D492" s="14"/>
      <c r="E492" s="14"/>
      <c r="F492" s="11"/>
      <c r="G492" s="11"/>
      <c r="H492" s="11"/>
      <c r="I492" s="11"/>
      <c r="J492" s="11"/>
      <c r="K492" s="11"/>
      <c r="L492" s="11"/>
      <c r="M492" s="11"/>
      <c r="N492" s="11"/>
    </row>
    <row r="493" spans="1:15" s="12" customFormat="1" x14ac:dyDescent="0.25">
      <c r="B493" s="11"/>
      <c r="C493" s="14"/>
      <c r="D493" s="14"/>
      <c r="E493" s="14"/>
      <c r="F493" s="11"/>
      <c r="G493" s="11"/>
      <c r="H493" s="11"/>
      <c r="I493" s="11"/>
      <c r="J493" s="11"/>
      <c r="K493" s="11"/>
      <c r="L493" s="11"/>
      <c r="M493" s="11"/>
      <c r="N493" s="11"/>
    </row>
    <row r="494" spans="1:15" s="12" customFormat="1" x14ac:dyDescent="0.25">
      <c r="B494" s="11"/>
      <c r="C494" s="14"/>
      <c r="D494" s="14"/>
      <c r="E494" s="14"/>
      <c r="F494" s="11"/>
      <c r="G494" s="11"/>
      <c r="H494" s="11"/>
      <c r="I494" s="11"/>
      <c r="J494" s="11"/>
      <c r="K494" s="11"/>
      <c r="L494" s="11"/>
      <c r="M494" s="11"/>
      <c r="N494" s="11"/>
    </row>
    <row r="495" spans="1:15" s="12" customFormat="1" ht="21" x14ac:dyDescent="0.25">
      <c r="B495" s="278" t="s">
        <v>706</v>
      </c>
      <c r="C495" s="36"/>
      <c r="D495" s="36"/>
      <c r="E495" s="36"/>
      <c r="F495" s="36"/>
      <c r="G495" s="36"/>
      <c r="H495" s="36"/>
      <c r="I495" s="36"/>
      <c r="J495" s="36"/>
      <c r="K495" s="36"/>
      <c r="L495" s="36"/>
      <c r="M495" s="36"/>
      <c r="N495" s="37"/>
    </row>
    <row r="496" spans="1:15" s="12" customFormat="1" x14ac:dyDescent="0.25">
      <c r="B496" s="11"/>
      <c r="C496" s="14"/>
      <c r="D496" s="14"/>
      <c r="E496" s="14"/>
      <c r="F496" s="11"/>
      <c r="G496" s="11"/>
      <c r="H496" s="11"/>
    </row>
    <row r="497" spans="1:15" s="12" customFormat="1" x14ac:dyDescent="0.25">
      <c r="B497" s="11"/>
      <c r="C497"/>
      <c r="D497"/>
      <c r="E497"/>
      <c r="F497"/>
      <c r="G497"/>
      <c r="H497"/>
      <c r="I497"/>
      <c r="J497"/>
      <c r="K497"/>
      <c r="L497"/>
      <c r="M497" s="11"/>
      <c r="N497" s="11"/>
    </row>
    <row r="498" spans="1:15" s="12" customFormat="1" x14ac:dyDescent="0.25">
      <c r="B498" s="11"/>
      <c r="C498"/>
      <c r="D498"/>
      <c r="E498"/>
      <c r="F498"/>
      <c r="G498"/>
      <c r="H498"/>
      <c r="I498"/>
      <c r="J498"/>
      <c r="K498"/>
      <c r="L498"/>
      <c r="M498" s="11"/>
      <c r="N498" s="11"/>
      <c r="O498" s="11"/>
    </row>
    <row r="499" spans="1:15" s="12" customFormat="1" x14ac:dyDescent="0.25">
      <c r="B499" s="11"/>
      <c r="C499"/>
      <c r="D499"/>
      <c r="E499"/>
      <c r="F499" s="64"/>
      <c r="G499"/>
      <c r="H499"/>
      <c r="I499"/>
      <c r="J499"/>
      <c r="K499"/>
      <c r="L499"/>
      <c r="M499" s="11"/>
      <c r="N499" s="11"/>
      <c r="O499" s="11"/>
    </row>
    <row r="500" spans="1:15" s="12" customFormat="1" x14ac:dyDescent="0.25">
      <c r="B500" s="11"/>
      <c r="C500"/>
      <c r="D500"/>
      <c r="E500"/>
      <c r="F500"/>
      <c r="G500"/>
      <c r="H500"/>
      <c r="I500"/>
      <c r="J500"/>
      <c r="K500"/>
      <c r="L500"/>
      <c r="M500" s="11"/>
      <c r="N500" s="11"/>
      <c r="O500" s="11"/>
    </row>
    <row r="501" spans="1:15" s="12" customFormat="1" ht="30" customHeight="1" x14ac:dyDescent="0.25">
      <c r="B501" s="11"/>
      <c r="C501"/>
      <c r="D501"/>
      <c r="E501"/>
      <c r="F501"/>
      <c r="G501"/>
      <c r="H501"/>
      <c r="I501"/>
      <c r="J501"/>
      <c r="K501"/>
      <c r="L501"/>
      <c r="M501" s="11"/>
      <c r="N501" s="11"/>
      <c r="O501" s="11"/>
    </row>
    <row r="502" spans="1:15" s="12" customFormat="1" x14ac:dyDescent="0.25">
      <c r="A502" s="11"/>
      <c r="B502" s="11"/>
      <c r="C502"/>
      <c r="D502"/>
      <c r="E502"/>
      <c r="F502"/>
      <c r="G502"/>
      <c r="H502"/>
      <c r="I502"/>
      <c r="J502"/>
      <c r="K502"/>
      <c r="L502"/>
      <c r="M502" s="11"/>
      <c r="N502" s="11"/>
      <c r="O502" s="11"/>
    </row>
    <row r="503" spans="1:15" x14ac:dyDescent="0.25">
      <c r="C503"/>
      <c r="D503"/>
      <c r="E503"/>
      <c r="F503"/>
      <c r="G503"/>
      <c r="H503"/>
      <c r="I503"/>
      <c r="J503"/>
      <c r="K503"/>
      <c r="L503"/>
    </row>
    <row r="504" spans="1:15" x14ac:dyDescent="0.25">
      <c r="C504"/>
      <c r="D504"/>
      <c r="E504"/>
      <c r="F504"/>
      <c r="G504"/>
      <c r="H504"/>
      <c r="I504"/>
      <c r="J504"/>
      <c r="K504"/>
      <c r="L504"/>
    </row>
    <row r="505" spans="1:15" x14ac:dyDescent="0.25">
      <c r="C505"/>
      <c r="D505"/>
      <c r="E505"/>
      <c r="F505"/>
      <c r="G505"/>
      <c r="H505"/>
      <c r="I505"/>
      <c r="J505"/>
      <c r="K505"/>
      <c r="L505"/>
    </row>
    <row r="506" spans="1:15" x14ac:dyDescent="0.25">
      <c r="C506"/>
      <c r="D506"/>
      <c r="E506"/>
      <c r="F506"/>
      <c r="G506"/>
      <c r="H506"/>
      <c r="I506"/>
      <c r="J506"/>
      <c r="K506"/>
      <c r="L506"/>
    </row>
    <row r="507" spans="1:15" x14ac:dyDescent="0.25">
      <c r="C507"/>
      <c r="D507"/>
      <c r="E507"/>
      <c r="F507"/>
      <c r="G507"/>
      <c r="H507"/>
      <c r="I507"/>
      <c r="J507"/>
      <c r="K507"/>
      <c r="L507"/>
    </row>
    <row r="508" spans="1:15" x14ac:dyDescent="0.25">
      <c r="C508"/>
      <c r="D508"/>
      <c r="E508"/>
      <c r="F508"/>
      <c r="G508"/>
      <c r="H508"/>
      <c r="I508"/>
      <c r="J508"/>
      <c r="K508"/>
      <c r="L508"/>
    </row>
    <row r="509" spans="1:15" x14ac:dyDescent="0.25">
      <c r="C509"/>
      <c r="D509"/>
      <c r="E509"/>
      <c r="F509"/>
      <c r="G509"/>
      <c r="H509"/>
      <c r="I509"/>
      <c r="J509"/>
      <c r="K509"/>
      <c r="L509"/>
    </row>
    <row r="510" spans="1:15" x14ac:dyDescent="0.25">
      <c r="C510"/>
      <c r="D510"/>
      <c r="E510"/>
      <c r="F510"/>
      <c r="G510"/>
      <c r="H510"/>
      <c r="I510"/>
      <c r="J510"/>
      <c r="K510"/>
      <c r="L510"/>
    </row>
    <row r="511" spans="1:15" x14ac:dyDescent="0.25">
      <c r="C511"/>
      <c r="D511"/>
      <c r="E511"/>
      <c r="F511"/>
      <c r="G511"/>
      <c r="H511"/>
      <c r="I511"/>
      <c r="J511"/>
      <c r="K511"/>
      <c r="L511"/>
    </row>
    <row r="512" spans="1:15" x14ac:dyDescent="0.25">
      <c r="C512"/>
      <c r="D512"/>
      <c r="E512"/>
      <c r="F512"/>
      <c r="G512"/>
      <c r="H512"/>
      <c r="I512"/>
      <c r="J512"/>
      <c r="K512"/>
      <c r="L512"/>
    </row>
    <row r="513" spans="3:12" x14ac:dyDescent="0.25">
      <c r="C513"/>
      <c r="D513"/>
      <c r="E513"/>
      <c r="F513"/>
      <c r="G513"/>
      <c r="H513"/>
      <c r="I513"/>
      <c r="J513"/>
      <c r="K513"/>
      <c r="L513"/>
    </row>
    <row r="514" spans="3:12" x14ac:dyDescent="0.25">
      <c r="C514"/>
      <c r="D514"/>
      <c r="E514"/>
      <c r="F514"/>
      <c r="G514"/>
      <c r="H514"/>
      <c r="I514"/>
      <c r="J514"/>
      <c r="K514"/>
      <c r="L514"/>
    </row>
    <row r="515" spans="3:12" x14ac:dyDescent="0.25">
      <c r="C515"/>
      <c r="D515"/>
      <c r="E515"/>
      <c r="F515"/>
      <c r="G515"/>
      <c r="H515"/>
      <c r="I515"/>
      <c r="J515"/>
      <c r="K515"/>
      <c r="L515"/>
    </row>
    <row r="516" spans="3:12" x14ac:dyDescent="0.25">
      <c r="C516"/>
      <c r="D516"/>
      <c r="E516"/>
      <c r="F516"/>
      <c r="G516"/>
      <c r="H516"/>
      <c r="I516"/>
      <c r="J516"/>
      <c r="K516"/>
      <c r="L516"/>
    </row>
    <row r="517" spans="3:12" x14ac:dyDescent="0.25">
      <c r="C517"/>
      <c r="D517"/>
      <c r="E517"/>
      <c r="F517"/>
      <c r="G517"/>
      <c r="H517"/>
      <c r="I517"/>
      <c r="J517"/>
      <c r="K517"/>
      <c r="L517"/>
    </row>
    <row r="518" spans="3:12" x14ac:dyDescent="0.25">
      <c r="C518"/>
      <c r="D518"/>
      <c r="E518"/>
      <c r="F518"/>
      <c r="G518"/>
      <c r="H518"/>
      <c r="I518"/>
      <c r="J518"/>
      <c r="K518"/>
      <c r="L518"/>
    </row>
    <row r="519" spans="3:12" x14ac:dyDescent="0.25">
      <c r="C519"/>
      <c r="D519"/>
      <c r="E519"/>
      <c r="F519"/>
      <c r="G519"/>
      <c r="H519"/>
      <c r="I519"/>
      <c r="J519"/>
      <c r="K519"/>
      <c r="L519"/>
    </row>
    <row r="520" spans="3:12" x14ac:dyDescent="0.25">
      <c r="C520"/>
      <c r="D520"/>
      <c r="E520"/>
      <c r="F520"/>
      <c r="G520"/>
      <c r="H520"/>
      <c r="I520"/>
      <c r="J520"/>
      <c r="K520"/>
      <c r="L520"/>
    </row>
    <row r="521" spans="3:12" x14ac:dyDescent="0.25">
      <c r="C521"/>
      <c r="D521"/>
      <c r="E521"/>
      <c r="F521"/>
      <c r="G521"/>
      <c r="H521"/>
      <c r="I521"/>
      <c r="J521"/>
      <c r="K521"/>
      <c r="L521"/>
    </row>
    <row r="522" spans="3:12" x14ac:dyDescent="0.25">
      <c r="C522"/>
      <c r="D522"/>
      <c r="E522"/>
      <c r="F522"/>
      <c r="G522"/>
      <c r="H522"/>
      <c r="I522"/>
      <c r="J522"/>
      <c r="K522"/>
      <c r="L522"/>
    </row>
    <row r="523" spans="3:12" x14ac:dyDescent="0.25">
      <c r="C523"/>
      <c r="D523"/>
      <c r="E523"/>
      <c r="F523"/>
      <c r="G523"/>
      <c r="H523"/>
      <c r="I523"/>
      <c r="J523"/>
      <c r="K523"/>
      <c r="L523"/>
    </row>
    <row r="524" spans="3:12" x14ac:dyDescent="0.25">
      <c r="C524"/>
      <c r="D524"/>
      <c r="E524"/>
      <c r="F524"/>
      <c r="G524"/>
      <c r="H524"/>
      <c r="I524"/>
      <c r="J524"/>
      <c r="K524"/>
      <c r="L524"/>
    </row>
    <row r="525" spans="3:12" x14ac:dyDescent="0.25">
      <c r="C525"/>
      <c r="D525"/>
      <c r="E525"/>
      <c r="F525"/>
      <c r="G525"/>
      <c r="H525"/>
      <c r="I525"/>
      <c r="J525"/>
      <c r="K525"/>
      <c r="L525"/>
    </row>
    <row r="526" spans="3:12" x14ac:dyDescent="0.25">
      <c r="C526"/>
      <c r="D526"/>
      <c r="E526"/>
      <c r="F526"/>
      <c r="G526"/>
      <c r="H526"/>
      <c r="I526"/>
      <c r="J526"/>
      <c r="K526"/>
      <c r="L526"/>
    </row>
    <row r="527" spans="3:12" x14ac:dyDescent="0.25">
      <c r="C527"/>
      <c r="D527"/>
      <c r="E527"/>
      <c r="F527"/>
      <c r="G527"/>
      <c r="H527"/>
      <c r="I527"/>
      <c r="J527"/>
      <c r="K527"/>
      <c r="L527"/>
    </row>
    <row r="528" spans="3:12" x14ac:dyDescent="0.25">
      <c r="C528"/>
      <c r="D528"/>
      <c r="E528"/>
      <c r="F528"/>
      <c r="G528"/>
      <c r="H528"/>
      <c r="I528"/>
      <c r="J528"/>
      <c r="K528"/>
      <c r="L528"/>
    </row>
    <row r="529" spans="3:12" x14ac:dyDescent="0.25">
      <c r="C529"/>
      <c r="D529"/>
      <c r="E529"/>
      <c r="F529"/>
      <c r="G529"/>
      <c r="H529"/>
      <c r="I529"/>
      <c r="J529"/>
      <c r="K529"/>
      <c r="L529"/>
    </row>
    <row r="530" spans="3:12" x14ac:dyDescent="0.25">
      <c r="C530"/>
      <c r="D530"/>
      <c r="E530"/>
      <c r="F530"/>
      <c r="G530"/>
      <c r="H530"/>
      <c r="I530"/>
      <c r="J530"/>
      <c r="K530"/>
      <c r="L530"/>
    </row>
    <row r="531" spans="3:12" x14ac:dyDescent="0.25">
      <c r="C531"/>
      <c r="D531"/>
      <c r="E531"/>
      <c r="F531"/>
      <c r="G531"/>
      <c r="H531"/>
      <c r="I531"/>
      <c r="J531"/>
      <c r="K531"/>
      <c r="L531"/>
    </row>
    <row r="532" spans="3:12" x14ac:dyDescent="0.25">
      <c r="C532"/>
      <c r="D532"/>
      <c r="E532"/>
      <c r="F532"/>
      <c r="G532"/>
      <c r="H532"/>
      <c r="I532"/>
      <c r="J532"/>
      <c r="K532"/>
      <c r="L532"/>
    </row>
    <row r="533" spans="3:12" x14ac:dyDescent="0.25">
      <c r="C533"/>
      <c r="D533"/>
      <c r="E533"/>
      <c r="F533"/>
      <c r="G533"/>
      <c r="H533"/>
      <c r="I533"/>
      <c r="J533"/>
      <c r="K533"/>
      <c r="L533"/>
    </row>
    <row r="534" spans="3:12" x14ac:dyDescent="0.25">
      <c r="C534"/>
      <c r="D534"/>
      <c r="E534"/>
      <c r="F534"/>
      <c r="G534"/>
      <c r="H534"/>
      <c r="I534"/>
      <c r="J534"/>
      <c r="K534"/>
      <c r="L534"/>
    </row>
    <row r="535" spans="3:12" x14ac:dyDescent="0.25">
      <c r="C535"/>
      <c r="D535"/>
      <c r="E535"/>
      <c r="F535"/>
      <c r="G535"/>
      <c r="H535"/>
      <c r="I535"/>
      <c r="J535"/>
      <c r="K535"/>
      <c r="L535"/>
    </row>
    <row r="536" spans="3:12" x14ac:dyDescent="0.25">
      <c r="C536"/>
      <c r="D536"/>
      <c r="E536"/>
      <c r="F536"/>
      <c r="G536"/>
      <c r="H536"/>
      <c r="I536"/>
      <c r="J536"/>
      <c r="K536"/>
      <c r="L536"/>
    </row>
    <row r="537" spans="3:12" x14ac:dyDescent="0.25">
      <c r="C537"/>
      <c r="D537"/>
      <c r="E537"/>
      <c r="F537"/>
      <c r="G537"/>
      <c r="H537"/>
      <c r="I537"/>
      <c r="J537"/>
      <c r="K537"/>
      <c r="L537"/>
    </row>
    <row r="538" spans="3:12" x14ac:dyDescent="0.25">
      <c r="C538"/>
      <c r="D538"/>
      <c r="E538"/>
      <c r="F538"/>
      <c r="G538"/>
      <c r="H538"/>
      <c r="I538"/>
      <c r="J538"/>
      <c r="K538"/>
      <c r="L538"/>
    </row>
    <row r="539" spans="3:12" x14ac:dyDescent="0.25">
      <c r="C539"/>
      <c r="D539"/>
      <c r="E539"/>
      <c r="F539"/>
      <c r="G539"/>
      <c r="H539"/>
      <c r="I539"/>
      <c r="J539"/>
      <c r="K539"/>
      <c r="L539"/>
    </row>
    <row r="540" spans="3:12" x14ac:dyDescent="0.25">
      <c r="C540"/>
      <c r="D540"/>
      <c r="E540"/>
      <c r="F540"/>
      <c r="G540"/>
      <c r="H540"/>
      <c r="I540"/>
      <c r="J540"/>
      <c r="K540"/>
      <c r="L540"/>
    </row>
    <row r="541" spans="3:12" x14ac:dyDescent="0.25">
      <c r="C541"/>
      <c r="D541"/>
      <c r="E541"/>
      <c r="F541"/>
      <c r="G541"/>
      <c r="H541"/>
      <c r="I541"/>
      <c r="J541"/>
      <c r="K541"/>
      <c r="L541"/>
    </row>
    <row r="542" spans="3:12" x14ac:dyDescent="0.25">
      <c r="C542"/>
      <c r="D542"/>
      <c r="E542"/>
      <c r="F542"/>
      <c r="G542"/>
      <c r="H542"/>
      <c r="I542"/>
      <c r="J542"/>
      <c r="K542"/>
      <c r="L542"/>
    </row>
    <row r="543" spans="3:12" x14ac:dyDescent="0.25">
      <c r="C543"/>
      <c r="D543"/>
      <c r="E543"/>
      <c r="F543"/>
      <c r="G543"/>
      <c r="H543"/>
      <c r="I543"/>
      <c r="J543"/>
      <c r="K543"/>
      <c r="L543"/>
    </row>
    <row r="544" spans="3:12" x14ac:dyDescent="0.25">
      <c r="C544"/>
      <c r="D544"/>
      <c r="E544"/>
      <c r="F544"/>
      <c r="G544"/>
      <c r="H544"/>
      <c r="I544"/>
      <c r="J544"/>
      <c r="K544"/>
      <c r="L544"/>
    </row>
    <row r="545" spans="3:12" x14ac:dyDescent="0.25">
      <c r="C545"/>
      <c r="D545"/>
      <c r="E545"/>
      <c r="F545"/>
      <c r="G545"/>
      <c r="H545"/>
      <c r="I545"/>
      <c r="J545"/>
      <c r="K545"/>
      <c r="L545"/>
    </row>
    <row r="546" spans="3:12" x14ac:dyDescent="0.25">
      <c r="C546"/>
      <c r="D546"/>
      <c r="E546"/>
      <c r="F546"/>
      <c r="G546"/>
      <c r="H546"/>
      <c r="I546"/>
      <c r="J546"/>
      <c r="K546"/>
      <c r="L546"/>
    </row>
    <row r="547" spans="3:12" x14ac:dyDescent="0.25">
      <c r="C547"/>
      <c r="D547"/>
      <c r="E547"/>
      <c r="F547"/>
      <c r="G547"/>
      <c r="H547"/>
      <c r="I547"/>
      <c r="J547"/>
      <c r="K547"/>
      <c r="L547"/>
    </row>
    <row r="548" spans="3:12" x14ac:dyDescent="0.25">
      <c r="C548"/>
      <c r="D548"/>
      <c r="E548"/>
      <c r="F548"/>
      <c r="G548"/>
      <c r="H548"/>
      <c r="I548"/>
      <c r="J548"/>
      <c r="K548"/>
      <c r="L548"/>
    </row>
    <row r="549" spans="3:12" x14ac:dyDescent="0.25">
      <c r="C549"/>
      <c r="D549"/>
      <c r="E549"/>
      <c r="F549"/>
      <c r="G549"/>
      <c r="H549"/>
      <c r="I549"/>
      <c r="J549"/>
      <c r="K549"/>
      <c r="L549"/>
    </row>
    <row r="550" spans="3:12" x14ac:dyDescent="0.25">
      <c r="C550"/>
      <c r="D550"/>
      <c r="E550"/>
      <c r="F550"/>
      <c r="G550"/>
      <c r="H550"/>
      <c r="I550"/>
      <c r="J550"/>
      <c r="K550"/>
      <c r="L550"/>
    </row>
    <row r="551" spans="3:12" x14ac:dyDescent="0.25">
      <c r="C551"/>
      <c r="D551"/>
      <c r="E551"/>
      <c r="F551"/>
      <c r="G551"/>
      <c r="H551"/>
      <c r="I551"/>
      <c r="J551"/>
      <c r="K551"/>
      <c r="L551"/>
    </row>
    <row r="552" spans="3:12" x14ac:dyDescent="0.25">
      <c r="C552"/>
      <c r="D552"/>
      <c r="E552"/>
      <c r="F552"/>
      <c r="G552"/>
      <c r="H552"/>
      <c r="I552"/>
      <c r="J552"/>
      <c r="K552"/>
      <c r="L552"/>
    </row>
    <row r="553" spans="3:12" x14ac:dyDescent="0.25">
      <c r="C553"/>
      <c r="D553"/>
      <c r="E553"/>
      <c r="F553"/>
      <c r="G553"/>
      <c r="H553"/>
      <c r="I553"/>
      <c r="J553"/>
      <c r="K553"/>
      <c r="L553"/>
    </row>
    <row r="554" spans="3:12" x14ac:dyDescent="0.25">
      <c r="C554"/>
      <c r="D554"/>
      <c r="E554"/>
      <c r="F554"/>
      <c r="G554"/>
      <c r="H554"/>
      <c r="I554"/>
      <c r="J554"/>
      <c r="K554"/>
      <c r="L554"/>
    </row>
    <row r="555" spans="3:12" x14ac:dyDescent="0.25">
      <c r="C555"/>
      <c r="D555"/>
      <c r="E555"/>
      <c r="F555"/>
      <c r="G555"/>
      <c r="H555"/>
      <c r="I555"/>
      <c r="J555"/>
      <c r="K555"/>
      <c r="L555"/>
    </row>
    <row r="556" spans="3:12" x14ac:dyDescent="0.25">
      <c r="C556"/>
      <c r="D556"/>
      <c r="E556"/>
      <c r="F556"/>
      <c r="G556"/>
      <c r="H556"/>
      <c r="I556"/>
      <c r="J556"/>
      <c r="K556"/>
      <c r="L556"/>
    </row>
    <row r="557" spans="3:12" x14ac:dyDescent="0.25">
      <c r="C557"/>
      <c r="D557"/>
      <c r="E557"/>
      <c r="F557"/>
      <c r="G557"/>
      <c r="H557"/>
      <c r="I557"/>
      <c r="J557"/>
      <c r="K557"/>
      <c r="L557"/>
    </row>
    <row r="558" spans="3:12" x14ac:dyDescent="0.25">
      <c r="C558"/>
      <c r="D558"/>
      <c r="E558"/>
      <c r="F558"/>
      <c r="G558"/>
      <c r="H558"/>
      <c r="I558"/>
      <c r="J558"/>
      <c r="K558"/>
      <c r="L558"/>
    </row>
    <row r="559" spans="3:12" x14ac:dyDescent="0.25">
      <c r="C559"/>
      <c r="D559"/>
      <c r="E559"/>
      <c r="F559"/>
      <c r="G559"/>
      <c r="H559"/>
      <c r="I559"/>
      <c r="J559"/>
      <c r="K559"/>
      <c r="L559"/>
    </row>
    <row r="560" spans="3:12" x14ac:dyDescent="0.25">
      <c r="C560"/>
      <c r="D560"/>
      <c r="E560"/>
      <c r="F560"/>
      <c r="G560"/>
      <c r="H560"/>
      <c r="I560"/>
      <c r="J560"/>
      <c r="K560"/>
      <c r="L560"/>
    </row>
    <row r="561" spans="3:15" x14ac:dyDescent="0.25">
      <c r="C561"/>
      <c r="D561"/>
      <c r="E561"/>
      <c r="F561"/>
      <c r="G561"/>
      <c r="H561"/>
      <c r="I561"/>
      <c r="J561"/>
      <c r="K561"/>
      <c r="L561"/>
    </row>
    <row r="562" spans="3:15" x14ac:dyDescent="0.25">
      <c r="C562"/>
      <c r="D562"/>
      <c r="E562"/>
      <c r="F562"/>
      <c r="G562"/>
      <c r="H562"/>
      <c r="I562"/>
      <c r="J562"/>
      <c r="K562"/>
      <c r="L562"/>
    </row>
    <row r="563" spans="3:15" x14ac:dyDescent="0.25">
      <c r="C563"/>
      <c r="D563"/>
      <c r="E563"/>
      <c r="F563"/>
      <c r="G563"/>
      <c r="H563"/>
      <c r="I563"/>
      <c r="J563"/>
      <c r="K563"/>
      <c r="L563"/>
    </row>
    <row r="564" spans="3:15" x14ac:dyDescent="0.25">
      <c r="C564"/>
      <c r="D564"/>
      <c r="E564"/>
      <c r="F564"/>
      <c r="G564"/>
      <c r="H564"/>
      <c r="I564"/>
      <c r="J564"/>
      <c r="K564"/>
      <c r="L564"/>
    </row>
    <row r="565" spans="3:15" x14ac:dyDescent="0.25">
      <c r="C565"/>
      <c r="D565"/>
      <c r="E565"/>
      <c r="F565"/>
      <c r="G565"/>
      <c r="H565"/>
      <c r="I565"/>
      <c r="J565"/>
      <c r="K565"/>
      <c r="L565"/>
    </row>
    <row r="566" spans="3:15" x14ac:dyDescent="0.25">
      <c r="C566"/>
      <c r="D566"/>
      <c r="E566"/>
      <c r="F566"/>
      <c r="G566"/>
      <c r="H566"/>
      <c r="I566"/>
      <c r="J566"/>
      <c r="K566"/>
      <c r="L566"/>
    </row>
    <row r="567" spans="3:15" x14ac:dyDescent="0.25">
      <c r="C567"/>
      <c r="D567"/>
      <c r="E567"/>
      <c r="F567"/>
      <c r="G567"/>
      <c r="H567"/>
      <c r="I567"/>
      <c r="J567"/>
      <c r="K567"/>
      <c r="L567"/>
    </row>
    <row r="568" spans="3:15" x14ac:dyDescent="0.25">
      <c r="C568"/>
      <c r="D568"/>
      <c r="E568"/>
      <c r="F568"/>
      <c r="G568"/>
      <c r="H568"/>
      <c r="I568"/>
      <c r="J568"/>
      <c r="K568"/>
      <c r="L568"/>
    </row>
    <row r="569" spans="3:15" x14ac:dyDescent="0.25">
      <c r="C569"/>
      <c r="D569"/>
      <c r="E569"/>
      <c r="F569"/>
      <c r="G569"/>
      <c r="H569"/>
      <c r="I569"/>
      <c r="J569"/>
      <c r="K569"/>
      <c r="L569"/>
    </row>
    <row r="570" spans="3:15" x14ac:dyDescent="0.25">
      <c r="C570"/>
      <c r="D570"/>
      <c r="E570"/>
      <c r="F570"/>
      <c r="G570"/>
      <c r="H570"/>
      <c r="I570"/>
      <c r="J570"/>
      <c r="K570"/>
      <c r="L570"/>
    </row>
    <row r="571" spans="3:15" x14ac:dyDescent="0.25">
      <c r="C571"/>
      <c r="D571"/>
      <c r="E571"/>
      <c r="F571"/>
      <c r="G571"/>
      <c r="H571"/>
      <c r="I571"/>
      <c r="J571"/>
      <c r="K571"/>
      <c r="L571"/>
    </row>
    <row r="572" spans="3:15" x14ac:dyDescent="0.25">
      <c r="C572"/>
      <c r="D572"/>
      <c r="E572"/>
      <c r="F572"/>
      <c r="G572"/>
      <c r="H572"/>
      <c r="I572"/>
      <c r="J572"/>
      <c r="K572"/>
      <c r="L572"/>
    </row>
    <row r="573" spans="3:15" x14ac:dyDescent="0.25">
      <c r="C573"/>
      <c r="D573"/>
      <c r="E573"/>
      <c r="F573"/>
      <c r="G573"/>
      <c r="H573"/>
      <c r="I573"/>
      <c r="J573"/>
      <c r="K573"/>
      <c r="L573"/>
    </row>
    <row r="574" spans="3:15" x14ac:dyDescent="0.25">
      <c r="C574"/>
      <c r="D574"/>
      <c r="E574"/>
      <c r="F574"/>
      <c r="G574"/>
      <c r="H574"/>
      <c r="I574"/>
      <c r="J574"/>
      <c r="K574"/>
      <c r="L574"/>
    </row>
    <row r="575" spans="3:15" x14ac:dyDescent="0.25">
      <c r="C575"/>
      <c r="D575"/>
      <c r="E575"/>
      <c r="F575"/>
      <c r="G575"/>
      <c r="H575"/>
      <c r="I575"/>
      <c r="J575"/>
      <c r="K575"/>
      <c r="L575"/>
    </row>
    <row r="576" spans="3:15" x14ac:dyDescent="0.25">
      <c r="C576"/>
      <c r="D576"/>
      <c r="E576"/>
      <c r="F576"/>
      <c r="G576"/>
      <c r="H576"/>
      <c r="I576"/>
      <c r="J576"/>
      <c r="K576"/>
      <c r="L576"/>
      <c r="O576"/>
    </row>
    <row r="577" spans="1:22" x14ac:dyDescent="0.25">
      <c r="C577"/>
      <c r="D577"/>
      <c r="E577"/>
      <c r="F577"/>
      <c r="G577"/>
      <c r="H577"/>
      <c r="I577"/>
      <c r="J577"/>
      <c r="K577"/>
      <c r="L577"/>
      <c r="O577"/>
    </row>
    <row r="578" spans="1:22" x14ac:dyDescent="0.25">
      <c r="A578"/>
      <c r="C578"/>
      <c r="D578"/>
      <c r="E578"/>
      <c r="F578"/>
      <c r="G578"/>
      <c r="H578"/>
      <c r="I578"/>
      <c r="J578"/>
      <c r="K578"/>
      <c r="L578"/>
      <c r="O578"/>
    </row>
    <row r="579" spans="1:22" x14ac:dyDescent="0.25">
      <c r="A579"/>
      <c r="C579"/>
      <c r="D579"/>
      <c r="E579"/>
      <c r="F579"/>
      <c r="G579"/>
      <c r="H579"/>
      <c r="I579"/>
      <c r="J579"/>
      <c r="K579"/>
      <c r="L579"/>
      <c r="O579"/>
    </row>
    <row r="580" spans="1:22" x14ac:dyDescent="0.25">
      <c r="A580"/>
      <c r="C580"/>
      <c r="D580"/>
      <c r="E580"/>
      <c r="F580"/>
      <c r="G580"/>
      <c r="H580"/>
      <c r="I580"/>
      <c r="J580"/>
      <c r="K580"/>
      <c r="L580"/>
      <c r="O580"/>
    </row>
    <row r="581" spans="1:22" x14ac:dyDescent="0.25">
      <c r="A581"/>
      <c r="C581"/>
      <c r="D581"/>
      <c r="E581"/>
      <c r="F581"/>
      <c r="G581"/>
      <c r="H581"/>
      <c r="I581"/>
      <c r="J581"/>
      <c r="K581"/>
      <c r="L581"/>
      <c r="O581"/>
      <c r="P581"/>
      <c r="Q581"/>
      <c r="R581"/>
      <c r="S581"/>
      <c r="T581"/>
      <c r="U581"/>
      <c r="V581"/>
    </row>
    <row r="582" spans="1:22" x14ac:dyDescent="0.25">
      <c r="A582"/>
      <c r="C582"/>
      <c r="D582"/>
      <c r="E582"/>
      <c r="F582"/>
      <c r="G582"/>
      <c r="H582"/>
      <c r="I582"/>
      <c r="J582"/>
      <c r="K582"/>
      <c r="L582"/>
      <c r="O582"/>
      <c r="P582"/>
      <c r="Q582"/>
      <c r="R582"/>
      <c r="S582"/>
      <c r="T582"/>
      <c r="U582"/>
      <c r="V582"/>
    </row>
    <row r="583" spans="1:22" x14ac:dyDescent="0.25">
      <c r="A583"/>
      <c r="C583" s="11"/>
      <c r="D583" s="11"/>
      <c r="E583" s="11"/>
      <c r="O583"/>
      <c r="P583"/>
      <c r="Q583"/>
      <c r="R583"/>
      <c r="S583"/>
      <c r="T583"/>
      <c r="U583"/>
      <c r="V583"/>
    </row>
    <row r="584" spans="1:22" x14ac:dyDescent="0.25">
      <c r="A584"/>
      <c r="B584"/>
      <c r="C584"/>
      <c r="D584"/>
      <c r="E584"/>
      <c r="F584"/>
      <c r="G584"/>
      <c r="H584"/>
      <c r="I584"/>
      <c r="J584"/>
      <c r="K584"/>
      <c r="L584"/>
      <c r="M584"/>
      <c r="N584"/>
      <c r="O584"/>
      <c r="P584"/>
      <c r="Q584"/>
      <c r="R584"/>
      <c r="S584"/>
      <c r="T584"/>
      <c r="U584"/>
      <c r="V584"/>
    </row>
    <row r="585" spans="1:22" x14ac:dyDescent="0.25">
      <c r="A585"/>
      <c r="B585"/>
      <c r="C585"/>
      <c r="D585"/>
      <c r="E585"/>
      <c r="F585"/>
      <c r="G585"/>
      <c r="H585"/>
      <c r="I585"/>
      <c r="J585"/>
      <c r="K585"/>
      <c r="L585"/>
      <c r="M585"/>
      <c r="N585"/>
      <c r="O585"/>
      <c r="P585"/>
      <c r="Q585"/>
      <c r="R585"/>
      <c r="S585"/>
      <c r="T585"/>
      <c r="U585"/>
      <c r="V585"/>
    </row>
    <row r="586" spans="1:22" x14ac:dyDescent="0.25">
      <c r="A586"/>
      <c r="B586"/>
      <c r="C586"/>
      <c r="D586"/>
      <c r="E586"/>
      <c r="F586"/>
      <c r="G586"/>
      <c r="H586"/>
      <c r="I586"/>
      <c r="J586"/>
      <c r="K586"/>
      <c r="L586"/>
      <c r="M586"/>
      <c r="N586"/>
      <c r="O586"/>
      <c r="P586"/>
      <c r="Q586"/>
      <c r="R586"/>
      <c r="S586"/>
      <c r="T586"/>
      <c r="U586"/>
      <c r="V586"/>
    </row>
    <row r="587" spans="1:22" x14ac:dyDescent="0.25">
      <c r="A587"/>
      <c r="B587" s="29" t="s">
        <v>3</v>
      </c>
      <c r="C587" t="s">
        <v>261</v>
      </c>
      <c r="E587"/>
      <c r="F587"/>
      <c r="G587"/>
      <c r="H587"/>
      <c r="I587"/>
      <c r="J587"/>
      <c r="K587"/>
      <c r="L587"/>
      <c r="M587"/>
      <c r="N587"/>
      <c r="O587"/>
      <c r="P587"/>
      <c r="Q587"/>
      <c r="R587"/>
      <c r="S587"/>
      <c r="T587"/>
      <c r="U587"/>
      <c r="V587"/>
    </row>
    <row r="588" spans="1:22" x14ac:dyDescent="0.25">
      <c r="A588"/>
      <c r="E588"/>
      <c r="F588"/>
      <c r="G588"/>
      <c r="H588"/>
      <c r="I588"/>
      <c r="J588"/>
      <c r="K588"/>
      <c r="L588"/>
      <c r="M588"/>
      <c r="N588"/>
      <c r="O588"/>
      <c r="P588"/>
      <c r="Q588"/>
      <c r="R588"/>
      <c r="S588"/>
      <c r="T588"/>
      <c r="U588"/>
      <c r="V588"/>
    </row>
    <row r="589" spans="1:22" x14ac:dyDescent="0.25">
      <c r="A589"/>
      <c r="B589" s="29" t="s">
        <v>644</v>
      </c>
      <c r="C589" s="29" t="s">
        <v>248</v>
      </c>
      <c r="D589"/>
      <c r="E589"/>
      <c r="F589"/>
      <c r="G589"/>
      <c r="H589"/>
      <c r="I589"/>
      <c r="J589"/>
      <c r="K589"/>
      <c r="L589"/>
      <c r="M589"/>
      <c r="N589"/>
      <c r="O589"/>
      <c r="P589"/>
      <c r="Q589"/>
      <c r="R589"/>
      <c r="S589"/>
      <c r="T589"/>
      <c r="U589"/>
      <c r="V589"/>
    </row>
    <row r="590" spans="1:22" x14ac:dyDescent="0.25">
      <c r="A590"/>
      <c r="B590" s="29" t="s">
        <v>236</v>
      </c>
      <c r="C590" t="s">
        <v>645</v>
      </c>
      <c r="D590" t="s">
        <v>646</v>
      </c>
      <c r="E590" t="s">
        <v>73</v>
      </c>
      <c r="F590"/>
      <c r="G590"/>
      <c r="H590"/>
      <c r="I590"/>
      <c r="J590"/>
      <c r="K590"/>
      <c r="L590"/>
      <c r="M590"/>
      <c r="N590"/>
      <c r="O590"/>
      <c r="P590"/>
      <c r="Q590"/>
      <c r="R590"/>
      <c r="S590"/>
      <c r="T590"/>
      <c r="U590"/>
      <c r="V590"/>
    </row>
    <row r="591" spans="1:22" x14ac:dyDescent="0.25">
      <c r="A591"/>
      <c r="B591" s="26" t="s">
        <v>213</v>
      </c>
      <c r="C591" s="283">
        <v>96</v>
      </c>
      <c r="D591" s="283">
        <v>46</v>
      </c>
      <c r="E591" s="283">
        <v>142</v>
      </c>
      <c r="F591"/>
      <c r="G591"/>
      <c r="H591"/>
      <c r="I591"/>
      <c r="J591"/>
      <c r="K591"/>
      <c r="L591"/>
      <c r="M591"/>
      <c r="N591"/>
      <c r="O591"/>
      <c r="P591"/>
      <c r="Q591"/>
      <c r="R591"/>
      <c r="S591"/>
      <c r="T591"/>
      <c r="U591"/>
      <c r="V591"/>
    </row>
    <row r="592" spans="1:22" x14ac:dyDescent="0.25">
      <c r="A592"/>
      <c r="B592" s="26" t="s">
        <v>221</v>
      </c>
      <c r="C592" s="283">
        <v>9</v>
      </c>
      <c r="D592" s="283">
        <v>16</v>
      </c>
      <c r="E592" s="283">
        <v>25</v>
      </c>
      <c r="F592"/>
      <c r="G592"/>
      <c r="H592"/>
      <c r="I592"/>
      <c r="J592"/>
      <c r="K592"/>
      <c r="L592"/>
      <c r="M592"/>
      <c r="N592"/>
      <c r="O592"/>
      <c r="P592"/>
      <c r="Q592"/>
      <c r="R592"/>
      <c r="S592"/>
      <c r="T592"/>
      <c r="U592"/>
      <c r="V592"/>
    </row>
    <row r="593" spans="1:22" x14ac:dyDescent="0.25">
      <c r="A593"/>
      <c r="B593" s="26" t="s">
        <v>73</v>
      </c>
      <c r="C593" s="283">
        <v>105</v>
      </c>
      <c r="D593" s="283">
        <v>62</v>
      </c>
      <c r="E593" s="283">
        <v>167</v>
      </c>
      <c r="F593"/>
      <c r="G593"/>
      <c r="H593"/>
      <c r="I593"/>
      <c r="J593"/>
      <c r="K593"/>
      <c r="L593"/>
      <c r="M593"/>
      <c r="N593"/>
      <c r="O593"/>
      <c r="P593"/>
      <c r="Q593"/>
      <c r="R593"/>
      <c r="S593"/>
      <c r="T593"/>
      <c r="U593"/>
      <c r="V593"/>
    </row>
    <row r="594" spans="1:22" x14ac:dyDescent="0.25">
      <c r="A594"/>
      <c r="B594"/>
      <c r="C594"/>
      <c r="D594"/>
      <c r="E594"/>
      <c r="F594"/>
      <c r="G594"/>
      <c r="H594"/>
      <c r="I594"/>
      <c r="J594"/>
      <c r="K594"/>
      <c r="L594"/>
      <c r="M594"/>
      <c r="N594"/>
      <c r="O594"/>
      <c r="P594"/>
      <c r="Q594"/>
      <c r="R594"/>
      <c r="S594"/>
      <c r="T594"/>
      <c r="U594"/>
      <c r="V594"/>
    </row>
    <row r="595" spans="1:22" x14ac:dyDescent="0.25">
      <c r="A595"/>
      <c r="B595"/>
      <c r="C595"/>
      <c r="D595"/>
      <c r="E595"/>
      <c r="F595"/>
      <c r="G595"/>
      <c r="H595"/>
      <c r="I595"/>
      <c r="J595"/>
      <c r="K595"/>
      <c r="L595"/>
      <c r="M595"/>
      <c r="N595"/>
      <c r="O595"/>
      <c r="P595"/>
      <c r="Q595"/>
      <c r="R595"/>
      <c r="S595"/>
      <c r="T595"/>
      <c r="U595"/>
      <c r="V595"/>
    </row>
    <row r="596" spans="1:22" x14ac:dyDescent="0.25">
      <c r="A596"/>
      <c r="B596"/>
      <c r="C596"/>
      <c r="D596"/>
      <c r="E596"/>
      <c r="F596"/>
      <c r="G596"/>
      <c r="H596"/>
      <c r="I596"/>
      <c r="J596"/>
      <c r="K596"/>
      <c r="L596"/>
      <c r="M596"/>
      <c r="N596"/>
      <c r="O596"/>
      <c r="P596"/>
      <c r="Q596"/>
      <c r="R596"/>
      <c r="S596"/>
      <c r="T596"/>
      <c r="U596"/>
      <c r="V596"/>
    </row>
    <row r="597" spans="1:22" x14ac:dyDescent="0.25">
      <c r="A597"/>
      <c r="B597"/>
      <c r="C597"/>
      <c r="D597"/>
      <c r="E597"/>
      <c r="F597"/>
      <c r="G597"/>
      <c r="H597"/>
      <c r="I597"/>
      <c r="J597"/>
      <c r="K597"/>
      <c r="L597"/>
      <c r="M597"/>
      <c r="N597"/>
      <c r="O597"/>
      <c r="P597"/>
      <c r="Q597"/>
      <c r="R597"/>
      <c r="S597"/>
      <c r="T597"/>
      <c r="U597"/>
      <c r="V597"/>
    </row>
    <row r="598" spans="1:22" x14ac:dyDescent="0.25">
      <c r="A598"/>
      <c r="B598"/>
      <c r="C598"/>
      <c r="D598"/>
      <c r="E598"/>
      <c r="F598"/>
      <c r="G598"/>
      <c r="H598"/>
      <c r="I598"/>
      <c r="J598"/>
      <c r="K598"/>
      <c r="L598"/>
      <c r="M598"/>
      <c r="N598"/>
      <c r="O598"/>
      <c r="P598"/>
      <c r="Q598"/>
      <c r="R598"/>
      <c r="S598"/>
      <c r="T598"/>
      <c r="U598"/>
      <c r="V598"/>
    </row>
    <row r="599" spans="1:22" x14ac:dyDescent="0.25">
      <c r="A599"/>
      <c r="B599"/>
      <c r="C599"/>
      <c r="D599"/>
      <c r="E599"/>
      <c r="F599"/>
      <c r="G599"/>
      <c r="H599"/>
      <c r="I599"/>
      <c r="J599"/>
      <c r="K599"/>
      <c r="L599"/>
      <c r="M599"/>
      <c r="N599"/>
      <c r="O599"/>
      <c r="P599"/>
      <c r="Q599"/>
      <c r="R599"/>
      <c r="S599"/>
      <c r="T599"/>
      <c r="U599"/>
      <c r="V599"/>
    </row>
    <row r="600" spans="1:22" x14ac:dyDescent="0.25">
      <c r="A600"/>
      <c r="B600"/>
      <c r="C600"/>
      <c r="D600"/>
      <c r="E600"/>
      <c r="F600"/>
      <c r="G600"/>
      <c r="H600"/>
      <c r="I600"/>
      <c r="J600"/>
      <c r="K600"/>
      <c r="L600"/>
      <c r="M600"/>
      <c r="N600"/>
      <c r="O600"/>
      <c r="P600"/>
      <c r="Q600"/>
      <c r="R600"/>
      <c r="S600"/>
      <c r="T600"/>
      <c r="U600"/>
      <c r="V600"/>
    </row>
    <row r="601" spans="1:22" x14ac:dyDescent="0.25">
      <c r="A601"/>
      <c r="B601"/>
      <c r="C601"/>
      <c r="D601"/>
      <c r="E601"/>
      <c r="F601"/>
      <c r="G601"/>
      <c r="H601"/>
      <c r="I601"/>
      <c r="J601"/>
      <c r="K601"/>
      <c r="L601"/>
      <c r="M601"/>
      <c r="N601"/>
      <c r="O601"/>
      <c r="P601"/>
      <c r="Q601"/>
      <c r="R601"/>
      <c r="S601"/>
      <c r="T601"/>
      <c r="U601"/>
      <c r="V601"/>
    </row>
    <row r="602" spans="1:22" x14ac:dyDescent="0.25">
      <c r="A602"/>
      <c r="B602"/>
      <c r="C602"/>
      <c r="D602"/>
      <c r="E602"/>
      <c r="F602"/>
      <c r="G602"/>
      <c r="H602"/>
      <c r="I602"/>
      <c r="J602"/>
      <c r="K602"/>
      <c r="L602"/>
      <c r="M602"/>
      <c r="N602"/>
      <c r="O602"/>
      <c r="P602"/>
      <c r="Q602"/>
      <c r="R602"/>
      <c r="S602"/>
      <c r="T602"/>
      <c r="U602"/>
      <c r="V602"/>
    </row>
    <row r="603" spans="1:22" x14ac:dyDescent="0.25">
      <c r="A603"/>
      <c r="B603"/>
      <c r="C603"/>
      <c r="D603"/>
      <c r="E603"/>
      <c r="F603"/>
      <c r="G603"/>
      <c r="H603"/>
      <c r="I603"/>
      <c r="J603"/>
      <c r="K603"/>
      <c r="L603"/>
      <c r="M603"/>
      <c r="N603"/>
      <c r="O603"/>
      <c r="P603"/>
      <c r="Q603"/>
      <c r="R603"/>
      <c r="S603"/>
      <c r="T603"/>
      <c r="U603"/>
      <c r="V603"/>
    </row>
    <row r="604" spans="1:22" x14ac:dyDescent="0.25">
      <c r="A604"/>
      <c r="B604"/>
      <c r="C604"/>
      <c r="D604"/>
      <c r="E604"/>
      <c r="F604"/>
      <c r="G604"/>
      <c r="H604"/>
      <c r="I604"/>
      <c r="J604"/>
      <c r="K604"/>
      <c r="L604"/>
      <c r="M604"/>
      <c r="N604"/>
      <c r="O604"/>
      <c r="P604"/>
      <c r="Q604"/>
      <c r="R604"/>
      <c r="S604"/>
      <c r="T604"/>
      <c r="U604"/>
      <c r="V604"/>
    </row>
    <row r="605" spans="1:22" x14ac:dyDescent="0.25">
      <c r="A605"/>
      <c r="B605"/>
      <c r="C605"/>
      <c r="D605"/>
      <c r="E605"/>
      <c r="F605"/>
      <c r="G605"/>
      <c r="H605"/>
      <c r="I605"/>
      <c r="J605"/>
      <c r="K605"/>
      <c r="L605"/>
      <c r="M605"/>
      <c r="N605"/>
      <c r="O605"/>
      <c r="P605"/>
      <c r="Q605"/>
      <c r="R605"/>
      <c r="S605"/>
      <c r="T605"/>
      <c r="U605"/>
      <c r="V605"/>
    </row>
    <row r="606" spans="1:22" x14ac:dyDescent="0.25">
      <c r="A606"/>
      <c r="B606"/>
      <c r="C606"/>
      <c r="D606"/>
      <c r="E606"/>
      <c r="F606"/>
      <c r="G606"/>
      <c r="H606"/>
      <c r="I606"/>
      <c r="J606"/>
      <c r="K606"/>
      <c r="L606"/>
      <c r="M606"/>
      <c r="N606"/>
      <c r="O606"/>
      <c r="P606"/>
      <c r="Q606"/>
      <c r="R606"/>
      <c r="S606"/>
      <c r="T606"/>
      <c r="U606"/>
      <c r="V606"/>
    </row>
    <row r="607" spans="1:22" x14ac:dyDescent="0.25">
      <c r="A607"/>
      <c r="B607" s="29" t="s">
        <v>3</v>
      </c>
      <c r="C607" t="s">
        <v>261</v>
      </c>
      <c r="D607"/>
      <c r="E607"/>
      <c r="F607"/>
      <c r="G607"/>
      <c r="H607"/>
      <c r="I607"/>
      <c r="J607"/>
      <c r="K607"/>
      <c r="L607"/>
      <c r="M607"/>
      <c r="N607"/>
      <c r="O607"/>
      <c r="P607"/>
      <c r="Q607"/>
      <c r="R607"/>
      <c r="S607"/>
      <c r="T607"/>
      <c r="U607"/>
      <c r="V607"/>
    </row>
    <row r="608" spans="1:22" x14ac:dyDescent="0.25">
      <c r="A608"/>
      <c r="B608" s="29" t="s">
        <v>4</v>
      </c>
      <c r="C608" t="s">
        <v>74</v>
      </c>
      <c r="E608"/>
      <c r="F608"/>
      <c r="G608"/>
      <c r="H608"/>
      <c r="I608"/>
      <c r="J608"/>
      <c r="K608"/>
      <c r="L608"/>
      <c r="M608"/>
      <c r="N608"/>
      <c r="O608"/>
      <c r="P608"/>
      <c r="Q608"/>
      <c r="R608"/>
      <c r="S608"/>
      <c r="T608"/>
      <c r="U608"/>
      <c r="V608"/>
    </row>
    <row r="609" spans="1:22" x14ac:dyDescent="0.25">
      <c r="A609"/>
      <c r="E609"/>
      <c r="F609"/>
      <c r="G609"/>
      <c r="H609"/>
      <c r="I609"/>
      <c r="J609"/>
      <c r="K609"/>
      <c r="L609"/>
      <c r="M609"/>
      <c r="N609"/>
      <c r="O609"/>
      <c r="P609"/>
      <c r="Q609"/>
      <c r="R609"/>
      <c r="S609"/>
      <c r="T609"/>
      <c r="U609"/>
      <c r="V609"/>
    </row>
    <row r="610" spans="1:22" x14ac:dyDescent="0.25">
      <c r="A610"/>
      <c r="B610" s="29" t="s">
        <v>644</v>
      </c>
      <c r="C610" s="29" t="s">
        <v>248</v>
      </c>
      <c r="D610"/>
      <c r="E610"/>
      <c r="F610"/>
      <c r="G610"/>
      <c r="H610"/>
      <c r="I610"/>
      <c r="J610"/>
      <c r="K610"/>
      <c r="L610"/>
      <c r="M610"/>
      <c r="N610"/>
      <c r="O610"/>
      <c r="P610"/>
      <c r="Q610"/>
      <c r="R610"/>
      <c r="S610"/>
      <c r="T610"/>
      <c r="U610"/>
      <c r="V610"/>
    </row>
    <row r="611" spans="1:22" x14ac:dyDescent="0.25">
      <c r="A611"/>
      <c r="B611" s="29" t="s">
        <v>236</v>
      </c>
      <c r="C611" t="s">
        <v>645</v>
      </c>
      <c r="D611" t="s">
        <v>646</v>
      </c>
      <c r="E611" t="s">
        <v>73</v>
      </c>
      <c r="F611"/>
      <c r="G611"/>
      <c r="H611"/>
      <c r="I611"/>
      <c r="J611"/>
      <c r="K611"/>
      <c r="L611"/>
      <c r="M611"/>
      <c r="N611"/>
      <c r="O611"/>
      <c r="P611"/>
      <c r="Q611"/>
      <c r="R611"/>
      <c r="S611"/>
      <c r="T611"/>
      <c r="U611"/>
      <c r="V611"/>
    </row>
    <row r="612" spans="1:22" x14ac:dyDescent="0.25">
      <c r="A612"/>
      <c r="B612" s="26" t="s">
        <v>256</v>
      </c>
      <c r="C612" s="283">
        <v>21</v>
      </c>
      <c r="D612" s="283"/>
      <c r="E612" s="283">
        <v>21</v>
      </c>
      <c r="F612"/>
      <c r="G612"/>
      <c r="H612"/>
      <c r="I612"/>
      <c r="J612"/>
      <c r="K612"/>
      <c r="L612"/>
      <c r="M612"/>
      <c r="N612"/>
      <c r="O612"/>
      <c r="P612"/>
      <c r="Q612"/>
      <c r="R612"/>
      <c r="S612"/>
      <c r="T612"/>
      <c r="U612"/>
      <c r="V612"/>
    </row>
    <row r="613" spans="1:22" x14ac:dyDescent="0.25">
      <c r="A613"/>
      <c r="B613" s="26" t="s">
        <v>257</v>
      </c>
      <c r="C613" s="283">
        <v>28</v>
      </c>
      <c r="D613" s="283">
        <v>11</v>
      </c>
      <c r="E613" s="283">
        <v>39</v>
      </c>
      <c r="F613"/>
      <c r="G613"/>
      <c r="H613"/>
      <c r="I613"/>
      <c r="J613"/>
      <c r="K613"/>
      <c r="L613"/>
      <c r="M613"/>
      <c r="N613"/>
      <c r="O613"/>
      <c r="P613"/>
      <c r="Q613"/>
      <c r="R613"/>
      <c r="S613"/>
      <c r="T613"/>
      <c r="U613"/>
      <c r="V613"/>
    </row>
    <row r="614" spans="1:22" x14ac:dyDescent="0.25">
      <c r="A614"/>
      <c r="B614" s="26" t="s">
        <v>258</v>
      </c>
      <c r="C614" s="283">
        <v>8</v>
      </c>
      <c r="D614" s="283"/>
      <c r="E614" s="283">
        <v>8</v>
      </c>
      <c r="F614"/>
      <c r="G614"/>
      <c r="H614"/>
      <c r="I614"/>
      <c r="J614"/>
      <c r="K614"/>
      <c r="L614"/>
      <c r="M614"/>
      <c r="N614"/>
      <c r="O614"/>
      <c r="P614"/>
      <c r="Q614"/>
      <c r="R614"/>
      <c r="S614"/>
      <c r="T614"/>
      <c r="U614"/>
      <c r="V614"/>
    </row>
    <row r="615" spans="1:22" x14ac:dyDescent="0.25">
      <c r="A615"/>
      <c r="B615" s="26" t="s">
        <v>259</v>
      </c>
      <c r="C615" s="283">
        <v>16</v>
      </c>
      <c r="D615" s="283">
        <v>15</v>
      </c>
      <c r="E615" s="283">
        <v>31</v>
      </c>
      <c r="F615"/>
      <c r="G615"/>
      <c r="H615"/>
      <c r="I615"/>
      <c r="J615"/>
      <c r="K615"/>
      <c r="L615"/>
      <c r="M615"/>
      <c r="N615"/>
      <c r="O615"/>
      <c r="P615"/>
      <c r="Q615"/>
      <c r="R615"/>
      <c r="S615"/>
      <c r="T615"/>
      <c r="U615"/>
      <c r="V615"/>
    </row>
    <row r="616" spans="1:22" x14ac:dyDescent="0.25">
      <c r="A616"/>
      <c r="B616" s="26" t="s">
        <v>260</v>
      </c>
      <c r="C616" s="283">
        <v>7</v>
      </c>
      <c r="D616" s="283">
        <v>5</v>
      </c>
      <c r="E616" s="283">
        <v>12</v>
      </c>
      <c r="F616"/>
      <c r="G616"/>
      <c r="H616"/>
      <c r="I616"/>
      <c r="J616"/>
      <c r="K616"/>
      <c r="L616"/>
      <c r="M616"/>
      <c r="N616"/>
      <c r="O616"/>
      <c r="P616"/>
      <c r="Q616"/>
      <c r="R616"/>
      <c r="S616"/>
      <c r="T616"/>
      <c r="U616"/>
      <c r="V616"/>
    </row>
    <row r="617" spans="1:22" x14ac:dyDescent="0.25">
      <c r="A617"/>
      <c r="B617" s="26" t="s">
        <v>265</v>
      </c>
      <c r="C617" s="283">
        <v>1</v>
      </c>
      <c r="D617" s="283">
        <v>19</v>
      </c>
      <c r="E617" s="283">
        <v>20</v>
      </c>
      <c r="F617"/>
      <c r="G617"/>
      <c r="H617"/>
      <c r="I617"/>
      <c r="J617"/>
      <c r="K617"/>
      <c r="L617"/>
      <c r="M617"/>
      <c r="N617"/>
      <c r="O617"/>
      <c r="P617"/>
      <c r="Q617"/>
      <c r="R617"/>
      <c r="S617"/>
      <c r="T617"/>
      <c r="U617"/>
      <c r="V617"/>
    </row>
    <row r="618" spans="1:22" x14ac:dyDescent="0.25">
      <c r="A618"/>
      <c r="B618" s="26" t="s">
        <v>266</v>
      </c>
      <c r="C618" s="283">
        <v>11</v>
      </c>
      <c r="D618" s="283">
        <v>1</v>
      </c>
      <c r="E618" s="283">
        <v>12</v>
      </c>
      <c r="F618"/>
      <c r="G618"/>
      <c r="H618"/>
      <c r="I618"/>
      <c r="J618"/>
      <c r="K618"/>
      <c r="L618"/>
      <c r="M618"/>
      <c r="N618"/>
      <c r="O618"/>
      <c r="P618"/>
      <c r="Q618"/>
      <c r="R618"/>
      <c r="S618"/>
      <c r="T618"/>
      <c r="U618"/>
      <c r="V618"/>
    </row>
    <row r="619" spans="1:22" x14ac:dyDescent="0.25">
      <c r="A619"/>
      <c r="B619" s="26" t="s">
        <v>267</v>
      </c>
      <c r="C619" s="283">
        <v>5</v>
      </c>
      <c r="D619" s="283">
        <v>6</v>
      </c>
      <c r="E619" s="283">
        <v>11</v>
      </c>
      <c r="F619"/>
      <c r="G619"/>
      <c r="H619"/>
      <c r="I619"/>
      <c r="J619"/>
      <c r="K619"/>
      <c r="L619"/>
      <c r="M619"/>
      <c r="N619"/>
      <c r="O619"/>
      <c r="P619"/>
      <c r="Q619"/>
      <c r="R619"/>
      <c r="S619"/>
      <c r="T619"/>
      <c r="U619"/>
      <c r="V619"/>
    </row>
    <row r="620" spans="1:22" x14ac:dyDescent="0.25">
      <c r="A620"/>
      <c r="B620" s="26" t="s">
        <v>268</v>
      </c>
      <c r="C620" s="283">
        <v>3</v>
      </c>
      <c r="D620" s="283">
        <v>1</v>
      </c>
      <c r="E620" s="283">
        <v>4</v>
      </c>
      <c r="F620"/>
      <c r="G620"/>
      <c r="H620"/>
      <c r="I620"/>
      <c r="J620"/>
      <c r="K620"/>
      <c r="L620"/>
      <c r="M620"/>
      <c r="N620"/>
      <c r="O620"/>
      <c r="P620"/>
      <c r="Q620"/>
      <c r="R620"/>
      <c r="S620"/>
      <c r="T620"/>
      <c r="U620"/>
      <c r="V620"/>
    </row>
    <row r="621" spans="1:22" x14ac:dyDescent="0.25">
      <c r="A621"/>
      <c r="B621" s="26" t="s">
        <v>313</v>
      </c>
      <c r="C621" s="283">
        <v>5</v>
      </c>
      <c r="D621" s="283">
        <v>4</v>
      </c>
      <c r="E621" s="283">
        <v>9</v>
      </c>
      <c r="F621"/>
      <c r="G621"/>
      <c r="H621"/>
      <c r="I621"/>
      <c r="J621"/>
      <c r="K621"/>
      <c r="L621"/>
      <c r="M621"/>
      <c r="N621"/>
      <c r="O621"/>
      <c r="P621"/>
      <c r="Q621"/>
      <c r="R621"/>
      <c r="S621"/>
      <c r="T621"/>
      <c r="U621"/>
      <c r="V621"/>
    </row>
    <row r="622" spans="1:22" x14ac:dyDescent="0.25">
      <c r="A622"/>
      <c r="B622" s="26" t="s">
        <v>73</v>
      </c>
      <c r="C622" s="283">
        <v>105</v>
      </c>
      <c r="D622" s="283">
        <v>62</v>
      </c>
      <c r="E622" s="283">
        <v>167</v>
      </c>
      <c r="F622"/>
      <c r="G622"/>
      <c r="H622"/>
      <c r="I622"/>
      <c r="J622"/>
      <c r="K622"/>
      <c r="L622"/>
      <c r="M622"/>
      <c r="N622"/>
      <c r="O622"/>
      <c r="P622"/>
      <c r="Q622"/>
      <c r="R622"/>
      <c r="S622"/>
      <c r="T622"/>
      <c r="U622"/>
      <c r="V622"/>
    </row>
    <row r="623" spans="1:22" x14ac:dyDescent="0.25">
      <c r="A623"/>
      <c r="B623"/>
      <c r="C623"/>
      <c r="D623"/>
      <c r="E623"/>
      <c r="F623"/>
      <c r="G623"/>
      <c r="H623"/>
      <c r="I623"/>
      <c r="J623"/>
      <c r="K623"/>
      <c r="L623"/>
      <c r="M623"/>
      <c r="N623"/>
      <c r="O623"/>
      <c r="P623"/>
      <c r="Q623"/>
      <c r="R623"/>
      <c r="S623"/>
      <c r="T623"/>
      <c r="U623"/>
      <c r="V623"/>
    </row>
    <row r="624" spans="1:22" x14ac:dyDescent="0.25">
      <c r="A624"/>
      <c r="B624"/>
      <c r="C624"/>
      <c r="D624"/>
      <c r="E624"/>
      <c r="F624"/>
      <c r="G624"/>
      <c r="H624"/>
      <c r="I624"/>
      <c r="J624"/>
      <c r="K624"/>
      <c r="L624"/>
      <c r="M624"/>
      <c r="N624"/>
      <c r="O624"/>
      <c r="P624"/>
      <c r="Q624"/>
      <c r="R624"/>
      <c r="S624"/>
      <c r="T624"/>
      <c r="U624"/>
      <c r="V624"/>
    </row>
    <row r="625" spans="1:22" x14ac:dyDescent="0.25">
      <c r="A625"/>
      <c r="B625"/>
      <c r="C625"/>
      <c r="D625"/>
      <c r="E625"/>
      <c r="F625"/>
      <c r="G625"/>
      <c r="H625"/>
      <c r="I625"/>
      <c r="J625"/>
      <c r="K625"/>
      <c r="L625"/>
      <c r="M625"/>
      <c r="N625"/>
      <c r="O625"/>
      <c r="P625"/>
      <c r="Q625"/>
      <c r="R625"/>
      <c r="S625"/>
      <c r="T625"/>
      <c r="U625"/>
      <c r="V625"/>
    </row>
    <row r="626" spans="1:22" x14ac:dyDescent="0.25">
      <c r="A626"/>
      <c r="B626"/>
      <c r="C626"/>
      <c r="D626"/>
      <c r="E626"/>
      <c r="F626"/>
      <c r="G626"/>
      <c r="H626"/>
      <c r="I626"/>
      <c r="J626"/>
      <c r="K626"/>
      <c r="L626"/>
      <c r="M626"/>
      <c r="N626"/>
      <c r="O626"/>
      <c r="P626"/>
      <c r="Q626"/>
      <c r="R626"/>
      <c r="S626"/>
      <c r="T626"/>
      <c r="U626"/>
      <c r="V626"/>
    </row>
    <row r="627" spans="1:22" x14ac:dyDescent="0.25">
      <c r="A627"/>
      <c r="B627" s="29" t="s">
        <v>3</v>
      </c>
      <c r="C627" t="s">
        <v>74</v>
      </c>
      <c r="D627"/>
      <c r="E627"/>
      <c r="F627"/>
      <c r="G627"/>
      <c r="H627"/>
      <c r="I627"/>
      <c r="J627"/>
      <c r="K627"/>
      <c r="L627"/>
      <c r="M627"/>
      <c r="N627"/>
      <c r="O627"/>
      <c r="P627"/>
      <c r="Q627"/>
      <c r="R627"/>
      <c r="S627"/>
      <c r="T627"/>
      <c r="U627"/>
      <c r="V627"/>
    </row>
    <row r="628" spans="1:22" x14ac:dyDescent="0.25">
      <c r="A628"/>
      <c r="B628" s="29" t="s">
        <v>255</v>
      </c>
      <c r="C628" t="s">
        <v>74</v>
      </c>
      <c r="E628"/>
      <c r="F628"/>
      <c r="G628"/>
      <c r="H628"/>
      <c r="I628"/>
      <c r="J628"/>
      <c r="K628"/>
      <c r="L628"/>
      <c r="M628"/>
      <c r="N628"/>
      <c r="O628"/>
      <c r="P628"/>
      <c r="Q628"/>
      <c r="R628"/>
      <c r="S628"/>
      <c r="T628"/>
      <c r="U628"/>
      <c r="V628"/>
    </row>
    <row r="629" spans="1:22" x14ac:dyDescent="0.25">
      <c r="A629"/>
      <c r="E629"/>
      <c r="F629"/>
      <c r="G629"/>
      <c r="H629"/>
      <c r="I629"/>
      <c r="J629"/>
      <c r="K629"/>
      <c r="L629"/>
      <c r="M629"/>
      <c r="N629"/>
      <c r="O629"/>
      <c r="P629"/>
      <c r="Q629"/>
      <c r="R629"/>
      <c r="S629"/>
      <c r="T629"/>
      <c r="U629"/>
      <c r="V629"/>
    </row>
    <row r="630" spans="1:22" x14ac:dyDescent="0.25">
      <c r="A630"/>
      <c r="B630" s="29" t="s">
        <v>237</v>
      </c>
      <c r="C630" s="29" t="s">
        <v>248</v>
      </c>
      <c r="D630"/>
      <c r="E630"/>
      <c r="F630"/>
      <c r="G630"/>
      <c r="H630"/>
      <c r="I630"/>
      <c r="J630"/>
      <c r="K630"/>
      <c r="L630"/>
      <c r="M630"/>
      <c r="N630"/>
      <c r="O630"/>
      <c r="P630"/>
      <c r="Q630"/>
      <c r="R630"/>
      <c r="S630"/>
      <c r="T630"/>
      <c r="U630"/>
      <c r="V630"/>
    </row>
    <row r="631" spans="1:22" x14ac:dyDescent="0.25">
      <c r="A631"/>
      <c r="B631" s="29" t="s">
        <v>236</v>
      </c>
      <c r="C631" t="s">
        <v>645</v>
      </c>
      <c r="D631" t="s">
        <v>646</v>
      </c>
      <c r="E631" t="s">
        <v>73</v>
      </c>
      <c r="F631"/>
      <c r="G631"/>
      <c r="H631"/>
      <c r="I631"/>
      <c r="J631"/>
      <c r="K631"/>
      <c r="L631"/>
      <c r="M631"/>
      <c r="N631"/>
      <c r="O631"/>
      <c r="P631"/>
      <c r="Q631"/>
      <c r="R631"/>
      <c r="S631"/>
      <c r="T631"/>
      <c r="U631"/>
      <c r="V631"/>
    </row>
    <row r="632" spans="1:22" x14ac:dyDescent="0.25">
      <c r="A632"/>
      <c r="B632" s="26" t="s">
        <v>213</v>
      </c>
      <c r="C632" s="283">
        <v>27731</v>
      </c>
      <c r="D632" s="283">
        <v>20154</v>
      </c>
      <c r="E632" s="283">
        <v>47885</v>
      </c>
      <c r="F632"/>
      <c r="G632"/>
      <c r="H632"/>
      <c r="I632"/>
      <c r="J632"/>
      <c r="K632"/>
      <c r="L632"/>
      <c r="M632"/>
      <c r="N632"/>
      <c r="O632"/>
      <c r="P632"/>
      <c r="Q632"/>
      <c r="R632"/>
      <c r="S632"/>
      <c r="T632"/>
      <c r="U632"/>
      <c r="V632"/>
    </row>
    <row r="633" spans="1:22" x14ac:dyDescent="0.25">
      <c r="A633"/>
      <c r="B633" s="26" t="s">
        <v>221</v>
      </c>
      <c r="C633" s="283">
        <v>13103</v>
      </c>
      <c r="D633" s="283">
        <v>23650</v>
      </c>
      <c r="E633" s="283">
        <v>36753</v>
      </c>
      <c r="F633"/>
      <c r="G633"/>
      <c r="H633"/>
      <c r="I633"/>
      <c r="J633"/>
      <c r="K633"/>
      <c r="L633"/>
      <c r="M633"/>
      <c r="N633"/>
      <c r="O633"/>
      <c r="P633"/>
      <c r="Q633"/>
      <c r="R633"/>
      <c r="S633"/>
      <c r="T633"/>
      <c r="U633"/>
      <c r="V633"/>
    </row>
    <row r="634" spans="1:22" x14ac:dyDescent="0.25">
      <c r="A634"/>
      <c r="B634" s="26" t="s">
        <v>73</v>
      </c>
      <c r="C634" s="283">
        <v>40834</v>
      </c>
      <c r="D634" s="283">
        <v>43804</v>
      </c>
      <c r="E634" s="283">
        <v>84638</v>
      </c>
      <c r="F634"/>
      <c r="G634"/>
      <c r="H634"/>
      <c r="I634"/>
      <c r="J634"/>
      <c r="K634"/>
      <c r="L634"/>
      <c r="M634"/>
      <c r="N634"/>
      <c r="O634"/>
      <c r="P634"/>
      <c r="Q634"/>
      <c r="R634"/>
      <c r="S634"/>
      <c r="T634"/>
      <c r="U634"/>
      <c r="V634"/>
    </row>
    <row r="635" spans="1:22" x14ac:dyDescent="0.25">
      <c r="A635"/>
      <c r="B635"/>
      <c r="C635"/>
      <c r="D635"/>
      <c r="E635"/>
      <c r="F635"/>
      <c r="G635"/>
      <c r="H635"/>
      <c r="I635"/>
      <c r="J635"/>
      <c r="K635"/>
      <c r="L635"/>
      <c r="M635"/>
      <c r="N635"/>
      <c r="O635"/>
      <c r="P635"/>
      <c r="Q635"/>
      <c r="R635"/>
      <c r="S635"/>
      <c r="T635"/>
      <c r="U635"/>
      <c r="V635"/>
    </row>
    <row r="636" spans="1:22" x14ac:dyDescent="0.25">
      <c r="A636"/>
      <c r="B636"/>
      <c r="C636"/>
      <c r="D636"/>
      <c r="E636"/>
      <c r="F636"/>
      <c r="G636"/>
      <c r="H636"/>
      <c r="I636"/>
      <c r="J636"/>
      <c r="K636"/>
      <c r="L636"/>
      <c r="M636"/>
      <c r="N636"/>
      <c r="O636"/>
      <c r="P636"/>
      <c r="Q636"/>
      <c r="R636"/>
      <c r="S636"/>
      <c r="T636"/>
      <c r="U636"/>
      <c r="V636"/>
    </row>
    <row r="637" spans="1:22" x14ac:dyDescent="0.25">
      <c r="A637"/>
      <c r="B637"/>
      <c r="C637"/>
      <c r="D637"/>
      <c r="E637"/>
      <c r="F637"/>
      <c r="G637"/>
      <c r="H637"/>
      <c r="I637"/>
      <c r="J637"/>
      <c r="K637"/>
      <c r="L637"/>
      <c r="M637"/>
      <c r="N637"/>
      <c r="O637"/>
      <c r="P637"/>
      <c r="Q637"/>
      <c r="R637"/>
      <c r="S637"/>
      <c r="T637"/>
      <c r="U637"/>
      <c r="V637"/>
    </row>
    <row r="638" spans="1:22" x14ac:dyDescent="0.25">
      <c r="A638"/>
      <c r="B638"/>
      <c r="C638"/>
      <c r="D638"/>
      <c r="E638"/>
      <c r="F638"/>
      <c r="G638"/>
      <c r="H638"/>
      <c r="I638"/>
      <c r="J638"/>
      <c r="K638"/>
      <c r="L638"/>
      <c r="M638"/>
      <c r="N638"/>
      <c r="O638"/>
      <c r="P638"/>
      <c r="Q638"/>
      <c r="R638"/>
      <c r="S638"/>
      <c r="T638"/>
      <c r="U638"/>
      <c r="V638"/>
    </row>
    <row r="639" spans="1:22" x14ac:dyDescent="0.25">
      <c r="A639"/>
      <c r="B639"/>
      <c r="C639"/>
      <c r="D639"/>
      <c r="E639"/>
      <c r="F639"/>
      <c r="G639"/>
      <c r="H639"/>
      <c r="I639"/>
      <c r="J639"/>
      <c r="K639"/>
      <c r="L639"/>
      <c r="M639"/>
      <c r="N639"/>
      <c r="O639"/>
      <c r="P639"/>
      <c r="Q639"/>
      <c r="R639"/>
      <c r="S639"/>
      <c r="T639"/>
      <c r="U639"/>
      <c r="V639"/>
    </row>
    <row r="640" spans="1:22" x14ac:dyDescent="0.25">
      <c r="A640"/>
      <c r="B640"/>
      <c r="C640"/>
      <c r="D640"/>
      <c r="E640"/>
      <c r="F640"/>
      <c r="G640"/>
      <c r="H640"/>
      <c r="I640"/>
      <c r="J640"/>
      <c r="K640"/>
      <c r="L640"/>
      <c r="M640"/>
      <c r="N640"/>
      <c r="O640"/>
      <c r="P640"/>
      <c r="Q640"/>
      <c r="R640"/>
      <c r="S640"/>
      <c r="T640"/>
      <c r="U640"/>
      <c r="V640"/>
    </row>
    <row r="641" spans="1:22" x14ac:dyDescent="0.25">
      <c r="A641"/>
      <c r="B641"/>
      <c r="C641"/>
      <c r="D641"/>
      <c r="E641"/>
      <c r="F641"/>
      <c r="G641"/>
      <c r="H641"/>
      <c r="I641"/>
      <c r="J641"/>
      <c r="K641"/>
      <c r="L641"/>
      <c r="M641"/>
      <c r="N641"/>
      <c r="O641"/>
      <c r="P641"/>
      <c r="Q641"/>
      <c r="R641"/>
      <c r="S641"/>
      <c r="T641"/>
      <c r="U641"/>
      <c r="V641"/>
    </row>
    <row r="642" spans="1:22" x14ac:dyDescent="0.25">
      <c r="A642"/>
      <c r="B642" s="29" t="s">
        <v>3</v>
      </c>
      <c r="C642" t="s">
        <v>74</v>
      </c>
      <c r="D642"/>
      <c r="E642"/>
      <c r="F642"/>
      <c r="G642"/>
      <c r="H642"/>
      <c r="I642"/>
      <c r="J642"/>
      <c r="K642"/>
      <c r="L642"/>
      <c r="M642"/>
      <c r="N642"/>
      <c r="O642"/>
      <c r="P642"/>
      <c r="Q642"/>
      <c r="R642"/>
      <c r="S642"/>
      <c r="T642"/>
      <c r="U642"/>
      <c r="V642"/>
    </row>
    <row r="643" spans="1:22" x14ac:dyDescent="0.25">
      <c r="A643"/>
      <c r="B643" s="29" t="s">
        <v>255</v>
      </c>
      <c r="C643" t="s">
        <v>74</v>
      </c>
      <c r="D643"/>
      <c r="E643"/>
      <c r="F643"/>
      <c r="G643"/>
      <c r="H643"/>
      <c r="I643"/>
      <c r="J643"/>
      <c r="K643"/>
      <c r="L643"/>
      <c r="M643"/>
      <c r="N643"/>
      <c r="O643"/>
      <c r="P643"/>
      <c r="Q643"/>
      <c r="R643"/>
      <c r="S643"/>
      <c r="T643"/>
      <c r="U643"/>
      <c r="V643"/>
    </row>
    <row r="644" spans="1:22" x14ac:dyDescent="0.25">
      <c r="A644"/>
      <c r="B644" s="29" t="s">
        <v>4</v>
      </c>
      <c r="C644" t="s">
        <v>74</v>
      </c>
      <c r="E644"/>
      <c r="F644"/>
      <c r="G644"/>
      <c r="H644"/>
      <c r="I644"/>
      <c r="J644"/>
      <c r="K644"/>
      <c r="L644"/>
      <c r="M644"/>
      <c r="N644"/>
      <c r="O644"/>
      <c r="P644"/>
      <c r="Q644"/>
      <c r="R644"/>
      <c r="S644"/>
      <c r="T644"/>
      <c r="U644"/>
      <c r="V644"/>
    </row>
    <row r="645" spans="1:22" x14ac:dyDescent="0.25">
      <c r="A645"/>
      <c r="E645"/>
      <c r="F645"/>
      <c r="G645"/>
      <c r="H645"/>
      <c r="I645"/>
      <c r="J645"/>
      <c r="K645"/>
      <c r="L645"/>
      <c r="M645"/>
      <c r="N645"/>
      <c r="O645"/>
      <c r="P645"/>
      <c r="Q645"/>
      <c r="R645"/>
      <c r="S645"/>
      <c r="T645"/>
      <c r="U645"/>
      <c r="V645"/>
    </row>
    <row r="646" spans="1:22" x14ac:dyDescent="0.25">
      <c r="A646"/>
      <c r="B646" s="29" t="s">
        <v>237</v>
      </c>
      <c r="C646" s="29" t="s">
        <v>248</v>
      </c>
      <c r="D646"/>
      <c r="E646"/>
      <c r="F646"/>
      <c r="G646"/>
      <c r="H646"/>
      <c r="I646"/>
      <c r="J646"/>
      <c r="K646"/>
      <c r="L646"/>
      <c r="M646"/>
      <c r="N646"/>
      <c r="O646"/>
      <c r="P646"/>
      <c r="Q646"/>
      <c r="R646"/>
      <c r="S646"/>
      <c r="T646"/>
      <c r="U646"/>
      <c r="V646"/>
    </row>
    <row r="647" spans="1:22" x14ac:dyDescent="0.25">
      <c r="A647"/>
      <c r="B647" s="29" t="s">
        <v>236</v>
      </c>
      <c r="C647" t="s">
        <v>645</v>
      </c>
      <c r="D647" t="s">
        <v>646</v>
      </c>
      <c r="E647" t="s">
        <v>73</v>
      </c>
      <c r="F647"/>
      <c r="G647"/>
      <c r="H647"/>
      <c r="I647"/>
      <c r="J647"/>
      <c r="K647"/>
      <c r="L647"/>
      <c r="M647"/>
      <c r="N647"/>
      <c r="O647"/>
      <c r="P647"/>
      <c r="Q647"/>
      <c r="R647"/>
      <c r="S647"/>
      <c r="T647"/>
      <c r="U647"/>
      <c r="V647"/>
    </row>
    <row r="648" spans="1:22" x14ac:dyDescent="0.25">
      <c r="A648"/>
      <c r="B648" s="26" t="s">
        <v>175</v>
      </c>
      <c r="C648" s="283">
        <v>2196</v>
      </c>
      <c r="D648" s="283">
        <v>6040</v>
      </c>
      <c r="E648" s="283">
        <v>8236</v>
      </c>
      <c r="F648"/>
      <c r="G648"/>
      <c r="H648"/>
      <c r="I648"/>
      <c r="J648"/>
      <c r="K648"/>
      <c r="L648"/>
      <c r="M648"/>
      <c r="N648"/>
      <c r="O648"/>
      <c r="P648"/>
      <c r="Q648"/>
      <c r="R648"/>
      <c r="S648"/>
      <c r="T648"/>
      <c r="U648"/>
      <c r="V648"/>
    </row>
    <row r="649" spans="1:22" x14ac:dyDescent="0.25">
      <c r="A649"/>
      <c r="B649" s="26" t="s">
        <v>104</v>
      </c>
      <c r="C649" s="283">
        <v>1646</v>
      </c>
      <c r="D649" s="283">
        <v>918</v>
      </c>
      <c r="E649" s="283">
        <v>2564</v>
      </c>
      <c r="F649"/>
      <c r="G649"/>
      <c r="H649"/>
      <c r="I649"/>
      <c r="J649"/>
      <c r="K649"/>
      <c r="L649"/>
      <c r="M649"/>
      <c r="N649"/>
      <c r="O649"/>
      <c r="P649"/>
      <c r="Q649"/>
      <c r="R649"/>
      <c r="S649"/>
      <c r="T649"/>
      <c r="U649"/>
      <c r="V649"/>
    </row>
    <row r="650" spans="1:22" x14ac:dyDescent="0.25">
      <c r="A650"/>
      <c r="B650" s="26" t="s">
        <v>107</v>
      </c>
      <c r="C650" s="283">
        <v>3649</v>
      </c>
      <c r="D650" s="283"/>
      <c r="E650" s="283">
        <v>3649</v>
      </c>
      <c r="F650"/>
      <c r="G650"/>
      <c r="H650"/>
      <c r="I650"/>
      <c r="J650"/>
      <c r="K650"/>
      <c r="L650"/>
      <c r="M650"/>
      <c r="N650"/>
      <c r="O650"/>
      <c r="P650"/>
      <c r="Q650"/>
      <c r="R650"/>
      <c r="S650"/>
      <c r="T650"/>
      <c r="U650"/>
      <c r="V650"/>
    </row>
    <row r="651" spans="1:22" x14ac:dyDescent="0.25">
      <c r="A651"/>
      <c r="B651" s="26" t="s">
        <v>124</v>
      </c>
      <c r="C651" s="283"/>
      <c r="D651" s="283">
        <v>17</v>
      </c>
      <c r="E651" s="283">
        <v>17</v>
      </c>
      <c r="F651"/>
      <c r="G651"/>
      <c r="H651"/>
      <c r="I651"/>
      <c r="J651"/>
      <c r="K651"/>
      <c r="L651"/>
      <c r="M651"/>
      <c r="N651"/>
      <c r="O651"/>
      <c r="P651"/>
      <c r="Q651"/>
      <c r="R651"/>
      <c r="S651"/>
      <c r="T651"/>
      <c r="U651"/>
      <c r="V651"/>
    </row>
    <row r="652" spans="1:22" x14ac:dyDescent="0.25">
      <c r="A652"/>
      <c r="B652" s="26" t="s">
        <v>200</v>
      </c>
      <c r="C652" s="283">
        <v>1612</v>
      </c>
      <c r="D652" s="283">
        <v>1604</v>
      </c>
      <c r="E652" s="283">
        <v>3216</v>
      </c>
      <c r="F652"/>
      <c r="G652"/>
      <c r="H652"/>
      <c r="I652"/>
      <c r="J652"/>
      <c r="K652"/>
      <c r="L652"/>
      <c r="M652"/>
      <c r="N652"/>
      <c r="O652"/>
      <c r="P652"/>
      <c r="Q652"/>
      <c r="R652"/>
      <c r="S652"/>
      <c r="T652"/>
      <c r="U652"/>
      <c r="V652"/>
    </row>
    <row r="653" spans="1:22" x14ac:dyDescent="0.25">
      <c r="A653"/>
      <c r="B653" s="26" t="s">
        <v>181</v>
      </c>
      <c r="C653" s="283">
        <v>4525</v>
      </c>
      <c r="D653" s="283">
        <v>6909</v>
      </c>
      <c r="E653" s="283">
        <v>11434</v>
      </c>
      <c r="F653"/>
      <c r="G653"/>
      <c r="H653"/>
      <c r="I653"/>
      <c r="J653"/>
      <c r="K653"/>
      <c r="L653"/>
      <c r="M653"/>
      <c r="N653"/>
      <c r="O653"/>
      <c r="P653"/>
      <c r="Q653"/>
      <c r="R653"/>
      <c r="S653"/>
      <c r="T653"/>
      <c r="U653"/>
      <c r="V653"/>
    </row>
    <row r="654" spans="1:22" x14ac:dyDescent="0.25">
      <c r="A654"/>
      <c r="B654" s="26" t="s">
        <v>182</v>
      </c>
      <c r="C654" s="283">
        <v>341</v>
      </c>
      <c r="D654" s="283">
        <v>446</v>
      </c>
      <c r="E654" s="283">
        <v>787</v>
      </c>
      <c r="F654"/>
      <c r="G654"/>
      <c r="H654"/>
      <c r="I654"/>
      <c r="J654"/>
      <c r="K654"/>
      <c r="L654"/>
      <c r="M654"/>
      <c r="N654"/>
      <c r="O654"/>
      <c r="P654"/>
      <c r="Q654"/>
      <c r="R654"/>
      <c r="S654"/>
      <c r="T654"/>
      <c r="U654"/>
      <c r="V654"/>
    </row>
    <row r="655" spans="1:22" x14ac:dyDescent="0.25">
      <c r="A655"/>
      <c r="B655" s="26" t="s">
        <v>220</v>
      </c>
      <c r="C655" s="283">
        <v>330</v>
      </c>
      <c r="D655" s="283"/>
      <c r="E655" s="283">
        <v>330</v>
      </c>
      <c r="F655"/>
      <c r="G655"/>
      <c r="H655"/>
      <c r="I655"/>
      <c r="J655"/>
      <c r="K655"/>
      <c r="L655"/>
      <c r="M655"/>
      <c r="N655"/>
      <c r="O655"/>
      <c r="P655"/>
      <c r="Q655"/>
      <c r="R655"/>
      <c r="S655"/>
      <c r="T655"/>
      <c r="U655"/>
      <c r="V655"/>
    </row>
    <row r="656" spans="1:22" x14ac:dyDescent="0.25">
      <c r="A656"/>
      <c r="B656" s="26" t="s">
        <v>129</v>
      </c>
      <c r="C656" s="283">
        <v>136</v>
      </c>
      <c r="D656" s="283"/>
      <c r="E656" s="283">
        <v>136</v>
      </c>
      <c r="F656"/>
      <c r="G656"/>
      <c r="H656"/>
      <c r="I656"/>
      <c r="J656"/>
      <c r="K656"/>
      <c r="L656"/>
      <c r="M656"/>
      <c r="N656"/>
      <c r="O656"/>
      <c r="P656"/>
      <c r="Q656"/>
      <c r="R656"/>
      <c r="S656"/>
      <c r="T656"/>
      <c r="U656"/>
      <c r="V656"/>
    </row>
    <row r="657" spans="1:22" x14ac:dyDescent="0.25">
      <c r="A657"/>
      <c r="B657" s="26" t="s">
        <v>183</v>
      </c>
      <c r="C657" s="283">
        <v>5644</v>
      </c>
      <c r="D657" s="283">
        <v>16461</v>
      </c>
      <c r="E657" s="283">
        <v>22105</v>
      </c>
      <c r="F657"/>
      <c r="G657"/>
      <c r="H657"/>
      <c r="I657"/>
      <c r="J657"/>
      <c r="K657"/>
      <c r="L657"/>
      <c r="M657"/>
      <c r="N657"/>
      <c r="O657"/>
      <c r="P657"/>
      <c r="Q657"/>
      <c r="R657"/>
      <c r="S657"/>
      <c r="T657"/>
      <c r="U657"/>
      <c r="V657"/>
    </row>
    <row r="658" spans="1:22" x14ac:dyDescent="0.25">
      <c r="A658"/>
      <c r="B658" s="26" t="s">
        <v>209</v>
      </c>
      <c r="C658" s="283">
        <v>294</v>
      </c>
      <c r="D658" s="283">
        <v>127</v>
      </c>
      <c r="E658" s="283">
        <v>421</v>
      </c>
      <c r="F658"/>
      <c r="G658"/>
      <c r="H658"/>
      <c r="I658"/>
      <c r="J658"/>
      <c r="K658"/>
      <c r="L658"/>
      <c r="M658"/>
      <c r="N658"/>
      <c r="O658"/>
      <c r="P658"/>
      <c r="Q658"/>
      <c r="R658"/>
      <c r="S658"/>
      <c r="T658"/>
      <c r="U658"/>
      <c r="V658"/>
    </row>
    <row r="659" spans="1:22" x14ac:dyDescent="0.25">
      <c r="A659"/>
      <c r="B659" s="26" t="s">
        <v>131</v>
      </c>
      <c r="C659" s="283">
        <v>3946</v>
      </c>
      <c r="D659" s="283">
        <v>2177</v>
      </c>
      <c r="E659" s="283">
        <v>6123</v>
      </c>
      <c r="F659"/>
      <c r="G659"/>
      <c r="H659"/>
      <c r="I659"/>
      <c r="J659"/>
      <c r="K659"/>
      <c r="L659"/>
      <c r="M659"/>
      <c r="N659"/>
      <c r="O659"/>
      <c r="P659"/>
      <c r="Q659"/>
      <c r="R659"/>
      <c r="S659"/>
      <c r="T659"/>
      <c r="U659"/>
      <c r="V659"/>
    </row>
    <row r="660" spans="1:22" x14ac:dyDescent="0.25">
      <c r="A660"/>
      <c r="B660" s="26" t="s">
        <v>466</v>
      </c>
      <c r="C660" s="283">
        <v>1682</v>
      </c>
      <c r="D660" s="283"/>
      <c r="E660" s="283">
        <v>1682</v>
      </c>
      <c r="F660"/>
      <c r="G660"/>
      <c r="H660"/>
      <c r="I660"/>
      <c r="J660"/>
      <c r="K660"/>
      <c r="L660"/>
      <c r="M660"/>
      <c r="N660"/>
      <c r="O660"/>
      <c r="P660"/>
      <c r="Q660"/>
      <c r="R660"/>
      <c r="S660"/>
      <c r="T660"/>
      <c r="U660"/>
      <c r="V660"/>
    </row>
    <row r="661" spans="1:22" x14ac:dyDescent="0.25">
      <c r="A661"/>
      <c r="B661" s="26" t="s">
        <v>227</v>
      </c>
      <c r="C661" s="283">
        <v>40</v>
      </c>
      <c r="D661" s="283"/>
      <c r="E661" s="283">
        <v>40</v>
      </c>
      <c r="F661"/>
      <c r="G661"/>
      <c r="H661"/>
      <c r="I661"/>
      <c r="J661"/>
      <c r="K661"/>
      <c r="L661"/>
      <c r="M661"/>
      <c r="N661"/>
      <c r="P661"/>
      <c r="Q661"/>
      <c r="R661"/>
      <c r="S661"/>
      <c r="T661"/>
      <c r="U661"/>
      <c r="V661"/>
    </row>
    <row r="662" spans="1:22" x14ac:dyDescent="0.25">
      <c r="A662"/>
      <c r="B662" s="26" t="s">
        <v>219</v>
      </c>
      <c r="C662" s="283">
        <v>310</v>
      </c>
      <c r="D662" s="283">
        <v>116</v>
      </c>
      <c r="E662" s="283">
        <v>426</v>
      </c>
      <c r="F662"/>
      <c r="G662"/>
      <c r="H662"/>
      <c r="I662"/>
      <c r="J662"/>
      <c r="K662"/>
      <c r="L662"/>
      <c r="M662"/>
      <c r="N662"/>
      <c r="P662"/>
      <c r="Q662"/>
      <c r="R662"/>
      <c r="S662"/>
      <c r="T662"/>
      <c r="U662"/>
      <c r="V662"/>
    </row>
    <row r="663" spans="1:22" x14ac:dyDescent="0.25">
      <c r="A663"/>
      <c r="B663" s="26" t="s">
        <v>218</v>
      </c>
      <c r="C663" s="283">
        <v>412</v>
      </c>
      <c r="D663" s="283">
        <v>40</v>
      </c>
      <c r="E663" s="283">
        <v>452</v>
      </c>
      <c r="F663"/>
      <c r="G663"/>
      <c r="H663"/>
      <c r="I663"/>
      <c r="J663"/>
      <c r="K663"/>
      <c r="L663"/>
      <c r="M663"/>
      <c r="N663"/>
      <c r="P663"/>
      <c r="Q663"/>
      <c r="R663"/>
      <c r="S663"/>
      <c r="T663"/>
      <c r="U663"/>
      <c r="V663"/>
    </row>
    <row r="664" spans="1:22" x14ac:dyDescent="0.25">
      <c r="A664"/>
      <c r="B664" s="26" t="s">
        <v>154</v>
      </c>
      <c r="C664" s="283">
        <v>13590</v>
      </c>
      <c r="D664" s="283">
        <v>8949</v>
      </c>
      <c r="E664" s="283">
        <v>22539</v>
      </c>
      <c r="F664"/>
      <c r="G664"/>
      <c r="H664"/>
      <c r="I664"/>
      <c r="J664"/>
      <c r="K664"/>
      <c r="L664"/>
      <c r="M664"/>
      <c r="N664"/>
      <c r="P664"/>
      <c r="Q664"/>
      <c r="R664"/>
      <c r="S664"/>
      <c r="T664"/>
      <c r="U664"/>
      <c r="V664"/>
    </row>
    <row r="665" spans="1:22" x14ac:dyDescent="0.25">
      <c r="B665" s="26" t="s">
        <v>730</v>
      </c>
      <c r="C665" s="283">
        <v>481</v>
      </c>
      <c r="D665" s="283"/>
      <c r="E665" s="283">
        <v>481</v>
      </c>
      <c r="F665"/>
      <c r="G665"/>
      <c r="H665"/>
      <c r="I665"/>
      <c r="J665"/>
      <c r="K665"/>
      <c r="L665"/>
      <c r="M665"/>
      <c r="N665"/>
      <c r="P665"/>
      <c r="Q665"/>
      <c r="R665"/>
      <c r="S665"/>
      <c r="T665"/>
      <c r="U665"/>
      <c r="V665"/>
    </row>
    <row r="666" spans="1:22" x14ac:dyDescent="0.25">
      <c r="B666" s="26" t="s">
        <v>73</v>
      </c>
      <c r="C666" s="283">
        <v>40834</v>
      </c>
      <c r="D666" s="283">
        <v>43804</v>
      </c>
      <c r="E666" s="283">
        <v>84638</v>
      </c>
      <c r="F666"/>
      <c r="G666"/>
      <c r="H666"/>
      <c r="I666"/>
      <c r="J666"/>
      <c r="K666"/>
      <c r="L666"/>
      <c r="M666"/>
      <c r="N666"/>
    </row>
    <row r="667" spans="1:22" x14ac:dyDescent="0.25">
      <c r="B667"/>
      <c r="C667"/>
      <c r="D667"/>
      <c r="E667"/>
      <c r="F667"/>
      <c r="G667"/>
      <c r="H667"/>
      <c r="I667"/>
      <c r="J667"/>
      <c r="K667"/>
      <c r="L667"/>
      <c r="M667"/>
      <c r="N667"/>
    </row>
    <row r="668" spans="1:22" x14ac:dyDescent="0.25">
      <c r="B668"/>
      <c r="C668"/>
      <c r="D668"/>
      <c r="E668"/>
      <c r="F668"/>
      <c r="G668"/>
      <c r="H668"/>
      <c r="I668"/>
      <c r="J668"/>
      <c r="K668"/>
      <c r="L668"/>
      <c r="M668"/>
      <c r="N668"/>
    </row>
    <row r="669" spans="1:22" x14ac:dyDescent="0.25">
      <c r="B669"/>
      <c r="C669"/>
      <c r="D669"/>
      <c r="E669"/>
      <c r="F669"/>
      <c r="G669"/>
      <c r="H669"/>
      <c r="I669"/>
      <c r="J669"/>
      <c r="K669"/>
      <c r="L669"/>
      <c r="M669"/>
      <c r="N669"/>
    </row>
    <row r="670" spans="1:22" x14ac:dyDescent="0.25">
      <c r="B670"/>
      <c r="E670" s="11"/>
    </row>
    <row r="671" spans="1:22" x14ac:dyDescent="0.25">
      <c r="B671"/>
      <c r="E671" s="11"/>
    </row>
    <row r="672" spans="1:22" x14ac:dyDescent="0.25">
      <c r="B672"/>
      <c r="E672" s="11"/>
    </row>
    <row r="673" spans="2:6" x14ac:dyDescent="0.25">
      <c r="B673"/>
      <c r="E673" s="11"/>
    </row>
    <row r="674" spans="2:6" x14ac:dyDescent="0.25">
      <c r="B674"/>
      <c r="C674" s="11"/>
      <c r="D674" s="11"/>
      <c r="E674" s="11"/>
    </row>
    <row r="675" spans="2:6" x14ac:dyDescent="0.25">
      <c r="B675"/>
      <c r="C675" s="11"/>
      <c r="D675" s="11"/>
      <c r="E675" s="11"/>
    </row>
    <row r="676" spans="2:6" x14ac:dyDescent="0.25">
      <c r="B676"/>
      <c r="C676" s="11"/>
      <c r="D676" s="11"/>
      <c r="E676" s="11"/>
    </row>
    <row r="677" spans="2:6" x14ac:dyDescent="0.25">
      <c r="B677"/>
      <c r="C677"/>
      <c r="D677"/>
      <c r="E677"/>
    </row>
    <row r="678" spans="2:6" x14ac:dyDescent="0.25">
      <c r="B678" s="29" t="s">
        <v>3</v>
      </c>
      <c r="C678" t="s">
        <v>74</v>
      </c>
      <c r="D678"/>
      <c r="E678"/>
    </row>
    <row r="679" spans="2:6" x14ac:dyDescent="0.25">
      <c r="B679" s="29" t="s">
        <v>255</v>
      </c>
      <c r="C679" t="s">
        <v>74</v>
      </c>
      <c r="E679"/>
    </row>
    <row r="680" spans="2:6" x14ac:dyDescent="0.25">
      <c r="E680"/>
    </row>
    <row r="681" spans="2:6" x14ac:dyDescent="0.25">
      <c r="B681" s="29" t="s">
        <v>647</v>
      </c>
      <c r="C681" s="29" t="s">
        <v>248</v>
      </c>
      <c r="D681"/>
      <c r="E681"/>
      <c r="F681"/>
    </row>
    <row r="682" spans="2:6" x14ac:dyDescent="0.25">
      <c r="B682" s="29" t="s">
        <v>236</v>
      </c>
      <c r="C682" t="s">
        <v>285</v>
      </c>
      <c r="D682" t="s">
        <v>254</v>
      </c>
      <c r="E682" t="s">
        <v>73</v>
      </c>
      <c r="F682"/>
    </row>
    <row r="683" spans="2:6" x14ac:dyDescent="0.25">
      <c r="B683" s="26" t="s">
        <v>213</v>
      </c>
      <c r="C683" s="283">
        <v>134</v>
      </c>
      <c r="D683" s="283">
        <v>11</v>
      </c>
      <c r="E683" s="283">
        <v>145</v>
      </c>
      <c r="F683"/>
    </row>
    <row r="684" spans="2:6" x14ac:dyDescent="0.25">
      <c r="B684" s="26" t="s">
        <v>221</v>
      </c>
      <c r="C684" s="283">
        <v>29</v>
      </c>
      <c r="D684" s="283">
        <v>1</v>
      </c>
      <c r="E684" s="283">
        <v>30</v>
      </c>
      <c r="F684"/>
    </row>
    <row r="685" spans="2:6" x14ac:dyDescent="0.25">
      <c r="B685" s="26" t="s">
        <v>73</v>
      </c>
      <c r="C685" s="283">
        <v>163</v>
      </c>
      <c r="D685" s="283">
        <v>12</v>
      </c>
      <c r="E685" s="283">
        <v>175</v>
      </c>
      <c r="F685"/>
    </row>
    <row r="686" spans="2:6" x14ac:dyDescent="0.25">
      <c r="B686"/>
      <c r="C686"/>
      <c r="D686"/>
      <c r="E686"/>
    </row>
    <row r="687" spans="2:6" x14ac:dyDescent="0.25">
      <c r="B687"/>
      <c r="C687"/>
      <c r="D687"/>
      <c r="E687"/>
    </row>
    <row r="688" spans="2:6" x14ac:dyDescent="0.25">
      <c r="B688"/>
      <c r="C688"/>
      <c r="D688"/>
      <c r="E688"/>
    </row>
    <row r="689" spans="2:5" x14ac:dyDescent="0.25">
      <c r="B689"/>
      <c r="C689"/>
      <c r="D689"/>
      <c r="E689"/>
    </row>
    <row r="690" spans="2:5" x14ac:dyDescent="0.25">
      <c r="B690"/>
      <c r="C690"/>
      <c r="D690"/>
      <c r="E690"/>
    </row>
    <row r="691" spans="2:5" x14ac:dyDescent="0.25">
      <c r="B691"/>
      <c r="C691"/>
      <c r="D691"/>
      <c r="E691"/>
    </row>
    <row r="692" spans="2:5" x14ac:dyDescent="0.25">
      <c r="B692"/>
      <c r="C692"/>
      <c r="D692"/>
      <c r="E692"/>
    </row>
    <row r="693" spans="2:5" x14ac:dyDescent="0.25">
      <c r="B693"/>
      <c r="C693"/>
      <c r="D693"/>
      <c r="E693"/>
    </row>
    <row r="694" spans="2:5" x14ac:dyDescent="0.25">
      <c r="B694"/>
      <c r="C694"/>
      <c r="D694"/>
      <c r="E694"/>
    </row>
    <row r="695" spans="2:5" x14ac:dyDescent="0.25">
      <c r="B695" s="29" t="s">
        <v>3</v>
      </c>
      <c r="C695" t="s">
        <v>74</v>
      </c>
      <c r="D695"/>
      <c r="E695"/>
    </row>
    <row r="696" spans="2:5" x14ac:dyDescent="0.25">
      <c r="B696" s="29" t="s">
        <v>4</v>
      </c>
      <c r="C696" t="s">
        <v>74</v>
      </c>
      <c r="E696"/>
    </row>
    <row r="697" spans="2:5" x14ac:dyDescent="0.25">
      <c r="E697"/>
    </row>
    <row r="698" spans="2:5" x14ac:dyDescent="0.25">
      <c r="B698" s="29" t="s">
        <v>647</v>
      </c>
      <c r="C698" s="29" t="s">
        <v>248</v>
      </c>
      <c r="D698"/>
      <c r="E698"/>
    </row>
    <row r="699" spans="2:5" x14ac:dyDescent="0.25">
      <c r="B699" s="29" t="s">
        <v>236</v>
      </c>
      <c r="C699" t="s">
        <v>285</v>
      </c>
      <c r="D699" t="s">
        <v>254</v>
      </c>
      <c r="E699" t="s">
        <v>73</v>
      </c>
    </row>
    <row r="700" spans="2:5" x14ac:dyDescent="0.25">
      <c r="B700" s="26" t="s">
        <v>256</v>
      </c>
      <c r="C700" s="283">
        <v>21</v>
      </c>
      <c r="D700" s="283"/>
      <c r="E700" s="283">
        <v>21</v>
      </c>
    </row>
    <row r="701" spans="2:5" x14ac:dyDescent="0.25">
      <c r="B701" s="26" t="s">
        <v>257</v>
      </c>
      <c r="C701" s="283">
        <v>40</v>
      </c>
      <c r="D701" s="283"/>
      <c r="E701" s="283">
        <v>40</v>
      </c>
    </row>
    <row r="702" spans="2:5" x14ac:dyDescent="0.25">
      <c r="B702" s="26" t="s">
        <v>258</v>
      </c>
      <c r="C702" s="283">
        <v>8</v>
      </c>
      <c r="D702" s="283"/>
      <c r="E702" s="283">
        <v>8</v>
      </c>
    </row>
    <row r="703" spans="2:5" x14ac:dyDescent="0.25">
      <c r="B703" s="26" t="s">
        <v>259</v>
      </c>
      <c r="C703" s="283">
        <v>24</v>
      </c>
      <c r="D703" s="283">
        <v>7</v>
      </c>
      <c r="E703" s="283">
        <v>31</v>
      </c>
    </row>
    <row r="704" spans="2:5" x14ac:dyDescent="0.25">
      <c r="B704" s="26" t="s">
        <v>260</v>
      </c>
      <c r="C704" s="283">
        <v>14</v>
      </c>
      <c r="D704" s="283"/>
      <c r="E704" s="283">
        <v>14</v>
      </c>
    </row>
    <row r="705" spans="2:47" x14ac:dyDescent="0.25">
      <c r="B705" s="26" t="s">
        <v>265</v>
      </c>
      <c r="C705" s="283">
        <v>24</v>
      </c>
      <c r="D705" s="283"/>
      <c r="E705" s="283">
        <v>24</v>
      </c>
    </row>
    <row r="706" spans="2:47" x14ac:dyDescent="0.25">
      <c r="B706" s="26" t="s">
        <v>266</v>
      </c>
      <c r="C706" s="283">
        <v>11</v>
      </c>
      <c r="D706" s="283">
        <v>1</v>
      </c>
      <c r="E706" s="283">
        <v>12</v>
      </c>
    </row>
    <row r="707" spans="2:47" x14ac:dyDescent="0.25">
      <c r="B707" s="26" t="s">
        <v>267</v>
      </c>
      <c r="C707" s="283">
        <v>11</v>
      </c>
      <c r="D707" s="283"/>
      <c r="E707" s="283">
        <v>11</v>
      </c>
    </row>
    <row r="708" spans="2:47" x14ac:dyDescent="0.25">
      <c r="B708" s="26" t="s">
        <v>268</v>
      </c>
      <c r="C708" s="283">
        <v>3</v>
      </c>
      <c r="D708" s="283">
        <v>1</v>
      </c>
      <c r="E708" s="283">
        <v>4</v>
      </c>
    </row>
    <row r="709" spans="2:47" x14ac:dyDescent="0.25">
      <c r="B709" s="26" t="s">
        <v>313</v>
      </c>
      <c r="C709" s="283">
        <v>7</v>
      </c>
      <c r="D709" s="283">
        <v>3</v>
      </c>
      <c r="E709" s="283">
        <v>10</v>
      </c>
    </row>
    <row r="710" spans="2:47" x14ac:dyDescent="0.25">
      <c r="B710" s="26" t="s">
        <v>73</v>
      </c>
      <c r="C710" s="283">
        <v>163</v>
      </c>
      <c r="D710" s="283">
        <v>12</v>
      </c>
      <c r="E710" s="283">
        <v>175</v>
      </c>
    </row>
    <row r="711" spans="2:47" x14ac:dyDescent="0.25">
      <c r="B711" s="26"/>
      <c r="C711" s="283"/>
      <c r="D711" s="283"/>
      <c r="E711" s="283"/>
    </row>
    <row r="712" spans="2:47" x14ac:dyDescent="0.25">
      <c r="B712" s="29" t="s">
        <v>236</v>
      </c>
      <c r="C712" s="293" t="s">
        <v>788</v>
      </c>
      <c r="D712"/>
      <c r="E712"/>
      <c r="F712"/>
      <c r="G712"/>
      <c r="H712"/>
      <c r="I712"/>
      <c r="J712"/>
      <c r="K712"/>
      <c r="L712"/>
      <c r="M712"/>
      <c r="N712"/>
      <c r="O712"/>
      <c r="P712"/>
      <c r="Q712"/>
      <c r="R712"/>
      <c r="S712"/>
      <c r="T712"/>
      <c r="U712"/>
      <c r="V712"/>
      <c r="W712"/>
      <c r="X712"/>
      <c r="Y712"/>
      <c r="Z712"/>
      <c r="AA712"/>
      <c r="AB712"/>
      <c r="AC712"/>
      <c r="AD712"/>
      <c r="AE712"/>
      <c r="AF712"/>
      <c r="AG712"/>
      <c r="AH712"/>
      <c r="AI712"/>
      <c r="AJ712"/>
      <c r="AK712"/>
      <c r="AL712"/>
      <c r="AM712"/>
      <c r="AN712"/>
      <c r="AO712"/>
      <c r="AP712"/>
      <c r="AQ712"/>
      <c r="AR712"/>
      <c r="AS712"/>
      <c r="AT712"/>
      <c r="AU712"/>
    </row>
    <row r="713" spans="2:47" x14ac:dyDescent="0.25">
      <c r="B713" s="26" t="s">
        <v>626</v>
      </c>
      <c r="C713" s="681"/>
      <c r="D713"/>
      <c r="E713"/>
      <c r="F713"/>
      <c r="G713"/>
      <c r="H713"/>
      <c r="I713"/>
      <c r="J713"/>
      <c r="K713"/>
      <c r="L713"/>
      <c r="M713"/>
      <c r="N713"/>
      <c r="O713"/>
      <c r="P713"/>
      <c r="Q713"/>
      <c r="R713"/>
      <c r="S713"/>
      <c r="T713"/>
      <c r="U713"/>
      <c r="V713"/>
      <c r="W713"/>
      <c r="X713"/>
      <c r="Y713"/>
      <c r="Z713"/>
      <c r="AA713"/>
      <c r="AB713"/>
      <c r="AC713"/>
      <c r="AD713"/>
      <c r="AE713"/>
      <c r="AF713"/>
      <c r="AG713"/>
      <c r="AH713"/>
      <c r="AI713"/>
      <c r="AJ713"/>
      <c r="AK713"/>
      <c r="AL713"/>
      <c r="AM713"/>
      <c r="AN713"/>
      <c r="AO713"/>
      <c r="AP713"/>
      <c r="AQ713"/>
      <c r="AR713"/>
      <c r="AS713"/>
      <c r="AT713"/>
      <c r="AU713"/>
    </row>
    <row r="714" spans="2:47" x14ac:dyDescent="0.25">
      <c r="B714" s="328" t="s">
        <v>175</v>
      </c>
      <c r="C714" s="681">
        <v>6</v>
      </c>
      <c r="D714"/>
      <c r="E714"/>
      <c r="F714"/>
      <c r="G714"/>
      <c r="H714"/>
      <c r="I714"/>
      <c r="J714"/>
      <c r="K714"/>
      <c r="L714"/>
      <c r="M714"/>
      <c r="N714"/>
      <c r="O714"/>
      <c r="P714"/>
      <c r="Q714"/>
      <c r="R714"/>
      <c r="S714"/>
      <c r="T714"/>
      <c r="U714"/>
      <c r="V714"/>
      <c r="W714"/>
      <c r="X714"/>
      <c r="Y714"/>
      <c r="Z714"/>
      <c r="AA714"/>
      <c r="AB714"/>
      <c r="AC714"/>
      <c r="AD714"/>
      <c r="AE714"/>
      <c r="AF714"/>
      <c r="AG714"/>
      <c r="AH714"/>
      <c r="AI714"/>
      <c r="AJ714"/>
      <c r="AK714"/>
      <c r="AL714"/>
      <c r="AM714"/>
      <c r="AN714"/>
      <c r="AO714"/>
      <c r="AP714"/>
      <c r="AQ714"/>
      <c r="AR714"/>
      <c r="AS714"/>
      <c r="AT714"/>
      <c r="AU714"/>
    </row>
    <row r="715" spans="2:47" x14ac:dyDescent="0.25">
      <c r="B715" s="329" t="s">
        <v>232</v>
      </c>
      <c r="C715" s="681">
        <v>1</v>
      </c>
      <c r="D715"/>
      <c r="E715"/>
      <c r="F715"/>
      <c r="G715"/>
      <c r="H715"/>
      <c r="I715"/>
      <c r="J715"/>
      <c r="K715"/>
      <c r="L715"/>
      <c r="M715"/>
      <c r="N715"/>
      <c r="O715"/>
      <c r="P715"/>
      <c r="Q715"/>
      <c r="R715"/>
      <c r="S715"/>
      <c r="T715"/>
      <c r="U715"/>
      <c r="V715"/>
      <c r="W715"/>
      <c r="X715"/>
      <c r="Y715"/>
      <c r="Z715"/>
      <c r="AA715"/>
      <c r="AB715"/>
      <c r="AC715"/>
      <c r="AD715"/>
      <c r="AE715"/>
      <c r="AF715"/>
      <c r="AG715"/>
      <c r="AH715"/>
      <c r="AI715"/>
      <c r="AJ715"/>
      <c r="AK715"/>
      <c r="AL715"/>
      <c r="AM715"/>
      <c r="AN715"/>
      <c r="AO715"/>
      <c r="AP715"/>
      <c r="AQ715"/>
      <c r="AR715"/>
      <c r="AS715"/>
      <c r="AT715"/>
      <c r="AU715"/>
    </row>
    <row r="716" spans="2:47" x14ac:dyDescent="0.25">
      <c r="B716" s="329" t="s">
        <v>299</v>
      </c>
      <c r="C716" s="681">
        <v>5</v>
      </c>
      <c r="D716"/>
      <c r="E716"/>
      <c r="F716"/>
      <c r="G716"/>
      <c r="H716"/>
      <c r="I716"/>
      <c r="J716"/>
      <c r="K716"/>
    </row>
    <row r="717" spans="2:47" x14ac:dyDescent="0.25">
      <c r="B717" s="328" t="s">
        <v>104</v>
      </c>
      <c r="C717" s="681">
        <v>3</v>
      </c>
      <c r="D717"/>
      <c r="E717"/>
      <c r="F717"/>
      <c r="G717"/>
      <c r="H717"/>
      <c r="I717"/>
      <c r="J717"/>
      <c r="K717"/>
    </row>
    <row r="718" spans="2:47" x14ac:dyDescent="0.25">
      <c r="B718" s="329" t="s">
        <v>230</v>
      </c>
      <c r="C718" s="681">
        <v>1</v>
      </c>
      <c r="D718"/>
      <c r="E718"/>
      <c r="F718"/>
      <c r="G718"/>
      <c r="H718"/>
      <c r="I718"/>
      <c r="J718"/>
      <c r="K718"/>
    </row>
    <row r="719" spans="2:47" x14ac:dyDescent="0.25">
      <c r="B719" s="329" t="s">
        <v>299</v>
      </c>
      <c r="C719" s="681">
        <v>2</v>
      </c>
      <c r="D719"/>
      <c r="E719"/>
      <c r="F719"/>
      <c r="G719"/>
      <c r="H719"/>
      <c r="I719"/>
      <c r="J719"/>
      <c r="K719"/>
    </row>
    <row r="720" spans="2:47" x14ac:dyDescent="0.25">
      <c r="B720" s="328" t="s">
        <v>107</v>
      </c>
      <c r="C720" s="681">
        <v>18</v>
      </c>
      <c r="D720"/>
      <c r="E720"/>
      <c r="F720"/>
      <c r="G720"/>
      <c r="H720"/>
      <c r="I720"/>
      <c r="J720"/>
      <c r="K720"/>
    </row>
    <row r="721" spans="2:11" x14ac:dyDescent="0.25">
      <c r="B721" s="328" t="s">
        <v>200</v>
      </c>
      <c r="C721" s="681">
        <v>6</v>
      </c>
      <c r="D721"/>
      <c r="E721"/>
      <c r="F721"/>
      <c r="G721"/>
      <c r="H721"/>
      <c r="I721"/>
      <c r="J721"/>
      <c r="K721"/>
    </row>
    <row r="722" spans="2:11" x14ac:dyDescent="0.25">
      <c r="B722" s="329" t="s">
        <v>299</v>
      </c>
      <c r="C722" s="681">
        <v>6</v>
      </c>
      <c r="D722"/>
      <c r="E722"/>
      <c r="F722"/>
      <c r="G722"/>
      <c r="H722"/>
      <c r="I722"/>
      <c r="J722"/>
      <c r="K722"/>
    </row>
    <row r="723" spans="2:11" x14ac:dyDescent="0.25">
      <c r="B723" s="328" t="s">
        <v>181</v>
      </c>
      <c r="C723" s="681">
        <v>7</v>
      </c>
      <c r="D723"/>
      <c r="E723"/>
      <c r="F723"/>
      <c r="G723"/>
      <c r="H723"/>
      <c r="I723"/>
      <c r="J723"/>
      <c r="K723"/>
    </row>
    <row r="724" spans="2:11" x14ac:dyDescent="0.25">
      <c r="B724" s="329" t="s">
        <v>299</v>
      </c>
      <c r="C724" s="681">
        <v>7</v>
      </c>
      <c r="D724"/>
      <c r="E724"/>
      <c r="F724"/>
      <c r="G724"/>
      <c r="H724"/>
      <c r="I724"/>
      <c r="J724"/>
      <c r="K724"/>
    </row>
    <row r="725" spans="2:11" x14ac:dyDescent="0.25">
      <c r="B725" s="328" t="s">
        <v>183</v>
      </c>
      <c r="C725" s="681">
        <v>20</v>
      </c>
      <c r="D725"/>
      <c r="E725"/>
      <c r="F725"/>
      <c r="G725"/>
    </row>
    <row r="726" spans="2:11" x14ac:dyDescent="0.25">
      <c r="B726" s="329" t="s">
        <v>299</v>
      </c>
      <c r="C726" s="681">
        <v>20</v>
      </c>
      <c r="D726"/>
      <c r="E726"/>
      <c r="F726"/>
      <c r="G726"/>
    </row>
    <row r="727" spans="2:11" x14ac:dyDescent="0.25">
      <c r="B727" s="328" t="s">
        <v>131</v>
      </c>
      <c r="C727" s="681">
        <v>9</v>
      </c>
      <c r="D727"/>
      <c r="E727"/>
      <c r="F727"/>
      <c r="G727"/>
    </row>
    <row r="728" spans="2:11" x14ac:dyDescent="0.25">
      <c r="B728" s="329" t="s">
        <v>299</v>
      </c>
      <c r="C728" s="681">
        <v>8</v>
      </c>
      <c r="D728"/>
      <c r="E728"/>
      <c r="F728"/>
      <c r="G728"/>
    </row>
    <row r="729" spans="2:11" x14ac:dyDescent="0.25">
      <c r="B729" s="329" t="s">
        <v>275</v>
      </c>
      <c r="C729" s="681">
        <v>1</v>
      </c>
      <c r="D729"/>
      <c r="E729"/>
      <c r="F729"/>
      <c r="G729"/>
    </row>
    <row r="730" spans="2:11" x14ac:dyDescent="0.25">
      <c r="B730" s="328" t="s">
        <v>227</v>
      </c>
      <c r="C730" s="681">
        <v>1</v>
      </c>
      <c r="D730"/>
      <c r="E730"/>
      <c r="F730"/>
      <c r="G730"/>
    </row>
    <row r="731" spans="2:11" x14ac:dyDescent="0.25">
      <c r="B731" s="329" t="s">
        <v>232</v>
      </c>
      <c r="C731" s="681">
        <v>1</v>
      </c>
      <c r="D731"/>
      <c r="E731"/>
      <c r="F731"/>
      <c r="G731"/>
    </row>
    <row r="732" spans="2:11" x14ac:dyDescent="0.25">
      <c r="B732" s="328" t="s">
        <v>154</v>
      </c>
      <c r="C732" s="681">
        <v>10</v>
      </c>
      <c r="D732"/>
      <c r="E732"/>
      <c r="F732"/>
      <c r="G732"/>
    </row>
    <row r="733" spans="2:11" ht="19.5" customHeight="1" x14ac:dyDescent="0.25">
      <c r="B733" s="329" t="s">
        <v>234</v>
      </c>
      <c r="C733" s="681">
        <v>2</v>
      </c>
      <c r="D733" s="11"/>
      <c r="E733" s="11"/>
    </row>
    <row r="734" spans="2:11" x14ac:dyDescent="0.25">
      <c r="B734" s="29" t="s">
        <v>4</v>
      </c>
      <c r="C734" t="s">
        <v>74</v>
      </c>
      <c r="D734"/>
      <c r="E734"/>
    </row>
    <row r="735" spans="2:11" x14ac:dyDescent="0.25">
      <c r="B735" s="29" t="s">
        <v>0</v>
      </c>
      <c r="C735" t="s">
        <v>74</v>
      </c>
      <c r="E735"/>
    </row>
    <row r="736" spans="2:11" x14ac:dyDescent="0.25">
      <c r="E736"/>
    </row>
    <row r="737" spans="2:18" ht="63" x14ac:dyDescent="0.25">
      <c r="B737" s="332" t="s">
        <v>236</v>
      </c>
      <c r="C737" s="334" t="s">
        <v>716</v>
      </c>
      <c r="D737" s="334" t="s">
        <v>715</v>
      </c>
      <c r="E737" s="334" t="s">
        <v>648</v>
      </c>
      <c r="F737" s="334" t="s">
        <v>649</v>
      </c>
      <c r="G737"/>
      <c r="H737"/>
      <c r="I737"/>
      <c r="J737"/>
      <c r="K737"/>
      <c r="L737"/>
      <c r="M737"/>
      <c r="N737"/>
      <c r="O737"/>
      <c r="P737"/>
      <c r="Q737"/>
      <c r="R737"/>
    </row>
    <row r="738" spans="2:18" x14ac:dyDescent="0.25">
      <c r="B738" s="26" t="s">
        <v>234</v>
      </c>
      <c r="C738" s="283">
        <v>26</v>
      </c>
      <c r="D738" s="283">
        <v>9036</v>
      </c>
      <c r="E738" s="279">
        <v>1</v>
      </c>
      <c r="F738" s="279">
        <v>0.92706949977866315</v>
      </c>
      <c r="G738"/>
      <c r="H738"/>
      <c r="I738"/>
      <c r="J738"/>
      <c r="K738"/>
      <c r="L738"/>
      <c r="M738"/>
      <c r="N738"/>
      <c r="O738"/>
      <c r="P738"/>
      <c r="Q738"/>
      <c r="R738"/>
    </row>
    <row r="739" spans="2:18" s="333" customFormat="1" x14ac:dyDescent="0.25">
      <c r="B739" s="293" t="s">
        <v>448</v>
      </c>
      <c r="C739" s="283">
        <v>23</v>
      </c>
      <c r="D739" s="283">
        <v>8766</v>
      </c>
      <c r="E739" s="279">
        <v>1</v>
      </c>
      <c r="F739" s="279">
        <v>0.92482318046999767</v>
      </c>
      <c r="G739"/>
      <c r="H739"/>
      <c r="I739"/>
      <c r="J739"/>
      <c r="K739"/>
      <c r="L739"/>
      <c r="M739"/>
      <c r="N739"/>
      <c r="O739"/>
      <c r="P739"/>
      <c r="Q739"/>
      <c r="R739"/>
    </row>
    <row r="740" spans="2:18" x14ac:dyDescent="0.25">
      <c r="B740" s="329" t="s">
        <v>256</v>
      </c>
      <c r="C740" s="283">
        <v>1</v>
      </c>
      <c r="D740" s="283">
        <v>64</v>
      </c>
      <c r="E740" s="279">
        <v>1</v>
      </c>
      <c r="F740" s="279">
        <v>1</v>
      </c>
      <c r="G740"/>
      <c r="H740"/>
      <c r="I740"/>
      <c r="J740"/>
      <c r="K740"/>
      <c r="L740"/>
      <c r="M740"/>
      <c r="N740"/>
      <c r="O740"/>
      <c r="P740"/>
      <c r="Q740"/>
      <c r="R740"/>
    </row>
    <row r="741" spans="2:18" x14ac:dyDescent="0.25">
      <c r="B741" s="329" t="s">
        <v>257</v>
      </c>
      <c r="C741" s="283">
        <v>14</v>
      </c>
      <c r="D741" s="283">
        <v>3356</v>
      </c>
      <c r="E741" s="279">
        <v>1</v>
      </c>
      <c r="F741" s="279">
        <v>0.88736591179976165</v>
      </c>
      <c r="G741"/>
      <c r="H741"/>
      <c r="I741"/>
      <c r="J741"/>
      <c r="K741"/>
      <c r="L741"/>
      <c r="M741"/>
      <c r="N741"/>
      <c r="O741"/>
      <c r="P741"/>
      <c r="Q741"/>
      <c r="R741"/>
    </row>
    <row r="742" spans="2:18" x14ac:dyDescent="0.25">
      <c r="B742" s="329" t="s">
        <v>258</v>
      </c>
      <c r="C742" s="283">
        <v>4</v>
      </c>
      <c r="D742" s="283">
        <v>227</v>
      </c>
      <c r="E742" s="279">
        <v>1</v>
      </c>
      <c r="F742" s="279">
        <v>1</v>
      </c>
      <c r="G742"/>
      <c r="H742"/>
      <c r="I742"/>
      <c r="J742"/>
      <c r="K742"/>
      <c r="L742"/>
      <c r="M742"/>
      <c r="N742"/>
      <c r="O742"/>
      <c r="P742"/>
      <c r="Q742"/>
      <c r="R742"/>
    </row>
    <row r="743" spans="2:18" x14ac:dyDescent="0.25">
      <c r="B743" s="329" t="s">
        <v>260</v>
      </c>
      <c r="C743" s="283">
        <v>3</v>
      </c>
      <c r="D743" s="283">
        <v>4809</v>
      </c>
      <c r="E743" s="279">
        <v>1</v>
      </c>
      <c r="F743" s="279">
        <v>0.97275940944063211</v>
      </c>
      <c r="G743"/>
      <c r="H743"/>
      <c r="I743"/>
      <c r="J743"/>
      <c r="K743"/>
      <c r="L743"/>
      <c r="M743"/>
      <c r="N743"/>
      <c r="O743"/>
      <c r="P743"/>
      <c r="Q743"/>
      <c r="R743"/>
    </row>
    <row r="744" spans="2:18" x14ac:dyDescent="0.25">
      <c r="B744" s="329" t="s">
        <v>313</v>
      </c>
      <c r="C744" s="283">
        <v>1</v>
      </c>
      <c r="D744" s="283">
        <v>310</v>
      </c>
      <c r="E744" s="279">
        <v>1</v>
      </c>
      <c r="F744" s="279">
        <v>0.5161290322580645</v>
      </c>
      <c r="G744"/>
      <c r="H744"/>
      <c r="I744"/>
      <c r="J744"/>
      <c r="K744"/>
      <c r="L744"/>
      <c r="M744"/>
      <c r="N744"/>
      <c r="O744"/>
      <c r="P744"/>
      <c r="Q744"/>
      <c r="R744"/>
    </row>
    <row r="745" spans="2:18" x14ac:dyDescent="0.25">
      <c r="B745" s="293" t="s">
        <v>449</v>
      </c>
      <c r="C745" s="283">
        <v>1</v>
      </c>
      <c r="D745" s="283">
        <v>105</v>
      </c>
      <c r="E745" s="279">
        <v>1</v>
      </c>
      <c r="F745" s="279">
        <v>1</v>
      </c>
      <c r="G745"/>
      <c r="H745"/>
      <c r="I745"/>
      <c r="J745"/>
      <c r="K745"/>
      <c r="L745"/>
      <c r="M745"/>
      <c r="N745"/>
      <c r="O745"/>
      <c r="P745"/>
      <c r="Q745"/>
      <c r="R745"/>
    </row>
    <row r="746" spans="2:18" x14ac:dyDescent="0.25">
      <c r="B746" s="329" t="s">
        <v>257</v>
      </c>
      <c r="C746" s="283">
        <v>1</v>
      </c>
      <c r="D746" s="283">
        <v>105</v>
      </c>
      <c r="E746" s="279">
        <v>1</v>
      </c>
      <c r="F746" s="279">
        <v>1</v>
      </c>
      <c r="G746"/>
      <c r="H746"/>
      <c r="I746"/>
      <c r="J746"/>
      <c r="K746"/>
      <c r="L746"/>
      <c r="M746"/>
      <c r="N746"/>
      <c r="O746"/>
      <c r="P746"/>
      <c r="Q746"/>
      <c r="R746"/>
    </row>
    <row r="747" spans="2:18" x14ac:dyDescent="0.25">
      <c r="B747" s="328" t="s">
        <v>459</v>
      </c>
      <c r="C747" s="283">
        <v>2</v>
      </c>
      <c r="D747" s="283">
        <v>165</v>
      </c>
      <c r="E747" s="279">
        <v>1</v>
      </c>
      <c r="F747" s="279">
        <v>1</v>
      </c>
      <c r="G747"/>
      <c r="H747"/>
      <c r="I747"/>
      <c r="J747"/>
      <c r="K747"/>
      <c r="L747"/>
      <c r="M747"/>
      <c r="N747"/>
      <c r="O747"/>
      <c r="P747"/>
      <c r="Q747"/>
      <c r="R747"/>
    </row>
    <row r="748" spans="2:18" x14ac:dyDescent="0.25">
      <c r="B748" s="329" t="s">
        <v>258</v>
      </c>
      <c r="C748" s="283">
        <v>2</v>
      </c>
      <c r="D748" s="283">
        <v>165</v>
      </c>
      <c r="E748" s="279">
        <v>1</v>
      </c>
      <c r="F748" s="279">
        <v>1</v>
      </c>
      <c r="G748"/>
      <c r="H748"/>
      <c r="I748"/>
      <c r="J748"/>
      <c r="K748"/>
      <c r="L748"/>
      <c r="M748"/>
      <c r="N748"/>
      <c r="O748"/>
      <c r="P748"/>
      <c r="Q748"/>
      <c r="R748"/>
    </row>
    <row r="749" spans="2:18" x14ac:dyDescent="0.25">
      <c r="B749" s="26" t="s">
        <v>230</v>
      </c>
      <c r="C749" s="283">
        <v>13</v>
      </c>
      <c r="D749" s="283">
        <v>3632</v>
      </c>
      <c r="E749" s="279">
        <v>1</v>
      </c>
      <c r="F749" s="279">
        <v>0.86839207048458145</v>
      </c>
      <c r="G749"/>
      <c r="H749"/>
      <c r="I749"/>
      <c r="J749"/>
      <c r="K749"/>
      <c r="L749"/>
      <c r="M749"/>
      <c r="N749"/>
      <c r="O749"/>
      <c r="P749"/>
      <c r="Q749"/>
      <c r="R749"/>
    </row>
    <row r="750" spans="2:18" x14ac:dyDescent="0.25">
      <c r="B750" s="293" t="s">
        <v>448</v>
      </c>
      <c r="C750" s="283">
        <v>13</v>
      </c>
      <c r="D750" s="283">
        <v>3632</v>
      </c>
      <c r="E750" s="279">
        <v>1</v>
      </c>
      <c r="F750" s="279">
        <v>0.86839207048458145</v>
      </c>
      <c r="G750"/>
      <c r="H750"/>
      <c r="I750"/>
      <c r="J750"/>
      <c r="K750"/>
      <c r="L750"/>
      <c r="M750"/>
      <c r="N750"/>
      <c r="O750"/>
      <c r="P750"/>
      <c r="Q750"/>
      <c r="R750"/>
    </row>
    <row r="751" spans="2:18" x14ac:dyDescent="0.25">
      <c r="B751" s="329" t="s">
        <v>256</v>
      </c>
      <c r="C751" s="283">
        <v>2</v>
      </c>
      <c r="D751" s="283">
        <v>697</v>
      </c>
      <c r="E751" s="279">
        <v>1</v>
      </c>
      <c r="F751" s="279">
        <v>0.57388809182209466</v>
      </c>
      <c r="G751"/>
      <c r="H751"/>
      <c r="I751"/>
      <c r="J751"/>
      <c r="K751"/>
      <c r="L751"/>
      <c r="M751"/>
      <c r="N751"/>
      <c r="O751"/>
      <c r="P751"/>
      <c r="Q751"/>
      <c r="R751"/>
    </row>
    <row r="752" spans="2:18" x14ac:dyDescent="0.25">
      <c r="B752" s="329" t="s">
        <v>257</v>
      </c>
      <c r="C752" s="283">
        <v>3</v>
      </c>
      <c r="D752" s="283">
        <v>712</v>
      </c>
      <c r="E752" s="279">
        <v>1</v>
      </c>
      <c r="F752" s="279">
        <v>0.8932584269662921</v>
      </c>
      <c r="G752"/>
      <c r="H752"/>
      <c r="I752"/>
      <c r="J752"/>
      <c r="K752"/>
      <c r="L752"/>
      <c r="M752"/>
      <c r="N752"/>
      <c r="O752"/>
      <c r="P752"/>
      <c r="Q752"/>
      <c r="R752"/>
    </row>
    <row r="753" spans="2:18" x14ac:dyDescent="0.25">
      <c r="B753" s="329" t="s">
        <v>258</v>
      </c>
      <c r="C753" s="283">
        <v>2</v>
      </c>
      <c r="D753" s="283">
        <v>74</v>
      </c>
      <c r="E753" s="279">
        <v>1</v>
      </c>
      <c r="F753" s="279">
        <v>1</v>
      </c>
      <c r="G753"/>
      <c r="H753"/>
      <c r="I753"/>
      <c r="J753"/>
      <c r="K753"/>
      <c r="L753"/>
      <c r="M753"/>
      <c r="N753"/>
      <c r="O753"/>
      <c r="P753"/>
      <c r="Q753"/>
      <c r="R753"/>
    </row>
    <row r="754" spans="2:18" x14ac:dyDescent="0.25">
      <c r="B754" s="329" t="s">
        <v>260</v>
      </c>
      <c r="C754" s="283">
        <v>1</v>
      </c>
      <c r="D754" s="283">
        <v>640</v>
      </c>
      <c r="E754" s="279">
        <v>1</v>
      </c>
      <c r="F754" s="279">
        <v>1</v>
      </c>
      <c r="G754"/>
      <c r="H754"/>
      <c r="I754"/>
      <c r="J754"/>
      <c r="K754"/>
      <c r="L754"/>
      <c r="M754"/>
      <c r="N754"/>
      <c r="O754"/>
      <c r="P754"/>
      <c r="Q754"/>
      <c r="R754"/>
    </row>
    <row r="755" spans="2:18" x14ac:dyDescent="0.25">
      <c r="B755" s="329" t="s">
        <v>265</v>
      </c>
      <c r="C755" s="283">
        <v>1</v>
      </c>
      <c r="D755" s="283">
        <v>620</v>
      </c>
      <c r="E755" s="279">
        <v>1</v>
      </c>
      <c r="F755" s="279">
        <v>1</v>
      </c>
      <c r="G755"/>
      <c r="H755"/>
      <c r="I755"/>
      <c r="J755"/>
      <c r="K755"/>
      <c r="L755"/>
      <c r="M755"/>
      <c r="N755"/>
      <c r="O755"/>
      <c r="P755"/>
      <c r="Q755"/>
      <c r="R755"/>
    </row>
    <row r="756" spans="2:18" x14ac:dyDescent="0.25">
      <c r="B756" s="329" t="s">
        <v>266</v>
      </c>
      <c r="C756" s="283">
        <v>1</v>
      </c>
      <c r="D756" s="283">
        <v>217</v>
      </c>
      <c r="E756" s="279">
        <v>1</v>
      </c>
      <c r="F756" s="279">
        <v>0.92165898617511521</v>
      </c>
      <c r="G756"/>
      <c r="H756"/>
      <c r="I756"/>
      <c r="J756"/>
      <c r="K756"/>
      <c r="L756"/>
      <c r="M756"/>
      <c r="N756"/>
      <c r="O756"/>
      <c r="P756"/>
      <c r="Q756"/>
      <c r="R756"/>
    </row>
    <row r="757" spans="2:18" x14ac:dyDescent="0.25">
      <c r="B757" s="329" t="s">
        <v>268</v>
      </c>
      <c r="C757" s="283">
        <v>1</v>
      </c>
      <c r="D757" s="283">
        <v>184</v>
      </c>
      <c r="E757" s="279">
        <v>1</v>
      </c>
      <c r="F757" s="279">
        <v>1</v>
      </c>
      <c r="G757"/>
      <c r="H757"/>
      <c r="I757"/>
      <c r="J757"/>
      <c r="K757"/>
      <c r="L757"/>
      <c r="M757"/>
      <c r="N757"/>
      <c r="O757"/>
      <c r="P757"/>
      <c r="Q757"/>
      <c r="R757"/>
    </row>
    <row r="758" spans="2:18" x14ac:dyDescent="0.25">
      <c r="B758" s="329" t="s">
        <v>313</v>
      </c>
      <c r="C758" s="283">
        <v>2</v>
      </c>
      <c r="D758" s="283">
        <v>488</v>
      </c>
      <c r="E758" s="279">
        <v>1</v>
      </c>
      <c r="F758" s="279">
        <v>0.81967213114754101</v>
      </c>
      <c r="G758"/>
      <c r="H758"/>
      <c r="I758"/>
      <c r="J758"/>
      <c r="K758"/>
      <c r="L758"/>
      <c r="M758"/>
      <c r="N758"/>
      <c r="O758"/>
      <c r="P758"/>
      <c r="Q758"/>
      <c r="R758"/>
    </row>
    <row r="759" spans="2:18" x14ac:dyDescent="0.25">
      <c r="B759" s="26" t="s">
        <v>232</v>
      </c>
      <c r="C759" s="283">
        <v>32</v>
      </c>
      <c r="D759" s="283">
        <v>15784</v>
      </c>
      <c r="E759" s="279">
        <v>0.98912400743368811</v>
      </c>
      <c r="F759" s="279">
        <v>0.90344652812975168</v>
      </c>
      <c r="G759"/>
      <c r="H759"/>
      <c r="I759"/>
      <c r="J759"/>
      <c r="K759"/>
      <c r="L759"/>
      <c r="M759"/>
      <c r="N759"/>
      <c r="O759"/>
      <c r="P759"/>
      <c r="Q759"/>
      <c r="R759"/>
    </row>
    <row r="760" spans="2:18" x14ac:dyDescent="0.25">
      <c r="B760" s="293" t="s">
        <v>448</v>
      </c>
      <c r="C760" s="283">
        <v>29</v>
      </c>
      <c r="D760" s="283">
        <v>11324</v>
      </c>
      <c r="E760" s="279">
        <v>0.98484045684681509</v>
      </c>
      <c r="F760" s="279">
        <v>0.87318968562345456</v>
      </c>
      <c r="G760"/>
      <c r="H760"/>
      <c r="I760"/>
      <c r="J760"/>
      <c r="K760"/>
      <c r="L760"/>
      <c r="M760"/>
      <c r="N760"/>
      <c r="O760"/>
      <c r="P760"/>
      <c r="Q760"/>
      <c r="R760"/>
    </row>
    <row r="761" spans="2:18" x14ac:dyDescent="0.25">
      <c r="B761" s="329" t="s">
        <v>259</v>
      </c>
      <c r="C761" s="283">
        <v>15</v>
      </c>
      <c r="D761" s="283">
        <v>4939</v>
      </c>
      <c r="E761" s="279">
        <v>1</v>
      </c>
      <c r="F761" s="279">
        <v>0.8698117027738409</v>
      </c>
      <c r="G761"/>
      <c r="H761"/>
      <c r="I761"/>
      <c r="J761"/>
      <c r="K761"/>
      <c r="L761"/>
      <c r="M761"/>
      <c r="N761"/>
      <c r="O761"/>
      <c r="P761"/>
      <c r="Q761"/>
      <c r="R761"/>
    </row>
    <row r="762" spans="2:18" x14ac:dyDescent="0.25">
      <c r="B762" s="329" t="s">
        <v>260</v>
      </c>
      <c r="C762" s="283">
        <v>2</v>
      </c>
      <c r="D762" s="283">
        <v>2506</v>
      </c>
      <c r="E762" s="279">
        <v>1</v>
      </c>
      <c r="F762" s="279">
        <v>1</v>
      </c>
      <c r="G762"/>
      <c r="H762"/>
      <c r="I762"/>
      <c r="J762"/>
      <c r="K762"/>
      <c r="L762"/>
      <c r="M762"/>
      <c r="N762"/>
      <c r="O762"/>
      <c r="P762"/>
      <c r="Q762"/>
      <c r="R762"/>
    </row>
    <row r="763" spans="2:18" x14ac:dyDescent="0.25">
      <c r="B763" s="329" t="s">
        <v>266</v>
      </c>
      <c r="C763" s="283">
        <v>5</v>
      </c>
      <c r="D763" s="283">
        <v>1589</v>
      </c>
      <c r="E763" s="279">
        <v>1</v>
      </c>
      <c r="F763" s="279">
        <v>0.63184392699811198</v>
      </c>
      <c r="G763"/>
      <c r="H763"/>
      <c r="I763"/>
      <c r="J763"/>
      <c r="K763"/>
      <c r="L763"/>
      <c r="M763"/>
      <c r="N763"/>
      <c r="O763"/>
      <c r="P763"/>
      <c r="Q763"/>
      <c r="R763"/>
    </row>
    <row r="764" spans="2:18" x14ac:dyDescent="0.25">
      <c r="B764" s="329" t="s">
        <v>267</v>
      </c>
      <c r="C764" s="283">
        <v>5</v>
      </c>
      <c r="D764" s="283">
        <v>2093</v>
      </c>
      <c r="E764" s="279">
        <v>0.91798057015448331</v>
      </c>
      <c r="F764" s="279">
        <v>0.90062111801242239</v>
      </c>
      <c r="G764"/>
      <c r="H764"/>
      <c r="I764"/>
      <c r="J764"/>
      <c r="K764"/>
      <c r="L764"/>
      <c r="M764"/>
      <c r="N764"/>
      <c r="O764"/>
      <c r="P764"/>
      <c r="Q764"/>
      <c r="R764"/>
    </row>
    <row r="765" spans="2:18" x14ac:dyDescent="0.25">
      <c r="B765" s="329" t="s">
        <v>268</v>
      </c>
      <c r="C765" s="283">
        <v>2</v>
      </c>
      <c r="D765" s="283">
        <v>197</v>
      </c>
      <c r="E765" s="279">
        <v>1</v>
      </c>
      <c r="F765" s="279">
        <v>1</v>
      </c>
      <c r="G765"/>
      <c r="H765"/>
      <c r="I765"/>
      <c r="J765"/>
      <c r="K765"/>
      <c r="L765"/>
      <c r="M765"/>
      <c r="N765"/>
      <c r="O765"/>
      <c r="P765"/>
      <c r="Q765"/>
      <c r="R765"/>
    </row>
    <row r="766" spans="2:18" x14ac:dyDescent="0.25">
      <c r="B766" s="293" t="s">
        <v>449</v>
      </c>
      <c r="C766" s="283">
        <v>2</v>
      </c>
      <c r="D766" s="283">
        <v>919</v>
      </c>
      <c r="E766" s="279">
        <v>1</v>
      </c>
      <c r="F766" s="279">
        <v>0.90424374319912948</v>
      </c>
      <c r="G766"/>
      <c r="H766"/>
      <c r="I766"/>
      <c r="J766"/>
      <c r="K766"/>
      <c r="L766"/>
      <c r="M766"/>
      <c r="N766"/>
      <c r="O766"/>
      <c r="P766"/>
      <c r="Q766"/>
      <c r="R766"/>
    </row>
    <row r="767" spans="2:18" x14ac:dyDescent="0.25">
      <c r="B767" s="329" t="s">
        <v>260</v>
      </c>
      <c r="C767" s="283">
        <v>2</v>
      </c>
      <c r="D767" s="283">
        <v>919</v>
      </c>
      <c r="E767" s="279">
        <v>1</v>
      </c>
      <c r="F767" s="279">
        <v>0.90424374319912948</v>
      </c>
      <c r="G767"/>
      <c r="H767"/>
      <c r="I767"/>
      <c r="J767"/>
      <c r="K767"/>
      <c r="L767"/>
      <c r="M767"/>
      <c r="N767"/>
      <c r="O767"/>
      <c r="P767"/>
      <c r="Q767"/>
      <c r="R767"/>
    </row>
    <row r="768" spans="2:18" x14ac:dyDescent="0.25">
      <c r="B768" s="328" t="s">
        <v>459</v>
      </c>
      <c r="C768" s="283">
        <v>1</v>
      </c>
      <c r="D768" s="283">
        <v>3541</v>
      </c>
      <c r="E768" s="279">
        <v>1</v>
      </c>
      <c r="F768" s="279">
        <v>1</v>
      </c>
      <c r="G768"/>
      <c r="H768"/>
      <c r="I768"/>
      <c r="J768"/>
      <c r="K768"/>
      <c r="L768"/>
      <c r="M768"/>
      <c r="N768"/>
      <c r="O768"/>
      <c r="P768"/>
      <c r="Q768"/>
      <c r="R768"/>
    </row>
    <row r="769" spans="2:18" x14ac:dyDescent="0.25">
      <c r="B769" s="329" t="s">
        <v>260</v>
      </c>
      <c r="C769" s="283">
        <v>1</v>
      </c>
      <c r="D769" s="283">
        <v>3541</v>
      </c>
      <c r="E769" s="279">
        <v>1</v>
      </c>
      <c r="F769" s="279">
        <v>1</v>
      </c>
      <c r="G769"/>
      <c r="H769"/>
      <c r="I769"/>
      <c r="J769"/>
      <c r="K769"/>
      <c r="L769"/>
      <c r="M769"/>
      <c r="N769"/>
      <c r="O769"/>
      <c r="P769"/>
      <c r="Q769"/>
      <c r="R769"/>
    </row>
    <row r="770" spans="2:18" x14ac:dyDescent="0.25">
      <c r="B770" s="26" t="s">
        <v>299</v>
      </c>
      <c r="C770" s="283">
        <v>66</v>
      </c>
      <c r="D770" s="283">
        <v>43804</v>
      </c>
      <c r="E770" s="279">
        <v>0.96936352844489093</v>
      </c>
      <c r="F770" s="279">
        <v>0.91386631357866865</v>
      </c>
      <c r="G770"/>
      <c r="H770"/>
      <c r="I770"/>
      <c r="J770"/>
      <c r="K770"/>
      <c r="L770"/>
      <c r="M770"/>
      <c r="N770"/>
      <c r="O770"/>
      <c r="P770"/>
      <c r="Q770"/>
      <c r="R770"/>
    </row>
    <row r="771" spans="2:18" x14ac:dyDescent="0.25">
      <c r="B771" s="293" t="s">
        <v>448</v>
      </c>
      <c r="C771" s="283">
        <v>49</v>
      </c>
      <c r="D771" s="283">
        <v>38551</v>
      </c>
      <c r="E771" s="279">
        <v>0.99753573188762934</v>
      </c>
      <c r="F771" s="279">
        <v>0.93854893517677884</v>
      </c>
      <c r="G771"/>
      <c r="H771"/>
      <c r="I771"/>
      <c r="J771"/>
      <c r="K771"/>
      <c r="L771"/>
      <c r="M771"/>
      <c r="N771"/>
      <c r="O771"/>
      <c r="P771"/>
      <c r="Q771"/>
      <c r="R771"/>
    </row>
    <row r="772" spans="2:18" x14ac:dyDescent="0.25">
      <c r="B772" s="329" t="s">
        <v>257</v>
      </c>
      <c r="C772" s="283">
        <v>11</v>
      </c>
      <c r="D772" s="283">
        <v>5564</v>
      </c>
      <c r="E772" s="279">
        <v>1</v>
      </c>
      <c r="F772" s="279">
        <v>0.89252336448598135</v>
      </c>
      <c r="G772"/>
      <c r="H772"/>
      <c r="I772"/>
      <c r="J772"/>
      <c r="K772"/>
      <c r="L772"/>
      <c r="M772"/>
      <c r="N772"/>
      <c r="O772"/>
      <c r="P772"/>
      <c r="Q772"/>
      <c r="R772"/>
    </row>
    <row r="773" spans="2:18" x14ac:dyDescent="0.25">
      <c r="B773" s="329" t="s">
        <v>259</v>
      </c>
      <c r="C773" s="283">
        <v>6</v>
      </c>
      <c r="D773" s="283">
        <v>5573</v>
      </c>
      <c r="E773" s="279">
        <v>1</v>
      </c>
      <c r="F773" s="279">
        <v>0.82181948681141215</v>
      </c>
      <c r="G773"/>
      <c r="H773"/>
      <c r="I773"/>
      <c r="J773"/>
      <c r="K773"/>
      <c r="L773"/>
      <c r="M773"/>
      <c r="N773"/>
      <c r="O773"/>
      <c r="P773"/>
      <c r="Q773"/>
      <c r="R773"/>
    </row>
    <row r="774" spans="2:18" x14ac:dyDescent="0.25">
      <c r="B774" s="329" t="s">
        <v>260</v>
      </c>
      <c r="C774" s="283">
        <v>5</v>
      </c>
      <c r="D774" s="283">
        <v>12809</v>
      </c>
      <c r="E774" s="279">
        <v>1</v>
      </c>
      <c r="F774" s="279">
        <v>1</v>
      </c>
      <c r="G774"/>
      <c r="H774"/>
      <c r="I774"/>
      <c r="J774"/>
      <c r="K774"/>
      <c r="L774"/>
      <c r="M774"/>
      <c r="N774"/>
      <c r="O774"/>
      <c r="P774"/>
      <c r="Q774"/>
      <c r="R774"/>
    </row>
    <row r="775" spans="2:18" x14ac:dyDescent="0.25">
      <c r="B775" s="329" t="s">
        <v>265</v>
      </c>
      <c r="C775" s="283">
        <v>18</v>
      </c>
      <c r="D775" s="283">
        <v>11984</v>
      </c>
      <c r="E775" s="279">
        <v>1</v>
      </c>
      <c r="F775" s="279">
        <v>0.93649866488651534</v>
      </c>
      <c r="G775"/>
      <c r="H775"/>
      <c r="I775"/>
      <c r="J775"/>
      <c r="K775"/>
      <c r="L775"/>
      <c r="M775"/>
      <c r="N775"/>
      <c r="O775"/>
      <c r="P775"/>
      <c r="Q775"/>
      <c r="R775"/>
    </row>
    <row r="776" spans="2:18" x14ac:dyDescent="0.25">
      <c r="B776" s="329" t="s">
        <v>266</v>
      </c>
      <c r="C776" s="283">
        <v>1</v>
      </c>
      <c r="D776" s="283">
        <v>127</v>
      </c>
      <c r="E776" s="279">
        <v>0.52493438320209973</v>
      </c>
      <c r="F776" s="279">
        <v>1</v>
      </c>
      <c r="G776"/>
      <c r="H776"/>
      <c r="I776"/>
      <c r="J776"/>
      <c r="K776"/>
      <c r="L776"/>
      <c r="M776"/>
      <c r="N776"/>
      <c r="O776"/>
      <c r="P776"/>
      <c r="Q776"/>
      <c r="R776"/>
    </row>
    <row r="777" spans="2:18" x14ac:dyDescent="0.25">
      <c r="B777" s="329" t="s">
        <v>267</v>
      </c>
      <c r="C777" s="283">
        <v>6</v>
      </c>
      <c r="D777" s="283">
        <v>1604</v>
      </c>
      <c r="E777" s="279">
        <v>0.98898586866167904</v>
      </c>
      <c r="F777" s="279">
        <v>1</v>
      </c>
      <c r="G777"/>
      <c r="H777"/>
      <c r="I777"/>
      <c r="J777"/>
      <c r="K777"/>
      <c r="L777"/>
      <c r="M777"/>
      <c r="N777"/>
      <c r="O777"/>
      <c r="P777"/>
      <c r="Q777"/>
      <c r="R777"/>
    </row>
    <row r="778" spans="2:18" x14ac:dyDescent="0.25">
      <c r="B778" s="329" t="s">
        <v>313</v>
      </c>
      <c r="C778" s="283">
        <v>2</v>
      </c>
      <c r="D778" s="283">
        <v>890</v>
      </c>
      <c r="E778" s="279">
        <v>0.98089887640449436</v>
      </c>
      <c r="F778" s="279">
        <v>0.98089887640449436</v>
      </c>
      <c r="G778"/>
      <c r="H778"/>
      <c r="I778"/>
      <c r="J778"/>
      <c r="K778"/>
      <c r="L778"/>
      <c r="M778"/>
      <c r="N778"/>
      <c r="O778"/>
      <c r="P778"/>
      <c r="Q778"/>
      <c r="R778"/>
    </row>
    <row r="779" spans="2:18" x14ac:dyDescent="0.25">
      <c r="B779" s="293" t="s">
        <v>449</v>
      </c>
      <c r="C779" s="283">
        <v>4</v>
      </c>
      <c r="D779" s="283">
        <v>1095</v>
      </c>
      <c r="E779" s="279">
        <v>1</v>
      </c>
      <c r="F779" s="279">
        <v>0.85662100456621004</v>
      </c>
      <c r="G779"/>
      <c r="H779"/>
      <c r="I779"/>
      <c r="J779"/>
      <c r="K779"/>
      <c r="L779"/>
      <c r="M779"/>
      <c r="N779"/>
      <c r="O779"/>
      <c r="P779"/>
      <c r="Q779"/>
      <c r="R779"/>
    </row>
    <row r="780" spans="2:18" x14ac:dyDescent="0.25">
      <c r="B780" s="329" t="s">
        <v>265</v>
      </c>
      <c r="C780" s="283">
        <v>3</v>
      </c>
      <c r="D780" s="283">
        <v>1050</v>
      </c>
      <c r="E780" s="279">
        <v>1</v>
      </c>
      <c r="F780" s="279">
        <v>0.8504761904761905</v>
      </c>
      <c r="G780"/>
      <c r="H780"/>
      <c r="I780"/>
      <c r="J780"/>
      <c r="K780"/>
      <c r="L780"/>
      <c r="M780"/>
      <c r="N780"/>
      <c r="O780"/>
      <c r="P780"/>
      <c r="Q780"/>
      <c r="R780"/>
    </row>
    <row r="781" spans="2:18" x14ac:dyDescent="0.25">
      <c r="B781" s="329" t="s">
        <v>313</v>
      </c>
      <c r="C781" s="283">
        <v>1</v>
      </c>
      <c r="D781" s="283">
        <v>45</v>
      </c>
      <c r="E781" s="279">
        <v>1</v>
      </c>
      <c r="F781" s="279">
        <v>1</v>
      </c>
      <c r="G781"/>
      <c r="H781"/>
      <c r="I781"/>
      <c r="J781"/>
      <c r="K781"/>
      <c r="L781"/>
      <c r="M781"/>
      <c r="N781"/>
      <c r="O781"/>
      <c r="P781"/>
      <c r="Q781"/>
      <c r="R781"/>
    </row>
    <row r="782" spans="2:18" x14ac:dyDescent="0.25">
      <c r="B782" s="328" t="s">
        <v>459</v>
      </c>
      <c r="C782" s="283">
        <v>13</v>
      </c>
      <c r="D782" s="283">
        <v>4158</v>
      </c>
      <c r="E782" s="279">
        <v>0.70009620009620011</v>
      </c>
      <c r="F782" s="279">
        <v>0.70009620009620011</v>
      </c>
      <c r="G782"/>
      <c r="H782"/>
      <c r="I782"/>
      <c r="J782"/>
      <c r="K782"/>
      <c r="L782"/>
      <c r="M782"/>
      <c r="N782"/>
      <c r="O782"/>
      <c r="P782"/>
      <c r="Q782"/>
      <c r="R782"/>
    </row>
    <row r="783" spans="2:18" x14ac:dyDescent="0.25">
      <c r="B783" s="329" t="s">
        <v>259</v>
      </c>
      <c r="C783" s="283">
        <v>9</v>
      </c>
      <c r="D783" s="283">
        <v>3270</v>
      </c>
      <c r="E783" s="279">
        <v>0.75504587155963299</v>
      </c>
      <c r="F783" s="279">
        <v>0.75504587155963299</v>
      </c>
      <c r="G783"/>
      <c r="H783"/>
      <c r="I783"/>
      <c r="J783"/>
      <c r="K783"/>
      <c r="L783"/>
      <c r="M783"/>
      <c r="N783"/>
      <c r="O783"/>
      <c r="P783"/>
      <c r="Q783"/>
      <c r="R783"/>
    </row>
    <row r="784" spans="2:18" x14ac:dyDescent="0.25">
      <c r="B784" s="329" t="s">
        <v>265</v>
      </c>
      <c r="C784" s="283">
        <v>1</v>
      </c>
      <c r="D784" s="283">
        <v>326</v>
      </c>
      <c r="E784" s="279">
        <v>1</v>
      </c>
      <c r="F784" s="279">
        <v>1</v>
      </c>
      <c r="G784"/>
      <c r="H784"/>
      <c r="I784"/>
      <c r="J784"/>
      <c r="K784"/>
      <c r="L784"/>
      <c r="M784"/>
      <c r="N784"/>
      <c r="O784"/>
      <c r="P784"/>
      <c r="Q784"/>
      <c r="R784"/>
    </row>
    <row r="785" spans="2:18" x14ac:dyDescent="0.25">
      <c r="B785" s="329" t="s">
        <v>268</v>
      </c>
      <c r="C785" s="283">
        <v>1</v>
      </c>
      <c r="D785" s="283">
        <v>446</v>
      </c>
      <c r="E785" s="279">
        <v>0</v>
      </c>
      <c r="F785" s="279">
        <v>0</v>
      </c>
      <c r="G785"/>
      <c r="H785"/>
      <c r="I785"/>
      <c r="J785"/>
      <c r="K785"/>
      <c r="L785"/>
      <c r="M785"/>
      <c r="N785"/>
      <c r="O785"/>
      <c r="P785"/>
      <c r="Q785"/>
      <c r="R785"/>
    </row>
    <row r="786" spans="2:18" x14ac:dyDescent="0.25">
      <c r="B786" s="329" t="s">
        <v>313</v>
      </c>
      <c r="C786" s="283">
        <v>2</v>
      </c>
      <c r="D786" s="283">
        <v>116</v>
      </c>
      <c r="E786" s="279">
        <v>1</v>
      </c>
      <c r="F786" s="279">
        <v>1</v>
      </c>
      <c r="G786"/>
      <c r="H786"/>
      <c r="I786"/>
      <c r="J786"/>
      <c r="K786"/>
      <c r="L786"/>
      <c r="M786"/>
      <c r="N786"/>
      <c r="O786"/>
      <c r="P786"/>
      <c r="Q786"/>
      <c r="R786"/>
    </row>
    <row r="787" spans="2:18" x14ac:dyDescent="0.25">
      <c r="B787" s="26" t="s">
        <v>410</v>
      </c>
      <c r="C787" s="283">
        <v>5</v>
      </c>
      <c r="D787" s="283">
        <v>3999</v>
      </c>
      <c r="E787" s="279">
        <v>1</v>
      </c>
      <c r="F787" s="279">
        <v>0.81545386346586646</v>
      </c>
      <c r="G787"/>
      <c r="H787"/>
      <c r="I787"/>
      <c r="J787"/>
      <c r="K787"/>
      <c r="L787"/>
      <c r="M787"/>
      <c r="N787"/>
      <c r="O787"/>
      <c r="P787"/>
      <c r="Q787"/>
      <c r="R787"/>
    </row>
    <row r="788" spans="2:18" x14ac:dyDescent="0.25">
      <c r="B788" s="293" t="s">
        <v>448</v>
      </c>
      <c r="C788" s="283">
        <v>5</v>
      </c>
      <c r="D788" s="283">
        <v>3999</v>
      </c>
      <c r="E788" s="279">
        <v>1</v>
      </c>
      <c r="F788" s="279">
        <v>0.81545386346586646</v>
      </c>
      <c r="G788"/>
      <c r="H788"/>
      <c r="I788"/>
      <c r="J788"/>
      <c r="K788"/>
      <c r="L788"/>
      <c r="M788"/>
      <c r="N788"/>
      <c r="O788"/>
      <c r="P788"/>
      <c r="Q788"/>
      <c r="R788"/>
    </row>
    <row r="789" spans="2:18" x14ac:dyDescent="0.25">
      <c r="B789" s="329" t="s">
        <v>266</v>
      </c>
      <c r="C789" s="283">
        <v>5</v>
      </c>
      <c r="D789" s="283">
        <v>3999</v>
      </c>
      <c r="E789" s="279">
        <v>1</v>
      </c>
      <c r="F789" s="279">
        <v>0.81545386346586646</v>
      </c>
      <c r="G789"/>
      <c r="H789"/>
      <c r="I789"/>
      <c r="J789"/>
      <c r="K789"/>
      <c r="L789"/>
      <c r="M789"/>
      <c r="N789"/>
      <c r="O789"/>
      <c r="P789"/>
      <c r="Q789"/>
      <c r="R789"/>
    </row>
    <row r="790" spans="2:18" x14ac:dyDescent="0.25">
      <c r="B790" s="26" t="s">
        <v>275</v>
      </c>
      <c r="C790" s="283">
        <v>31</v>
      </c>
      <c r="D790" s="283">
        <v>7282</v>
      </c>
      <c r="E790" s="279">
        <v>1</v>
      </c>
      <c r="F790" s="279">
        <v>0.79689645701730294</v>
      </c>
      <c r="G790"/>
      <c r="H790"/>
      <c r="I790"/>
      <c r="J790"/>
      <c r="K790"/>
      <c r="L790"/>
      <c r="M790"/>
      <c r="N790"/>
      <c r="O790"/>
      <c r="P790"/>
      <c r="Q790"/>
      <c r="R790"/>
    </row>
    <row r="791" spans="2:18" x14ac:dyDescent="0.25">
      <c r="B791" s="293" t="s">
        <v>448</v>
      </c>
      <c r="C791" s="283">
        <v>31</v>
      </c>
      <c r="D791" s="283">
        <v>7282</v>
      </c>
      <c r="E791" s="279">
        <v>1</v>
      </c>
      <c r="F791" s="279">
        <v>0.79689645701730294</v>
      </c>
      <c r="G791"/>
      <c r="H791"/>
      <c r="I791"/>
      <c r="J791"/>
      <c r="K791"/>
      <c r="L791"/>
      <c r="M791"/>
      <c r="N791"/>
      <c r="O791"/>
      <c r="P791"/>
      <c r="Q791"/>
      <c r="R791"/>
    </row>
    <row r="792" spans="2:18" x14ac:dyDescent="0.25">
      <c r="B792" s="329" t="s">
        <v>256</v>
      </c>
      <c r="C792" s="283">
        <v>18</v>
      </c>
      <c r="D792" s="283">
        <v>2888</v>
      </c>
      <c r="E792" s="279">
        <v>1</v>
      </c>
      <c r="F792" s="279">
        <v>0.76177285318559562</v>
      </c>
      <c r="G792"/>
      <c r="H792"/>
      <c r="I792"/>
      <c r="J792"/>
      <c r="K792"/>
      <c r="L792"/>
      <c r="M792"/>
      <c r="N792"/>
      <c r="O792"/>
      <c r="P792"/>
      <c r="Q792"/>
      <c r="R792"/>
    </row>
    <row r="793" spans="2:18" x14ac:dyDescent="0.25">
      <c r="B793" s="329" t="s">
        <v>257</v>
      </c>
      <c r="C793" s="283">
        <v>11</v>
      </c>
      <c r="D793" s="283">
        <v>3236</v>
      </c>
      <c r="E793" s="279">
        <v>1</v>
      </c>
      <c r="F793" s="279">
        <v>0.80438813349814586</v>
      </c>
      <c r="G793"/>
      <c r="H793"/>
      <c r="I793"/>
      <c r="J793"/>
      <c r="K793"/>
      <c r="L793"/>
      <c r="M793"/>
      <c r="N793"/>
      <c r="O793"/>
      <c r="P793"/>
      <c r="Q793"/>
      <c r="R793"/>
    </row>
    <row r="794" spans="2:18" x14ac:dyDescent="0.25">
      <c r="B794" s="329" t="s">
        <v>313</v>
      </c>
      <c r="C794" s="283">
        <v>2</v>
      </c>
      <c r="D794" s="283">
        <v>1158</v>
      </c>
      <c r="E794" s="279">
        <v>1</v>
      </c>
      <c r="F794" s="279">
        <v>0.86355785837651122</v>
      </c>
      <c r="G794"/>
      <c r="H794"/>
      <c r="I794"/>
      <c r="J794"/>
      <c r="K794"/>
      <c r="L794"/>
      <c r="M794"/>
      <c r="N794"/>
      <c r="O794"/>
      <c r="P794"/>
      <c r="Q794"/>
      <c r="R794"/>
    </row>
    <row r="795" spans="2:18" x14ac:dyDescent="0.25">
      <c r="B795" s="26" t="s">
        <v>233</v>
      </c>
      <c r="C795" s="283">
        <v>2</v>
      </c>
      <c r="D795" s="283">
        <v>1101</v>
      </c>
      <c r="E795" s="279">
        <v>1</v>
      </c>
      <c r="F795" s="279">
        <v>0.70481380563124429</v>
      </c>
      <c r="G795"/>
      <c r="H795"/>
      <c r="I795"/>
      <c r="J795"/>
      <c r="K795"/>
      <c r="L795"/>
      <c r="M795"/>
      <c r="N795"/>
      <c r="O795"/>
      <c r="P795"/>
      <c r="Q795"/>
      <c r="R795"/>
    </row>
    <row r="796" spans="2:18" x14ac:dyDescent="0.25">
      <c r="B796" s="293" t="s">
        <v>448</v>
      </c>
      <c r="C796" s="283">
        <v>1</v>
      </c>
      <c r="D796" s="283">
        <v>965</v>
      </c>
      <c r="E796" s="279">
        <v>1</v>
      </c>
      <c r="F796" s="279">
        <v>0.66321243523316065</v>
      </c>
    </row>
    <row r="797" spans="2:18" x14ac:dyDescent="0.25">
      <c r="B797" s="329" t="s">
        <v>259</v>
      </c>
      <c r="C797" s="283">
        <v>1</v>
      </c>
      <c r="D797" s="283">
        <v>965</v>
      </c>
      <c r="E797" s="279">
        <v>1</v>
      </c>
      <c r="F797" s="279">
        <v>0.66321243523316065</v>
      </c>
    </row>
    <row r="798" spans="2:18" x14ac:dyDescent="0.25">
      <c r="B798" s="293" t="s">
        <v>449</v>
      </c>
      <c r="C798" s="283">
        <v>1</v>
      </c>
      <c r="D798" s="283">
        <v>136</v>
      </c>
      <c r="E798" s="279">
        <v>1</v>
      </c>
      <c r="F798" s="279">
        <v>1</v>
      </c>
    </row>
    <row r="799" spans="2:18" x14ac:dyDescent="0.25">
      <c r="B799" s="329" t="s">
        <v>265</v>
      </c>
      <c r="C799" s="283">
        <v>1</v>
      </c>
      <c r="D799" s="283">
        <v>136</v>
      </c>
      <c r="E799" s="279">
        <v>1</v>
      </c>
      <c r="F799" s="279">
        <v>1</v>
      </c>
    </row>
    <row r="800" spans="2:18" x14ac:dyDescent="0.25">
      <c r="B800" s="26" t="s">
        <v>73</v>
      </c>
      <c r="C800" s="283">
        <v>175</v>
      </c>
      <c r="D800" s="283">
        <v>84638</v>
      </c>
      <c r="E800" s="279">
        <v>0.98211599202879707</v>
      </c>
      <c r="F800" s="279">
        <v>0.89394834471513973</v>
      </c>
    </row>
    <row r="801" spans="2:6" x14ac:dyDescent="0.25">
      <c r="B801"/>
      <c r="C801"/>
      <c r="D801"/>
      <c r="E801"/>
      <c r="F801"/>
    </row>
    <row r="802" spans="2:6" x14ac:dyDescent="0.25">
      <c r="B802"/>
      <c r="C802"/>
      <c r="D802"/>
      <c r="E802"/>
      <c r="F802"/>
    </row>
    <row r="803" spans="2:6" x14ac:dyDescent="0.25">
      <c r="B803"/>
      <c r="C803"/>
      <c r="D803"/>
      <c r="E803"/>
      <c r="F803"/>
    </row>
    <row r="804" spans="2:6" x14ac:dyDescent="0.25">
      <c r="B804"/>
      <c r="C804"/>
      <c r="D804"/>
      <c r="E804"/>
      <c r="F804"/>
    </row>
    <row r="805" spans="2:6" x14ac:dyDescent="0.25">
      <c r="B805"/>
      <c r="C805"/>
      <c r="D805"/>
      <c r="E805"/>
      <c r="F805"/>
    </row>
    <row r="806" spans="2:6" x14ac:dyDescent="0.25">
      <c r="B806"/>
      <c r="C806"/>
      <c r="D806"/>
      <c r="E806"/>
      <c r="F806"/>
    </row>
    <row r="807" spans="2:6" x14ac:dyDescent="0.25">
      <c r="B807"/>
      <c r="C807"/>
      <c r="D807"/>
      <c r="E807"/>
      <c r="F807"/>
    </row>
    <row r="808" spans="2:6" x14ac:dyDescent="0.25">
      <c r="B808"/>
      <c r="C808"/>
      <c r="D808"/>
      <c r="E808"/>
      <c r="F808"/>
    </row>
    <row r="809" spans="2:6" x14ac:dyDescent="0.25">
      <c r="B809"/>
      <c r="C809"/>
      <c r="D809"/>
      <c r="E809"/>
      <c r="F809"/>
    </row>
    <row r="810" spans="2:6" x14ac:dyDescent="0.25">
      <c r="B810"/>
      <c r="C810"/>
      <c r="D810"/>
      <c r="E810"/>
      <c r="F810"/>
    </row>
    <row r="811" spans="2:6" x14ac:dyDescent="0.25">
      <c r="B811"/>
      <c r="C811"/>
      <c r="D811"/>
      <c r="E811"/>
      <c r="F811"/>
    </row>
    <row r="812" spans="2:6" x14ac:dyDescent="0.25">
      <c r="B812"/>
      <c r="C812"/>
      <c r="D812"/>
      <c r="E812"/>
      <c r="F812"/>
    </row>
    <row r="813" spans="2:6" x14ac:dyDescent="0.25">
      <c r="B813"/>
      <c r="C813"/>
      <c r="D813"/>
      <c r="E813"/>
      <c r="F813"/>
    </row>
    <row r="814" spans="2:6" x14ac:dyDescent="0.25">
      <c r="B814"/>
      <c r="C814"/>
      <c r="D814"/>
      <c r="E814"/>
      <c r="F814"/>
    </row>
    <row r="815" spans="2:6" x14ac:dyDescent="0.25">
      <c r="B815"/>
      <c r="C815"/>
      <c r="D815"/>
      <c r="E815"/>
      <c r="F815"/>
    </row>
    <row r="816" spans="2:6" x14ac:dyDescent="0.25">
      <c r="B816"/>
      <c r="C816"/>
      <c r="D816"/>
      <c r="E816"/>
      <c r="F816"/>
    </row>
    <row r="817" spans="2:6" x14ac:dyDescent="0.25">
      <c r="B817"/>
      <c r="C817"/>
      <c r="D817"/>
      <c r="E817"/>
      <c r="F817"/>
    </row>
    <row r="818" spans="2:6" x14ac:dyDescent="0.25">
      <c r="B818"/>
      <c r="C818"/>
      <c r="D818"/>
      <c r="E818"/>
      <c r="F818"/>
    </row>
    <row r="819" spans="2:6" x14ac:dyDescent="0.25">
      <c r="B819"/>
      <c r="C819"/>
      <c r="D819"/>
      <c r="E819"/>
      <c r="F819"/>
    </row>
    <row r="820" spans="2:6" x14ac:dyDescent="0.25">
      <c r="B820"/>
      <c r="C820"/>
      <c r="D820"/>
      <c r="E820"/>
      <c r="F820"/>
    </row>
    <row r="821" spans="2:6" x14ac:dyDescent="0.25">
      <c r="B821"/>
      <c r="C821"/>
      <c r="D821"/>
      <c r="E821"/>
      <c r="F821"/>
    </row>
    <row r="822" spans="2:6" x14ac:dyDescent="0.25">
      <c r="B822"/>
      <c r="C822"/>
      <c r="D822"/>
      <c r="E822"/>
      <c r="F822"/>
    </row>
    <row r="823" spans="2:6" x14ac:dyDescent="0.25">
      <c r="B823"/>
      <c r="C823"/>
      <c r="D823"/>
      <c r="E823"/>
      <c r="F823"/>
    </row>
    <row r="824" spans="2:6" x14ac:dyDescent="0.25">
      <c r="B824"/>
      <c r="C824"/>
      <c r="D824"/>
      <c r="E824"/>
      <c r="F824"/>
    </row>
    <row r="825" spans="2:6" x14ac:dyDescent="0.25">
      <c r="B825"/>
      <c r="C825"/>
      <c r="D825"/>
      <c r="E825"/>
      <c r="F825"/>
    </row>
    <row r="826" spans="2:6" x14ac:dyDescent="0.25">
      <c r="B826"/>
      <c r="C826"/>
      <c r="D826"/>
      <c r="E826"/>
      <c r="F826"/>
    </row>
    <row r="827" spans="2:6" x14ac:dyDescent="0.25">
      <c r="B827"/>
      <c r="C827"/>
      <c r="D827"/>
      <c r="E827"/>
      <c r="F827"/>
    </row>
    <row r="828" spans="2:6" x14ac:dyDescent="0.25">
      <c r="B828"/>
      <c r="C828"/>
      <c r="D828"/>
      <c r="E828"/>
      <c r="F828"/>
    </row>
    <row r="829" spans="2:6" x14ac:dyDescent="0.25">
      <c r="B829"/>
      <c r="C829"/>
      <c r="D829"/>
      <c r="E829"/>
      <c r="F829"/>
    </row>
    <row r="830" spans="2:6" x14ac:dyDescent="0.25">
      <c r="B830"/>
      <c r="C830"/>
      <c r="D830"/>
      <c r="E830"/>
      <c r="F830"/>
    </row>
    <row r="831" spans="2:6" x14ac:dyDescent="0.25">
      <c r="B831"/>
      <c r="C831"/>
      <c r="D831"/>
      <c r="E831"/>
      <c r="F831"/>
    </row>
    <row r="832" spans="2:6" x14ac:dyDescent="0.25">
      <c r="B832"/>
      <c r="C832"/>
      <c r="D832"/>
      <c r="E832"/>
      <c r="F832"/>
    </row>
    <row r="833" spans="2:6" x14ac:dyDescent="0.25">
      <c r="B833"/>
      <c r="C833"/>
      <c r="D833"/>
      <c r="E833"/>
      <c r="F833"/>
    </row>
    <row r="834" spans="2:6" x14ac:dyDescent="0.25">
      <c r="B834"/>
      <c r="C834"/>
      <c r="D834"/>
      <c r="E834"/>
      <c r="F834"/>
    </row>
    <row r="835" spans="2:6" x14ac:dyDescent="0.25">
      <c r="B835"/>
      <c r="C835"/>
      <c r="D835"/>
      <c r="E835"/>
      <c r="F835"/>
    </row>
    <row r="836" spans="2:6" x14ac:dyDescent="0.25">
      <c r="B836"/>
      <c r="C836"/>
      <c r="D836"/>
      <c r="E836"/>
      <c r="F836"/>
    </row>
    <row r="837" spans="2:6" x14ac:dyDescent="0.25">
      <c r="B837"/>
      <c r="C837"/>
      <c r="D837"/>
      <c r="E837"/>
      <c r="F837"/>
    </row>
    <row r="838" spans="2:6" x14ac:dyDescent="0.25">
      <c r="B838"/>
      <c r="C838"/>
      <c r="D838"/>
      <c r="E838"/>
      <c r="F838"/>
    </row>
    <row r="839" spans="2:6" x14ac:dyDescent="0.25">
      <c r="B839"/>
      <c r="C839"/>
      <c r="D839"/>
      <c r="E839"/>
      <c r="F839"/>
    </row>
    <row r="840" spans="2:6" x14ac:dyDescent="0.25">
      <c r="B840"/>
      <c r="C840"/>
      <c r="D840"/>
      <c r="E840"/>
      <c r="F840"/>
    </row>
    <row r="841" spans="2:6" x14ac:dyDescent="0.25">
      <c r="B841"/>
      <c r="C841"/>
      <c r="D841"/>
      <c r="E841"/>
      <c r="F841"/>
    </row>
    <row r="842" spans="2:6" x14ac:dyDescent="0.25">
      <c r="B842"/>
      <c r="C842"/>
      <c r="D842"/>
      <c r="E842"/>
      <c r="F842"/>
    </row>
    <row r="843" spans="2:6" x14ac:dyDescent="0.25">
      <c r="B843"/>
      <c r="C843"/>
      <c r="D843"/>
      <c r="E843"/>
      <c r="F843"/>
    </row>
    <row r="844" spans="2:6" x14ac:dyDescent="0.25">
      <c r="B844"/>
      <c r="C844"/>
      <c r="D844"/>
      <c r="E844"/>
      <c r="F844"/>
    </row>
    <row r="845" spans="2:6" x14ac:dyDescent="0.25">
      <c r="B845"/>
      <c r="C845"/>
      <c r="D845"/>
      <c r="E845"/>
      <c r="F845"/>
    </row>
    <row r="846" spans="2:6" x14ac:dyDescent="0.25">
      <c r="B846"/>
      <c r="C846"/>
      <c r="D846"/>
      <c r="E846"/>
      <c r="F846"/>
    </row>
    <row r="847" spans="2:6" x14ac:dyDescent="0.25">
      <c r="B847"/>
      <c r="C847"/>
      <c r="D847"/>
      <c r="E847"/>
      <c r="F847"/>
    </row>
    <row r="848" spans="2:6" x14ac:dyDescent="0.25">
      <c r="B848"/>
      <c r="C848"/>
      <c r="D848"/>
      <c r="E848"/>
      <c r="F848"/>
    </row>
    <row r="849" spans="2:6" x14ac:dyDescent="0.25">
      <c r="B849"/>
      <c r="C849"/>
      <c r="D849"/>
      <c r="E849"/>
      <c r="F849"/>
    </row>
    <row r="850" spans="2:6" x14ac:dyDescent="0.25">
      <c r="B850"/>
      <c r="C850"/>
      <c r="D850"/>
      <c r="E850"/>
      <c r="F850"/>
    </row>
    <row r="851" spans="2:6" x14ac:dyDescent="0.25">
      <c r="B851"/>
      <c r="C851"/>
      <c r="D851"/>
      <c r="E851"/>
      <c r="F851"/>
    </row>
    <row r="852" spans="2:6" x14ac:dyDescent="0.25">
      <c r="B852"/>
      <c r="C852"/>
      <c r="D852"/>
      <c r="E852"/>
      <c r="F852"/>
    </row>
    <row r="853" spans="2:6" x14ac:dyDescent="0.25">
      <c r="B853"/>
      <c r="C853"/>
      <c r="D853"/>
      <c r="E853"/>
      <c r="F853"/>
    </row>
    <row r="854" spans="2:6" x14ac:dyDescent="0.25">
      <c r="B854"/>
      <c r="C854"/>
      <c r="D854"/>
      <c r="E854"/>
      <c r="F854"/>
    </row>
    <row r="855" spans="2:6" x14ac:dyDescent="0.25">
      <c r="B855"/>
      <c r="C855"/>
      <c r="D855"/>
      <c r="E855"/>
      <c r="F855"/>
    </row>
    <row r="856" spans="2:6" x14ac:dyDescent="0.25">
      <c r="B856"/>
      <c r="C856"/>
      <c r="D856"/>
      <c r="E856"/>
      <c r="F856"/>
    </row>
    <row r="857" spans="2:6" x14ac:dyDescent="0.25">
      <c r="B857"/>
      <c r="C857"/>
      <c r="D857"/>
      <c r="E857"/>
      <c r="F857"/>
    </row>
    <row r="858" spans="2:6" x14ac:dyDescent="0.25">
      <c r="B858"/>
      <c r="C858"/>
      <c r="D858"/>
      <c r="E858"/>
      <c r="F858"/>
    </row>
    <row r="859" spans="2:6" x14ac:dyDescent="0.25">
      <c r="B859"/>
      <c r="C859"/>
      <c r="D859"/>
      <c r="E859"/>
      <c r="F859"/>
    </row>
    <row r="860" spans="2:6" x14ac:dyDescent="0.25">
      <c r="B860"/>
      <c r="C860"/>
      <c r="D860"/>
      <c r="E860"/>
      <c r="F860"/>
    </row>
    <row r="861" spans="2:6" x14ac:dyDescent="0.25">
      <c r="B861"/>
      <c r="C861"/>
      <c r="D861"/>
      <c r="E861"/>
      <c r="F861"/>
    </row>
    <row r="862" spans="2:6" x14ac:dyDescent="0.25">
      <c r="B862"/>
      <c r="C862"/>
      <c r="D862"/>
      <c r="E862"/>
      <c r="F862"/>
    </row>
    <row r="863" spans="2:6" x14ac:dyDescent="0.25">
      <c r="B863"/>
      <c r="C863"/>
      <c r="D863"/>
      <c r="E863"/>
      <c r="F863"/>
    </row>
    <row r="864" spans="2:6" x14ac:dyDescent="0.25">
      <c r="B864"/>
      <c r="C864"/>
      <c r="D864"/>
      <c r="E864"/>
      <c r="F864"/>
    </row>
    <row r="865" spans="2:6" x14ac:dyDescent="0.25">
      <c r="B865"/>
      <c r="C865"/>
      <c r="D865"/>
      <c r="E865"/>
      <c r="F865"/>
    </row>
    <row r="866" spans="2:6" x14ac:dyDescent="0.25">
      <c r="B866"/>
      <c r="C866"/>
      <c r="D866"/>
      <c r="E866"/>
      <c r="F866"/>
    </row>
    <row r="867" spans="2:6" x14ac:dyDescent="0.25">
      <c r="B867"/>
      <c r="C867"/>
      <c r="D867"/>
      <c r="E867"/>
      <c r="F867"/>
    </row>
    <row r="868" spans="2:6" x14ac:dyDescent="0.25">
      <c r="B868"/>
      <c r="C868"/>
      <c r="D868"/>
      <c r="E868"/>
      <c r="F868"/>
    </row>
    <row r="869" spans="2:6" x14ac:dyDescent="0.25">
      <c r="B869"/>
      <c r="C869"/>
      <c r="D869"/>
      <c r="E869"/>
      <c r="F869"/>
    </row>
    <row r="870" spans="2:6" x14ac:dyDescent="0.25">
      <c r="B870"/>
      <c r="C870"/>
      <c r="D870"/>
      <c r="E870"/>
      <c r="F870"/>
    </row>
    <row r="871" spans="2:6" x14ac:dyDescent="0.25">
      <c r="B871"/>
      <c r="C871"/>
      <c r="D871"/>
      <c r="E871"/>
      <c r="F871"/>
    </row>
    <row r="872" spans="2:6" x14ac:dyDescent="0.25">
      <c r="B872"/>
      <c r="C872"/>
      <c r="D872"/>
      <c r="E872"/>
      <c r="F872"/>
    </row>
    <row r="873" spans="2:6" x14ac:dyDescent="0.25">
      <c r="B873"/>
      <c r="C873"/>
      <c r="D873"/>
      <c r="E873"/>
      <c r="F873"/>
    </row>
    <row r="874" spans="2:6" x14ac:dyDescent="0.25">
      <c r="B874"/>
      <c r="C874"/>
      <c r="D874"/>
      <c r="E874"/>
      <c r="F874"/>
    </row>
    <row r="875" spans="2:6" x14ac:dyDescent="0.25">
      <c r="B875"/>
      <c r="C875"/>
      <c r="D875"/>
      <c r="E875"/>
      <c r="F875"/>
    </row>
    <row r="876" spans="2:6" x14ac:dyDescent="0.25">
      <c r="B876"/>
      <c r="C876"/>
      <c r="D876"/>
      <c r="E876"/>
      <c r="F876"/>
    </row>
    <row r="877" spans="2:6" x14ac:dyDescent="0.25">
      <c r="B877"/>
      <c r="C877"/>
      <c r="D877"/>
      <c r="E877"/>
      <c r="F877"/>
    </row>
    <row r="878" spans="2:6" x14ac:dyDescent="0.25">
      <c r="B878"/>
      <c r="C878"/>
      <c r="D878"/>
      <c r="E878"/>
      <c r="F878"/>
    </row>
    <row r="879" spans="2:6" x14ac:dyDescent="0.25">
      <c r="B879"/>
      <c r="C879"/>
      <c r="D879"/>
      <c r="E879"/>
      <c r="F879"/>
    </row>
    <row r="880" spans="2:6" x14ac:dyDescent="0.25">
      <c r="B880"/>
      <c r="C880"/>
      <c r="D880"/>
      <c r="E880"/>
      <c r="F880"/>
    </row>
    <row r="881" spans="2:6" x14ac:dyDescent="0.25">
      <c r="B881"/>
      <c r="C881"/>
      <c r="D881"/>
      <c r="E881"/>
      <c r="F881"/>
    </row>
    <row r="882" spans="2:6" x14ac:dyDescent="0.25">
      <c r="B882"/>
      <c r="C882"/>
      <c r="D882"/>
      <c r="E882"/>
      <c r="F882"/>
    </row>
    <row r="883" spans="2:6" x14ac:dyDescent="0.25">
      <c r="B883"/>
      <c r="C883"/>
      <c r="D883"/>
      <c r="E883"/>
      <c r="F883"/>
    </row>
    <row r="884" spans="2:6" x14ac:dyDescent="0.25">
      <c r="B884"/>
      <c r="C884"/>
      <c r="D884"/>
      <c r="E884"/>
      <c r="F884"/>
    </row>
    <row r="885" spans="2:6" x14ac:dyDescent="0.25">
      <c r="B885"/>
      <c r="C885"/>
      <c r="D885"/>
      <c r="E885"/>
      <c r="F885"/>
    </row>
    <row r="886" spans="2:6" x14ac:dyDescent="0.25">
      <c r="B886"/>
      <c r="C886"/>
      <c r="D886"/>
      <c r="E886"/>
      <c r="F886"/>
    </row>
    <row r="887" spans="2:6" x14ac:dyDescent="0.25">
      <c r="B887"/>
      <c r="C887"/>
      <c r="D887"/>
      <c r="E887"/>
      <c r="F887"/>
    </row>
    <row r="888" spans="2:6" x14ac:dyDescent="0.25">
      <c r="B888"/>
      <c r="C888"/>
      <c r="D888"/>
      <c r="E888"/>
      <c r="F888"/>
    </row>
    <row r="889" spans="2:6" x14ac:dyDescent="0.25">
      <c r="B889"/>
      <c r="C889"/>
      <c r="D889"/>
      <c r="E889"/>
      <c r="F889"/>
    </row>
    <row r="890" spans="2:6" x14ac:dyDescent="0.25">
      <c r="B890"/>
      <c r="C890"/>
      <c r="D890"/>
      <c r="E890"/>
      <c r="F890"/>
    </row>
    <row r="891" spans="2:6" x14ac:dyDescent="0.25">
      <c r="B891"/>
      <c r="C891"/>
      <c r="D891"/>
      <c r="E891"/>
      <c r="F891"/>
    </row>
    <row r="892" spans="2:6" x14ac:dyDescent="0.25">
      <c r="B892"/>
      <c r="C892"/>
      <c r="D892"/>
      <c r="E892"/>
      <c r="F892"/>
    </row>
    <row r="893" spans="2:6" x14ac:dyDescent="0.25">
      <c r="B893"/>
      <c r="C893"/>
      <c r="D893"/>
      <c r="E893"/>
      <c r="F893"/>
    </row>
    <row r="894" spans="2:6" x14ac:dyDescent="0.25">
      <c r="B894"/>
      <c r="C894"/>
      <c r="D894"/>
      <c r="E894"/>
      <c r="F894"/>
    </row>
    <row r="895" spans="2:6" x14ac:dyDescent="0.25">
      <c r="B895"/>
      <c r="C895"/>
      <c r="D895"/>
      <c r="E895"/>
      <c r="F895"/>
    </row>
    <row r="896" spans="2:6" x14ac:dyDescent="0.25">
      <c r="B896"/>
      <c r="C896"/>
      <c r="D896"/>
      <c r="E896"/>
      <c r="F896"/>
    </row>
    <row r="897" spans="2:6" x14ac:dyDescent="0.25">
      <c r="B897"/>
      <c r="C897"/>
      <c r="D897"/>
      <c r="E897"/>
      <c r="F897"/>
    </row>
    <row r="898" spans="2:6" x14ac:dyDescent="0.25">
      <c r="B898"/>
      <c r="C898"/>
      <c r="D898"/>
      <c r="E898"/>
      <c r="F898"/>
    </row>
    <row r="899" spans="2:6" x14ac:dyDescent="0.25">
      <c r="B899"/>
      <c r="C899"/>
      <c r="D899"/>
      <c r="E899"/>
      <c r="F899"/>
    </row>
    <row r="900" spans="2:6" x14ac:dyDescent="0.25">
      <c r="B900"/>
      <c r="C900"/>
      <c r="D900"/>
      <c r="E900"/>
      <c r="F900"/>
    </row>
    <row r="901" spans="2:6" x14ac:dyDescent="0.25">
      <c r="B901"/>
      <c r="C901"/>
      <c r="D901"/>
      <c r="E901"/>
      <c r="F901"/>
    </row>
    <row r="902" spans="2:6" x14ac:dyDescent="0.25">
      <c r="B902"/>
      <c r="C902"/>
      <c r="D902"/>
      <c r="E902"/>
      <c r="F902"/>
    </row>
    <row r="903" spans="2:6" x14ac:dyDescent="0.25">
      <c r="B903"/>
      <c r="C903"/>
      <c r="D903"/>
      <c r="E903"/>
      <c r="F903"/>
    </row>
    <row r="904" spans="2:6" x14ac:dyDescent="0.25">
      <c r="B904"/>
      <c r="C904"/>
      <c r="D904"/>
      <c r="E904"/>
      <c r="F904"/>
    </row>
    <row r="905" spans="2:6" x14ac:dyDescent="0.25">
      <c r="B905"/>
      <c r="C905"/>
      <c r="D905"/>
      <c r="E905"/>
      <c r="F905"/>
    </row>
  </sheetData>
  <sheetProtection formatCells="0" formatColumns="0" formatRows="0" sort="0" autoFilter="0" pivotTables="0"/>
  <mergeCells count="2">
    <mergeCell ref="B2:N2"/>
    <mergeCell ref="B5:N5"/>
  </mergeCells>
  <pageMargins left="0.7" right="0.7" top="0.75" bottom="0.75" header="0.3" footer="0.3"/>
  <pageSetup orientation="portrait" r:id="rId31"/>
  <drawing r:id="rId3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198"/>
  <sheetViews>
    <sheetView showGridLines="0" zoomScale="75" zoomScaleNormal="75" workbookViewId="0">
      <selection activeCell="D24" sqref="D24"/>
    </sheetView>
  </sheetViews>
  <sheetFormatPr defaultColWidth="9.7109375" defaultRowHeight="15.75" x14ac:dyDescent="0.25"/>
  <cols>
    <col min="1" max="1" width="9.7109375" style="52"/>
    <col min="2" max="2" width="47.7109375" style="53" customWidth="1"/>
    <col min="3" max="3" width="17.7109375" style="54" customWidth="1"/>
    <col min="4" max="4" width="11.7109375" style="52" customWidth="1"/>
    <col min="5" max="5" width="12.5703125" style="52" customWidth="1"/>
    <col min="6" max="6" width="12.140625" style="52" customWidth="1"/>
    <col min="7" max="7" width="10.42578125" style="52" bestFit="1" customWidth="1"/>
    <col min="8" max="13" width="9.85546875" style="52" customWidth="1"/>
    <col min="14" max="14" width="11.7109375" style="52" bestFit="1" customWidth="1"/>
    <col min="15" max="17" width="9.7109375" style="52"/>
    <col min="18" max="18" width="12.7109375" style="52" customWidth="1"/>
    <col min="19" max="19" width="16.7109375" style="52" customWidth="1"/>
    <col min="20" max="16384" width="9.7109375" style="52"/>
  </cols>
  <sheetData>
    <row r="2" spans="2:13" ht="38.450000000000003" customHeight="1" x14ac:dyDescent="0.25">
      <c r="B2" s="819" t="s">
        <v>317</v>
      </c>
      <c r="C2" s="820"/>
      <c r="D2" s="820"/>
      <c r="E2" s="820"/>
      <c r="F2" s="820"/>
      <c r="G2" s="820"/>
      <c r="H2" s="820"/>
      <c r="I2" s="820"/>
      <c r="J2" s="820"/>
      <c r="K2" s="820"/>
      <c r="L2" s="820"/>
      <c r="M2" s="821"/>
    </row>
    <row r="4" spans="2:13" ht="16.5" thickBot="1" x14ac:dyDescent="0.3"/>
    <row r="5" spans="2:13" ht="16.5" thickBot="1" x14ac:dyDescent="0.3">
      <c r="B5" s="817" t="s">
        <v>318</v>
      </c>
      <c r="C5" s="818"/>
    </row>
    <row r="6" spans="2:13" x14ac:dyDescent="0.25">
      <c r="B6" s="769" t="s">
        <v>319</v>
      </c>
      <c r="C6" s="770" t="s">
        <v>74</v>
      </c>
    </row>
    <row r="7" spans="2:13" x14ac:dyDescent="0.25">
      <c r="B7" s="52"/>
      <c r="C7" s="52"/>
    </row>
    <row r="8" spans="2:13" ht="45" x14ac:dyDescent="0.25">
      <c r="B8" s="755" t="s">
        <v>320</v>
      </c>
      <c r="C8" s="787"/>
      <c r="D8" s="55"/>
      <c r="E8" s="55"/>
      <c r="F8" s="55"/>
      <c r="G8" s="55"/>
      <c r="H8" s="55"/>
    </row>
    <row r="9" spans="2:13" x14ac:dyDescent="0.25">
      <c r="B9" s="755" t="s">
        <v>321</v>
      </c>
      <c r="C9" s="757" t="s">
        <v>2</v>
      </c>
      <c r="D9" s="55"/>
      <c r="E9" s="55"/>
      <c r="F9" s="55"/>
      <c r="G9" s="55"/>
      <c r="H9" s="55"/>
    </row>
    <row r="10" spans="2:13" x14ac:dyDescent="0.25">
      <c r="B10" s="751" t="s">
        <v>322</v>
      </c>
      <c r="C10" s="779">
        <v>4429713</v>
      </c>
      <c r="D10" s="55"/>
      <c r="E10" s="55"/>
      <c r="F10" s="55"/>
      <c r="G10" s="55"/>
      <c r="H10" s="55"/>
    </row>
    <row r="11" spans="2:13" x14ac:dyDescent="0.25">
      <c r="B11" s="761" t="s">
        <v>323</v>
      </c>
      <c r="C11" s="782">
        <v>414423</v>
      </c>
      <c r="D11" s="55"/>
      <c r="E11" s="55"/>
      <c r="F11" s="55"/>
      <c r="G11" s="55"/>
      <c r="H11" s="55"/>
    </row>
    <row r="12" spans="2:13" x14ac:dyDescent="0.25">
      <c r="B12" s="761" t="s">
        <v>324</v>
      </c>
      <c r="C12" s="782">
        <v>3761179</v>
      </c>
      <c r="D12" s="55"/>
      <c r="E12" s="55"/>
      <c r="F12" s="55"/>
      <c r="G12" s="55"/>
      <c r="H12" s="55"/>
    </row>
    <row r="13" spans="2:13" x14ac:dyDescent="0.25">
      <c r="B13" s="761" t="s">
        <v>325</v>
      </c>
      <c r="C13" s="782">
        <v>2195052.61</v>
      </c>
      <c r="D13" s="55"/>
      <c r="E13" s="55"/>
      <c r="F13" s="55"/>
      <c r="G13" s="55"/>
      <c r="H13" s="55"/>
    </row>
    <row r="14" spans="2:13" x14ac:dyDescent="0.25">
      <c r="B14" s="761" t="s">
        <v>326</v>
      </c>
      <c r="C14" s="782">
        <v>292113</v>
      </c>
      <c r="D14" s="55"/>
      <c r="E14" s="55"/>
      <c r="F14" s="55"/>
      <c r="G14" s="55"/>
      <c r="H14" s="55"/>
    </row>
    <row r="15" spans="2:13" x14ac:dyDescent="0.25">
      <c r="B15" s="761" t="s">
        <v>327</v>
      </c>
      <c r="C15" s="782">
        <v>515029</v>
      </c>
      <c r="D15" s="55"/>
      <c r="E15" s="55"/>
      <c r="F15" s="55"/>
      <c r="G15" s="55"/>
      <c r="H15" s="55"/>
    </row>
    <row r="16" spans="2:13" x14ac:dyDescent="0.25">
      <c r="B16" s="761" t="s">
        <v>328</v>
      </c>
      <c r="C16" s="782">
        <v>197000</v>
      </c>
      <c r="D16" s="55"/>
      <c r="E16" s="55"/>
      <c r="F16" s="55"/>
      <c r="G16" s="55"/>
      <c r="H16" s="55"/>
    </row>
    <row r="17" spans="2:8" x14ac:dyDescent="0.25">
      <c r="B17" s="761" t="s">
        <v>329</v>
      </c>
      <c r="C17" s="782">
        <v>156270</v>
      </c>
      <c r="D17" s="55"/>
      <c r="E17" s="55"/>
      <c r="F17" s="55"/>
      <c r="G17" s="55"/>
      <c r="H17" s="55"/>
    </row>
    <row r="18" spans="2:8" x14ac:dyDescent="0.25">
      <c r="B18" s="761" t="s">
        <v>330</v>
      </c>
      <c r="C18" s="782">
        <v>396792</v>
      </c>
      <c r="D18" s="55"/>
      <c r="E18" s="55"/>
      <c r="F18" s="55"/>
      <c r="G18" s="55"/>
      <c r="H18" s="55"/>
    </row>
    <row r="19" spans="2:8" x14ac:dyDescent="0.25">
      <c r="B19" s="761" t="s">
        <v>471</v>
      </c>
      <c r="C19" s="782">
        <v>750000</v>
      </c>
      <c r="D19" s="55"/>
      <c r="E19" s="55"/>
      <c r="F19" s="55"/>
      <c r="G19" s="55"/>
      <c r="H19" s="55"/>
    </row>
    <row r="20" spans="2:8" x14ac:dyDescent="0.25">
      <c r="B20" s="761" t="s">
        <v>473</v>
      </c>
      <c r="C20" s="782">
        <v>17000</v>
      </c>
      <c r="D20" s="55"/>
      <c r="E20" s="55"/>
      <c r="F20" s="55"/>
      <c r="G20" s="55"/>
      <c r="H20" s="55"/>
    </row>
    <row r="21" spans="2:8" x14ac:dyDescent="0.25">
      <c r="B21" s="761" t="s">
        <v>476</v>
      </c>
      <c r="C21" s="782">
        <v>80400</v>
      </c>
      <c r="D21" s="55"/>
      <c r="E21" s="55"/>
      <c r="F21" s="55"/>
    </row>
    <row r="22" spans="2:8" x14ac:dyDescent="0.25">
      <c r="B22" s="761" t="s">
        <v>604</v>
      </c>
      <c r="C22" s="782">
        <v>43482</v>
      </c>
    </row>
    <row r="23" spans="2:8" x14ac:dyDescent="0.25">
      <c r="B23" s="761" t="s">
        <v>673</v>
      </c>
      <c r="C23" s="782">
        <v>711973</v>
      </c>
    </row>
    <row r="24" spans="2:8" x14ac:dyDescent="0.25">
      <c r="B24" s="761" t="s">
        <v>398</v>
      </c>
      <c r="C24" s="782">
        <v>346135</v>
      </c>
    </row>
    <row r="25" spans="2:8" x14ac:dyDescent="0.25">
      <c r="B25" s="761" t="s">
        <v>777</v>
      </c>
      <c r="C25" s="782">
        <v>400000</v>
      </c>
    </row>
    <row r="26" spans="2:8" x14ac:dyDescent="0.25">
      <c r="B26" s="761" t="s">
        <v>780</v>
      </c>
      <c r="C26" s="782"/>
      <c r="D26" s="57"/>
      <c r="E26" s="57"/>
    </row>
    <row r="27" spans="2:8" x14ac:dyDescent="0.25">
      <c r="B27" s="761" t="s">
        <v>423</v>
      </c>
      <c r="C27" s="782">
        <v>399283</v>
      </c>
      <c r="D27" s="57"/>
      <c r="E27" s="57"/>
    </row>
    <row r="28" spans="2:8" x14ac:dyDescent="0.25">
      <c r="B28" s="788" t="s">
        <v>73</v>
      </c>
      <c r="C28" s="789">
        <v>15105844.609999999</v>
      </c>
      <c r="D28" s="57"/>
      <c r="E28" s="57"/>
    </row>
    <row r="29" spans="2:8" x14ac:dyDescent="0.25">
      <c r="B29" s="56"/>
      <c r="C29" s="56"/>
      <c r="D29" s="57"/>
      <c r="E29" s="57"/>
    </row>
    <row r="30" spans="2:8" x14ac:dyDescent="0.25">
      <c r="B30" s="56"/>
      <c r="C30" s="56"/>
      <c r="D30" s="57"/>
      <c r="E30" s="57"/>
    </row>
    <row r="31" spans="2:8" s="261" customFormat="1" ht="16.5" thickBot="1" x14ac:dyDescent="0.3">
      <c r="B31" s="272" t="s">
        <v>383</v>
      </c>
      <c r="C31" s="262" t="s">
        <v>261</v>
      </c>
    </row>
    <row r="32" spans="2:8" s="261" customFormat="1" ht="16.5" thickBot="1" x14ac:dyDescent="0.3">
      <c r="B32" s="823" t="s">
        <v>630</v>
      </c>
      <c r="C32" s="824"/>
    </row>
    <row r="33" spans="2:8" s="261" customFormat="1" ht="30" x14ac:dyDescent="0.25">
      <c r="B33" s="273" t="s">
        <v>631</v>
      </c>
      <c r="C33" s="263"/>
      <c r="D33"/>
      <c r="E33"/>
      <c r="F33"/>
      <c r="G33"/>
      <c r="H33" s="264"/>
    </row>
    <row r="34" spans="2:8" s="261" customFormat="1" x14ac:dyDescent="0.25">
      <c r="B34" s="273" t="s">
        <v>321</v>
      </c>
      <c r="C34" s="265" t="s">
        <v>2</v>
      </c>
      <c r="D34"/>
      <c r="E34"/>
      <c r="F34"/>
      <c r="G34"/>
      <c r="H34" s="264"/>
    </row>
    <row r="35" spans="2:8" s="261" customFormat="1" x14ac:dyDescent="0.25">
      <c r="B35" s="266" t="s">
        <v>322</v>
      </c>
      <c r="C35" s="267">
        <v>723675.93633648218</v>
      </c>
      <c r="D35"/>
      <c r="E35"/>
      <c r="F35"/>
      <c r="G35"/>
      <c r="H35" s="264"/>
    </row>
    <row r="36" spans="2:8" s="261" customFormat="1" x14ac:dyDescent="0.25">
      <c r="B36" s="268" t="s">
        <v>324</v>
      </c>
      <c r="C36" s="269">
        <v>585345.41666666674</v>
      </c>
      <c r="D36"/>
      <c r="E36"/>
      <c r="F36"/>
      <c r="G36"/>
      <c r="H36" s="264"/>
    </row>
    <row r="37" spans="2:8" s="261" customFormat="1" x14ac:dyDescent="0.25">
      <c r="B37" s="268" t="s">
        <v>325</v>
      </c>
      <c r="C37" s="269">
        <v>1022388.1533101045</v>
      </c>
      <c r="D37"/>
      <c r="E37"/>
      <c r="F37"/>
      <c r="G37"/>
      <c r="H37" s="264"/>
    </row>
    <row r="38" spans="2:8" s="261" customFormat="1" x14ac:dyDescent="0.25">
      <c r="B38" s="268" t="s">
        <v>330</v>
      </c>
      <c r="C38" s="269">
        <v>37538.200440528635</v>
      </c>
      <c r="D38"/>
      <c r="E38"/>
      <c r="F38"/>
      <c r="G38"/>
      <c r="H38" s="264"/>
    </row>
    <row r="39" spans="2:8" s="261" customFormat="1" x14ac:dyDescent="0.25">
      <c r="B39" s="268" t="s">
        <v>604</v>
      </c>
      <c r="C39" s="269">
        <v>43482</v>
      </c>
      <c r="D39"/>
      <c r="E39"/>
      <c r="F39"/>
      <c r="G39"/>
      <c r="H39" s="264"/>
    </row>
    <row r="40" spans="2:8" s="261" customFormat="1" x14ac:dyDescent="0.25">
      <c r="B40" s="268" t="s">
        <v>327</v>
      </c>
      <c r="C40" s="269">
        <v>100963.83480176212</v>
      </c>
      <c r="D40"/>
      <c r="E40"/>
      <c r="F40"/>
      <c r="G40"/>
      <c r="H40" s="264"/>
    </row>
    <row r="41" spans="2:8" s="261" customFormat="1" x14ac:dyDescent="0.25">
      <c r="B41" s="268" t="s">
        <v>473</v>
      </c>
      <c r="C41" s="269">
        <v>17000</v>
      </c>
      <c r="D41"/>
      <c r="E41"/>
      <c r="F41"/>
      <c r="G41"/>
      <c r="H41" s="264"/>
    </row>
    <row r="42" spans="2:8" s="261" customFormat="1" x14ac:dyDescent="0.25">
      <c r="B42" s="268" t="s">
        <v>329</v>
      </c>
      <c r="C42" s="269">
        <v>50000</v>
      </c>
      <c r="D42"/>
      <c r="E42"/>
      <c r="F42"/>
      <c r="G42"/>
      <c r="H42" s="264"/>
    </row>
    <row r="43" spans="2:8" s="261" customFormat="1" x14ac:dyDescent="0.25">
      <c r="B43" s="268" t="s">
        <v>398</v>
      </c>
      <c r="C43" s="269">
        <v>78945</v>
      </c>
      <c r="D43"/>
      <c r="E43"/>
      <c r="F43"/>
      <c r="G43"/>
      <c r="H43" s="264"/>
    </row>
    <row r="44" spans="2:8" s="261" customFormat="1" x14ac:dyDescent="0.25">
      <c r="B44" s="268" t="s">
        <v>423</v>
      </c>
      <c r="C44" s="269">
        <v>79925.586080586087</v>
      </c>
      <c r="D44"/>
      <c r="E44"/>
      <c r="F44"/>
      <c r="G44"/>
      <c r="H44" s="264"/>
    </row>
    <row r="45" spans="2:8" s="261" customFormat="1" x14ac:dyDescent="0.25">
      <c r="B45" s="270" t="s">
        <v>73</v>
      </c>
      <c r="C45" s="271">
        <v>2739264.12763613</v>
      </c>
      <c r="D45"/>
      <c r="E45"/>
      <c r="F45"/>
      <c r="G45"/>
      <c r="H45" s="264"/>
    </row>
    <row r="46" spans="2:8" x14ac:dyDescent="0.25">
      <c r="B46"/>
      <c r="C46"/>
      <c r="D46" s="57"/>
      <c r="E46" s="57"/>
    </row>
    <row r="47" spans="2:8" x14ac:dyDescent="0.25">
      <c r="B47"/>
      <c r="C47"/>
      <c r="D47" s="57"/>
      <c r="E47" s="57"/>
    </row>
    <row r="48" spans="2:8" x14ac:dyDescent="0.25">
      <c r="B48" s="274"/>
      <c r="C48" s="275"/>
      <c r="D48" s="57"/>
      <c r="E48" s="57"/>
    </row>
    <row r="49" spans="2:8" x14ac:dyDescent="0.25">
      <c r="B49" s="274"/>
      <c r="C49" s="275"/>
      <c r="D49" s="57"/>
      <c r="E49" s="57"/>
    </row>
    <row r="50" spans="2:8" x14ac:dyDescent="0.25">
      <c r="B50" s="274"/>
      <c r="C50" s="275"/>
      <c r="D50" s="57"/>
      <c r="E50" s="57"/>
    </row>
    <row r="51" spans="2:8" x14ac:dyDescent="0.25">
      <c r="B51" s="274"/>
      <c r="C51" s="275"/>
      <c r="D51" s="57"/>
      <c r="E51" s="57"/>
    </row>
    <row r="52" spans="2:8" x14ac:dyDescent="0.25">
      <c r="B52" s="56"/>
      <c r="C52" s="56"/>
      <c r="D52" s="57"/>
      <c r="E52" s="57"/>
    </row>
    <row r="53" spans="2:8" x14ac:dyDescent="0.25">
      <c r="B53" s="56"/>
      <c r="C53" s="56"/>
      <c r="D53" s="57"/>
      <c r="E53" s="57"/>
    </row>
    <row r="54" spans="2:8" ht="16.5" thickBot="1" x14ac:dyDescent="0.3">
      <c r="B54" s="749" t="s">
        <v>321</v>
      </c>
      <c r="C54" s="770" t="s">
        <v>261</v>
      </c>
    </row>
    <row r="55" spans="2:8" ht="16.5" thickBot="1" x14ac:dyDescent="0.3">
      <c r="B55" s="817" t="s">
        <v>331</v>
      </c>
      <c r="C55" s="818"/>
    </row>
    <row r="56" spans="2:8" ht="30" x14ac:dyDescent="0.25">
      <c r="B56" s="755" t="s">
        <v>320</v>
      </c>
      <c r="C56" s="787"/>
      <c r="D56" s="55"/>
      <c r="E56" s="55"/>
      <c r="F56" s="58"/>
      <c r="G56" s="55"/>
      <c r="H56" s="55"/>
    </row>
    <row r="57" spans="2:8" x14ac:dyDescent="0.25">
      <c r="B57" s="752" t="s">
        <v>319</v>
      </c>
      <c r="C57" s="757" t="s">
        <v>2</v>
      </c>
      <c r="D57" s="55"/>
      <c r="E57" s="55"/>
      <c r="F57" s="55"/>
      <c r="G57" s="55"/>
      <c r="H57" s="55"/>
    </row>
    <row r="58" spans="2:8" x14ac:dyDescent="0.25">
      <c r="B58" s="751">
        <v>2012</v>
      </c>
      <c r="C58" s="779">
        <v>3335112.61</v>
      </c>
      <c r="D58" s="55"/>
      <c r="E58" s="55"/>
      <c r="F58" s="55"/>
      <c r="G58" s="55"/>
      <c r="H58" s="55"/>
    </row>
    <row r="59" spans="2:8" x14ac:dyDescent="0.25">
      <c r="B59" s="761">
        <v>2013</v>
      </c>
      <c r="C59" s="782">
        <v>4596720</v>
      </c>
      <c r="D59" s="55"/>
      <c r="E59" s="55"/>
      <c r="F59" s="55"/>
      <c r="G59" s="55"/>
      <c r="H59" s="55"/>
    </row>
    <row r="60" spans="2:8" x14ac:dyDescent="0.25">
      <c r="B60" s="761">
        <v>2014</v>
      </c>
      <c r="C60" s="782">
        <v>4695578</v>
      </c>
      <c r="D60" s="55"/>
      <c r="E60" s="55"/>
      <c r="F60" s="55"/>
      <c r="G60" s="55"/>
      <c r="H60" s="55"/>
    </row>
    <row r="61" spans="2:8" x14ac:dyDescent="0.25">
      <c r="B61" s="761">
        <v>2015</v>
      </c>
      <c r="C61" s="782">
        <v>2478434</v>
      </c>
      <c r="D61" s="55"/>
      <c r="E61" s="55"/>
      <c r="F61" s="55"/>
      <c r="G61" s="55"/>
      <c r="H61" s="55"/>
    </row>
    <row r="62" spans="2:8" x14ac:dyDescent="0.25">
      <c r="B62" s="788" t="s">
        <v>73</v>
      </c>
      <c r="C62" s="789">
        <v>15105844.609999999</v>
      </c>
      <c r="D62" s="55"/>
      <c r="E62" s="55"/>
      <c r="F62" s="55"/>
      <c r="G62" s="55"/>
      <c r="H62" s="55"/>
    </row>
    <row r="63" spans="2:8" x14ac:dyDescent="0.25">
      <c r="B63" s="55"/>
      <c r="C63" s="55"/>
      <c r="D63" s="55"/>
      <c r="E63" s="55"/>
      <c r="F63" s="55"/>
      <c r="G63" s="55"/>
      <c r="H63" s="55"/>
    </row>
    <row r="64" spans="2:8" x14ac:dyDescent="0.25">
      <c r="B64" s="55"/>
      <c r="C64" s="55"/>
      <c r="D64" s="55"/>
      <c r="E64" s="55"/>
      <c r="F64" s="55"/>
      <c r="G64" s="55"/>
      <c r="H64" s="55"/>
    </row>
    <row r="65" spans="2:21" x14ac:dyDescent="0.25">
      <c r="B65" s="55"/>
      <c r="C65" s="55"/>
      <c r="D65" s="55"/>
      <c r="E65" s="55"/>
      <c r="F65" s="55"/>
      <c r="G65" s="55"/>
      <c r="H65" s="55"/>
    </row>
    <row r="66" spans="2:21" x14ac:dyDescent="0.25">
      <c r="B66" s="55"/>
      <c r="C66" s="55"/>
      <c r="D66" s="55"/>
      <c r="E66" s="55"/>
      <c r="F66" s="55"/>
      <c r="G66" s="55"/>
      <c r="H66" s="55"/>
    </row>
    <row r="67" spans="2:21" ht="16.5" thickBot="1" x14ac:dyDescent="0.3">
      <c r="B67"/>
      <c r="C67"/>
      <c r="D67" s="55"/>
      <c r="E67" s="55"/>
      <c r="F67" s="55"/>
      <c r="G67" s="55"/>
      <c r="H67" s="55"/>
    </row>
    <row r="68" spans="2:21" ht="16.5" thickBot="1" x14ac:dyDescent="0.3">
      <c r="B68" s="817" t="s">
        <v>332</v>
      </c>
      <c r="C68" s="818"/>
    </row>
    <row r="69" spans="2:21" x14ac:dyDescent="0.25">
      <c r="B69" s="771"/>
      <c r="C69" s="755" t="s">
        <v>321</v>
      </c>
      <c r="D69" s="775"/>
      <c r="E69" s="775"/>
      <c r="F69" s="775"/>
      <c r="G69" s="775"/>
      <c r="H69" s="775"/>
      <c r="I69" s="775"/>
      <c r="J69" s="775"/>
      <c r="K69" s="775"/>
      <c r="L69" s="775"/>
      <c r="M69" s="775"/>
      <c r="N69" s="775"/>
      <c r="O69" s="775"/>
      <c r="P69" s="775"/>
      <c r="Q69" s="775"/>
      <c r="R69" s="775"/>
      <c r="S69" s="775"/>
      <c r="T69" s="775"/>
      <c r="U69" s="776"/>
    </row>
    <row r="70" spans="2:21" x14ac:dyDescent="0.25">
      <c r="B70" s="752" t="s">
        <v>75</v>
      </c>
      <c r="C70" s="751" t="s">
        <v>322</v>
      </c>
      <c r="D70" s="756" t="s">
        <v>323</v>
      </c>
      <c r="E70" s="756" t="s">
        <v>324</v>
      </c>
      <c r="F70" s="756" t="s">
        <v>325</v>
      </c>
      <c r="G70" s="756" t="s">
        <v>326</v>
      </c>
      <c r="H70" s="756" t="s">
        <v>327</v>
      </c>
      <c r="I70" s="756" t="s">
        <v>328</v>
      </c>
      <c r="J70" s="756" t="s">
        <v>329</v>
      </c>
      <c r="K70" s="756" t="s">
        <v>330</v>
      </c>
      <c r="L70" s="756" t="s">
        <v>471</v>
      </c>
      <c r="M70" s="756" t="s">
        <v>473</v>
      </c>
      <c r="N70" s="756" t="s">
        <v>476</v>
      </c>
      <c r="O70" s="756" t="s">
        <v>604</v>
      </c>
      <c r="P70" s="756" t="s">
        <v>673</v>
      </c>
      <c r="Q70" s="756" t="s">
        <v>398</v>
      </c>
      <c r="R70" s="756" t="s">
        <v>777</v>
      </c>
      <c r="S70" s="756" t="s">
        <v>780</v>
      </c>
      <c r="T70" s="756" t="s">
        <v>423</v>
      </c>
      <c r="U70" s="757" t="s">
        <v>73</v>
      </c>
    </row>
    <row r="71" spans="2:21" x14ac:dyDescent="0.25">
      <c r="B71" s="751" t="s">
        <v>674</v>
      </c>
      <c r="C71" s="777">
        <v>2174530.0636635181</v>
      </c>
      <c r="D71" s="778">
        <v>338770</v>
      </c>
      <c r="E71" s="778">
        <v>1067394.5833333333</v>
      </c>
      <c r="F71" s="778">
        <v>1172664.4566898956</v>
      </c>
      <c r="G71" s="778">
        <v>292113</v>
      </c>
      <c r="H71" s="778">
        <v>414065.16519823787</v>
      </c>
      <c r="I71" s="778">
        <v>197000</v>
      </c>
      <c r="J71" s="778">
        <v>106270</v>
      </c>
      <c r="K71" s="778">
        <v>153948.79955947137</v>
      </c>
      <c r="L71" s="778">
        <v>0</v>
      </c>
      <c r="M71" s="778">
        <v>0</v>
      </c>
      <c r="N71" s="778">
        <v>0</v>
      </c>
      <c r="O71" s="778">
        <v>0</v>
      </c>
      <c r="P71" s="778">
        <v>0</v>
      </c>
      <c r="Q71" s="778">
        <v>0</v>
      </c>
      <c r="R71" s="778">
        <v>0</v>
      </c>
      <c r="S71" s="778">
        <v>0</v>
      </c>
      <c r="T71" s="778">
        <v>165239.41391941393</v>
      </c>
      <c r="U71" s="779">
        <v>6081995.4823638685</v>
      </c>
    </row>
    <row r="72" spans="2:21" x14ac:dyDescent="0.25">
      <c r="B72" s="761" t="s">
        <v>675</v>
      </c>
      <c r="C72" s="780">
        <v>1331418.2826844645</v>
      </c>
      <c r="D72" s="781">
        <v>0</v>
      </c>
      <c r="E72" s="781">
        <v>968695.31498302927</v>
      </c>
      <c r="F72" s="781">
        <v>1022388.1533101045</v>
      </c>
      <c r="G72" s="781">
        <v>0</v>
      </c>
      <c r="H72" s="781">
        <v>100963.83480176212</v>
      </c>
      <c r="I72" s="781">
        <v>0</v>
      </c>
      <c r="J72" s="781">
        <v>50000</v>
      </c>
      <c r="K72" s="781">
        <v>37538.200440528635</v>
      </c>
      <c r="L72" s="781">
        <v>564560.43956043955</v>
      </c>
      <c r="M72" s="781">
        <v>17000</v>
      </c>
      <c r="N72" s="781">
        <v>80400</v>
      </c>
      <c r="O72" s="781">
        <v>43482</v>
      </c>
      <c r="P72" s="781">
        <v>439801.04303797468</v>
      </c>
      <c r="Q72" s="781">
        <v>161000.81218274112</v>
      </c>
      <c r="R72" s="781">
        <v>0</v>
      </c>
      <c r="S72" s="781">
        <v>0</v>
      </c>
      <c r="T72" s="781">
        <v>79925.586080586087</v>
      </c>
      <c r="U72" s="782">
        <v>4897173.6670816308</v>
      </c>
    </row>
    <row r="73" spans="2:21" x14ac:dyDescent="0.25">
      <c r="B73" s="765" t="s">
        <v>708</v>
      </c>
      <c r="C73" s="783">
        <v>923764.65365201782</v>
      </c>
      <c r="D73" s="784">
        <v>75653</v>
      </c>
      <c r="E73" s="784">
        <v>1725089.1016836374</v>
      </c>
      <c r="F73" s="784">
        <v>0</v>
      </c>
      <c r="G73" s="784">
        <v>0</v>
      </c>
      <c r="H73" s="784">
        <v>0</v>
      </c>
      <c r="I73" s="784">
        <v>0</v>
      </c>
      <c r="J73" s="784">
        <v>0</v>
      </c>
      <c r="K73" s="784">
        <v>205305</v>
      </c>
      <c r="L73" s="784">
        <v>185439.56043956045</v>
      </c>
      <c r="M73" s="784">
        <v>0</v>
      </c>
      <c r="N73" s="784">
        <v>0</v>
      </c>
      <c r="O73" s="784">
        <v>0</v>
      </c>
      <c r="P73" s="784">
        <v>272171.95696202532</v>
      </c>
      <c r="Q73" s="784">
        <v>185134.18781725888</v>
      </c>
      <c r="R73" s="784">
        <v>400000</v>
      </c>
      <c r="S73" s="784">
        <v>0</v>
      </c>
      <c r="T73" s="784">
        <v>154118</v>
      </c>
      <c r="U73" s="785">
        <v>4126675.4605544996</v>
      </c>
    </row>
    <row r="90" spans="2:8" ht="16.5" thickBot="1" x14ac:dyDescent="0.3"/>
    <row r="91" spans="2:8" ht="16.5" thickBot="1" x14ac:dyDescent="0.3">
      <c r="B91" s="817" t="s">
        <v>333</v>
      </c>
      <c r="C91" s="818"/>
    </row>
    <row r="92" spans="2:8" x14ac:dyDescent="0.25">
      <c r="B92" s="769" t="s">
        <v>319</v>
      </c>
      <c r="C92" s="770" t="s">
        <v>74</v>
      </c>
      <c r="D92" s="55"/>
      <c r="E92" s="55"/>
      <c r="F92" s="55"/>
      <c r="G92" s="55"/>
      <c r="H92" s="55"/>
    </row>
    <row r="93" spans="2:8" x14ac:dyDescent="0.25">
      <c r="D93" s="55"/>
      <c r="E93" s="55"/>
      <c r="F93" s="55"/>
      <c r="G93" s="55"/>
      <c r="H93" s="55"/>
    </row>
    <row r="94" spans="2:8" x14ac:dyDescent="0.25">
      <c r="B94" s="755" t="s">
        <v>75</v>
      </c>
      <c r="C94" s="757" t="s">
        <v>2</v>
      </c>
      <c r="D94" s="55"/>
      <c r="E94" s="58"/>
      <c r="F94" s="55"/>
      <c r="G94" s="55"/>
      <c r="H94" s="55"/>
    </row>
    <row r="95" spans="2:8" x14ac:dyDescent="0.25">
      <c r="B95" s="751" t="s">
        <v>334</v>
      </c>
      <c r="C95" s="772">
        <v>0.1938129196660123</v>
      </c>
      <c r="D95" s="55"/>
      <c r="E95" s="55"/>
      <c r="F95" s="55"/>
      <c r="G95" s="55"/>
      <c r="H95" s="55"/>
    </row>
    <row r="96" spans="2:8" x14ac:dyDescent="0.25">
      <c r="B96" s="761" t="s">
        <v>335</v>
      </c>
      <c r="C96" s="786">
        <v>0.5113476526802645</v>
      </c>
      <c r="D96" s="55"/>
      <c r="E96" s="55"/>
      <c r="F96" s="55"/>
      <c r="G96" s="55"/>
      <c r="H96" s="55"/>
    </row>
    <row r="97" spans="2:8" x14ac:dyDescent="0.25">
      <c r="B97" s="765" t="s">
        <v>336</v>
      </c>
      <c r="C97" s="774">
        <v>0.31563953694991337</v>
      </c>
      <c r="D97" s="55"/>
      <c r="E97" s="55"/>
      <c r="F97" s="55"/>
      <c r="G97" s="55"/>
      <c r="H97" s="55"/>
    </row>
    <row r="98" spans="2:8" x14ac:dyDescent="0.25">
      <c r="B98" s="59"/>
      <c r="C98" s="60"/>
      <c r="D98" s="55"/>
      <c r="E98" s="55"/>
      <c r="F98" s="55"/>
      <c r="G98" s="55"/>
      <c r="H98" s="55"/>
    </row>
    <row r="99" spans="2:8" x14ac:dyDescent="0.25">
      <c r="B99" s="59"/>
      <c r="C99" s="60"/>
      <c r="D99" s="55"/>
      <c r="E99" s="55"/>
      <c r="F99" s="55"/>
      <c r="G99" s="55"/>
      <c r="H99" s="55"/>
    </row>
    <row r="100" spans="2:8" x14ac:dyDescent="0.25">
      <c r="B100" s="59"/>
      <c r="C100" s="60"/>
      <c r="D100" s="55"/>
      <c r="E100" s="55"/>
      <c r="F100" s="55"/>
      <c r="G100" s="55"/>
      <c r="H100" s="55"/>
    </row>
    <row r="104" spans="2:8" ht="16.5" thickBot="1" x14ac:dyDescent="0.3">
      <c r="D104" s="55"/>
      <c r="E104" s="55"/>
      <c r="F104" s="55"/>
      <c r="G104" s="55"/>
      <c r="H104" s="55"/>
    </row>
    <row r="105" spans="2:8" ht="16.5" thickBot="1" x14ac:dyDescent="0.3">
      <c r="B105" s="817" t="s">
        <v>333</v>
      </c>
      <c r="C105" s="818"/>
      <c r="D105" s="55"/>
      <c r="E105" s="55"/>
      <c r="F105" s="55"/>
      <c r="G105" s="55"/>
      <c r="H105" s="55"/>
    </row>
    <row r="106" spans="2:8" x14ac:dyDescent="0.25">
      <c r="B106" s="769" t="s">
        <v>319</v>
      </c>
      <c r="C106" s="770" t="s">
        <v>74</v>
      </c>
      <c r="D106" s="55"/>
      <c r="E106" s="58"/>
      <c r="F106" s="55"/>
      <c r="G106" s="55"/>
      <c r="H106" s="55"/>
    </row>
    <row r="107" spans="2:8" x14ac:dyDescent="0.25">
      <c r="D107" s="55"/>
      <c r="E107" s="55"/>
      <c r="F107" s="55"/>
      <c r="G107" s="55"/>
      <c r="H107" s="55"/>
    </row>
    <row r="108" spans="2:8" x14ac:dyDescent="0.25">
      <c r="B108" s="755" t="s">
        <v>75</v>
      </c>
      <c r="C108" s="757" t="s">
        <v>2</v>
      </c>
      <c r="D108" s="55"/>
      <c r="E108" s="55"/>
      <c r="F108" s="55"/>
      <c r="G108" s="55"/>
      <c r="H108" s="55"/>
    </row>
    <row r="109" spans="2:8" x14ac:dyDescent="0.25">
      <c r="B109" s="751" t="s">
        <v>337</v>
      </c>
      <c r="C109" s="772">
        <v>0.45509928457266513</v>
      </c>
      <c r="D109" s="55"/>
      <c r="E109" s="55"/>
      <c r="F109" s="55"/>
      <c r="G109" s="55"/>
      <c r="H109" s="55"/>
    </row>
    <row r="110" spans="2:8" x14ac:dyDescent="0.25">
      <c r="B110" s="765" t="s">
        <v>338</v>
      </c>
      <c r="C110" s="774">
        <v>357.95309961793021</v>
      </c>
      <c r="D110" s="55"/>
      <c r="E110" s="55"/>
      <c r="F110" s="55"/>
      <c r="G110" s="55"/>
      <c r="H110" s="55"/>
    </row>
    <row r="111" spans="2:8" x14ac:dyDescent="0.25">
      <c r="B111" s="55"/>
      <c r="C111" s="55"/>
      <c r="D111" s="55"/>
      <c r="E111" s="55"/>
      <c r="F111" s="55"/>
      <c r="G111" s="55"/>
      <c r="H111" s="55"/>
    </row>
    <row r="112" spans="2:8" x14ac:dyDescent="0.25">
      <c r="B112" s="55"/>
      <c r="C112" s="55"/>
      <c r="D112" s="55"/>
      <c r="E112" s="55"/>
      <c r="F112" s="55"/>
      <c r="G112" s="55"/>
      <c r="H112" s="55"/>
    </row>
    <row r="113" spans="2:9" x14ac:dyDescent="0.25">
      <c r="B113" s="55"/>
      <c r="C113" s="55"/>
      <c r="D113" s="55"/>
      <c r="E113" s="55"/>
      <c r="F113" s="55"/>
      <c r="G113" s="55"/>
      <c r="H113" s="55"/>
    </row>
    <row r="114" spans="2:9" x14ac:dyDescent="0.25">
      <c r="B114" s="55"/>
      <c r="C114" s="55"/>
      <c r="D114" s="55"/>
      <c r="E114" s="55"/>
      <c r="F114" s="55"/>
      <c r="G114" s="55"/>
      <c r="H114" s="55"/>
    </row>
    <row r="117" spans="2:9" x14ac:dyDescent="0.25">
      <c r="B117" s="52"/>
      <c r="C117" s="52"/>
    </row>
    <row r="118" spans="2:9" x14ac:dyDescent="0.25">
      <c r="B118" s="52"/>
      <c r="C118" s="52"/>
    </row>
    <row r="119" spans="2:9" ht="18.75" x14ac:dyDescent="0.25">
      <c r="I119" s="61"/>
    </row>
    <row r="120" spans="2:9" ht="16.5" thickBot="1" x14ac:dyDescent="0.3">
      <c r="B120" s="52"/>
      <c r="C120" s="52"/>
      <c r="D120" s="55"/>
      <c r="E120" s="55"/>
      <c r="F120" s="55"/>
      <c r="G120" s="55"/>
      <c r="H120" s="55"/>
    </row>
    <row r="121" spans="2:9" ht="16.5" thickBot="1" x14ac:dyDescent="0.3">
      <c r="B121" s="817" t="s">
        <v>339</v>
      </c>
      <c r="C121" s="818"/>
      <c r="D121" s="55"/>
      <c r="E121" s="55"/>
      <c r="F121" s="55"/>
      <c r="G121" s="55"/>
      <c r="H121" s="55"/>
    </row>
    <row r="122" spans="2:9" x14ac:dyDescent="0.25">
      <c r="B122" s="769" t="s">
        <v>319</v>
      </c>
      <c r="C122" s="770" t="s">
        <v>74</v>
      </c>
      <c r="D122" s="55"/>
      <c r="E122" s="55"/>
      <c r="F122" s="55"/>
      <c r="G122" s="55"/>
      <c r="H122" s="55"/>
    </row>
    <row r="123" spans="2:9" x14ac:dyDescent="0.25">
      <c r="D123" s="55"/>
      <c r="E123" s="55"/>
      <c r="F123" s="55"/>
      <c r="G123" s="55"/>
      <c r="H123" s="55"/>
    </row>
    <row r="124" spans="2:9" x14ac:dyDescent="0.25">
      <c r="B124" s="755" t="s">
        <v>75</v>
      </c>
      <c r="C124" s="757" t="s">
        <v>2</v>
      </c>
      <c r="D124" s="55"/>
      <c r="E124" s="55"/>
      <c r="F124" s="55"/>
      <c r="G124" s="55"/>
      <c r="H124" s="55"/>
    </row>
    <row r="125" spans="2:9" ht="30" x14ac:dyDescent="0.25">
      <c r="B125" s="771" t="s">
        <v>340</v>
      </c>
      <c r="C125" s="772">
        <v>3.6226415094339624E-2</v>
      </c>
      <c r="D125" s="55"/>
      <c r="E125" s="55"/>
      <c r="F125" s="55"/>
      <c r="G125" s="55"/>
      <c r="H125" s="55"/>
    </row>
    <row r="126" spans="2:9" ht="30" x14ac:dyDescent="0.25">
      <c r="B126" s="773" t="s">
        <v>341</v>
      </c>
      <c r="C126" s="774">
        <v>0.96490909090909094</v>
      </c>
      <c r="D126" s="55"/>
      <c r="E126" s="55"/>
      <c r="F126" s="55"/>
      <c r="G126" s="55"/>
      <c r="H126" s="55"/>
    </row>
    <row r="127" spans="2:9" x14ac:dyDescent="0.25">
      <c r="B127"/>
      <c r="C127"/>
      <c r="D127" s="55"/>
      <c r="E127" s="55"/>
      <c r="F127" s="55"/>
      <c r="G127" s="55"/>
      <c r="H127" s="55"/>
    </row>
    <row r="128" spans="2:9" x14ac:dyDescent="0.25">
      <c r="B128" s="59"/>
      <c r="C128" s="60"/>
      <c r="D128" s="55"/>
      <c r="E128" s="55"/>
      <c r="F128" s="55"/>
      <c r="G128" s="55"/>
      <c r="H128" s="55"/>
    </row>
    <row r="129" spans="2:14" x14ac:dyDescent="0.25">
      <c r="B129" s="59"/>
      <c r="C129" s="60"/>
      <c r="D129" s="55"/>
      <c r="E129" s="55"/>
      <c r="F129" s="55"/>
      <c r="G129" s="55"/>
      <c r="H129" s="55"/>
    </row>
    <row r="134" spans="2:14" ht="18.75" x14ac:dyDescent="0.25">
      <c r="N134" s="61"/>
    </row>
    <row r="136" spans="2:14" ht="16.5" thickBot="1" x14ac:dyDescent="0.3"/>
    <row r="137" spans="2:14" ht="16.5" thickBot="1" x14ac:dyDescent="0.3">
      <c r="B137" s="817" t="s">
        <v>342</v>
      </c>
      <c r="C137" s="818"/>
    </row>
    <row r="138" spans="2:14" x14ac:dyDescent="0.25">
      <c r="B138" s="769" t="s">
        <v>319</v>
      </c>
      <c r="C138" s="770" t="s">
        <v>74</v>
      </c>
    </row>
    <row r="140" spans="2:14" x14ac:dyDescent="0.25">
      <c r="B140" s="755" t="s">
        <v>75</v>
      </c>
      <c r="C140" s="757" t="s">
        <v>2</v>
      </c>
      <c r="D140" s="55"/>
      <c r="E140" s="55"/>
      <c r="F140" s="55"/>
      <c r="G140" s="55"/>
      <c r="H140" s="55"/>
    </row>
    <row r="141" spans="2:14" ht="30" x14ac:dyDescent="0.25">
      <c r="B141" s="771" t="s">
        <v>343</v>
      </c>
      <c r="C141" s="772">
        <v>0.33978156056371661</v>
      </c>
      <c r="D141" s="55"/>
      <c r="E141" s="55"/>
      <c r="F141" s="55"/>
      <c r="G141" s="55"/>
      <c r="H141" s="55"/>
    </row>
    <row r="142" spans="2:14" ht="30" x14ac:dyDescent="0.25">
      <c r="B142" s="790" t="s">
        <v>344</v>
      </c>
      <c r="C142" s="786">
        <v>0.28053791756058799</v>
      </c>
      <c r="D142" s="55"/>
      <c r="E142" s="55"/>
      <c r="F142" s="55"/>
      <c r="G142" s="55"/>
      <c r="H142" s="55"/>
    </row>
    <row r="143" spans="2:14" x14ac:dyDescent="0.25">
      <c r="B143" s="773" t="s">
        <v>345</v>
      </c>
      <c r="C143" s="774">
        <v>0.35099321453511412</v>
      </c>
      <c r="D143" s="55"/>
      <c r="E143" s="55"/>
      <c r="F143" s="55"/>
      <c r="G143" s="55"/>
      <c r="H143" s="55"/>
    </row>
    <row r="144" spans="2:14" x14ac:dyDescent="0.25">
      <c r="B144" s="55"/>
      <c r="C144" s="55"/>
      <c r="D144" s="55"/>
      <c r="E144" s="55"/>
      <c r="F144" s="55"/>
      <c r="G144" s="55"/>
      <c r="H144" s="55"/>
    </row>
    <row r="145" spans="2:8" x14ac:dyDescent="0.25">
      <c r="B145" s="822"/>
      <c r="C145" s="822"/>
      <c r="D145" s="55"/>
      <c r="E145" s="55"/>
      <c r="F145" s="55"/>
      <c r="G145" s="55"/>
      <c r="H145" s="55"/>
    </row>
    <row r="146" spans="2:8" x14ac:dyDescent="0.25">
      <c r="B146" s="59"/>
      <c r="C146" s="60"/>
      <c r="D146" s="55"/>
      <c r="E146" s="55"/>
      <c r="F146" s="55"/>
      <c r="G146" s="55"/>
      <c r="H146" s="55"/>
    </row>
    <row r="147" spans="2:8" x14ac:dyDescent="0.25">
      <c r="B147" s="59"/>
      <c r="C147" s="60"/>
      <c r="D147" s="55"/>
      <c r="E147" s="55"/>
      <c r="F147" s="55"/>
      <c r="G147" s="55"/>
      <c r="H147" s="55"/>
    </row>
    <row r="148" spans="2:8" x14ac:dyDescent="0.25">
      <c r="B148" s="59"/>
      <c r="C148" s="60"/>
      <c r="D148" s="55"/>
      <c r="E148" s="55"/>
      <c r="F148" s="55"/>
      <c r="G148" s="55"/>
      <c r="H148" s="55"/>
    </row>
    <row r="149" spans="2:8" ht="16.5" thickBot="1" x14ac:dyDescent="0.3"/>
    <row r="150" spans="2:8" ht="16.5" thickBot="1" x14ac:dyDescent="0.3">
      <c r="B150" s="817" t="s">
        <v>346</v>
      </c>
      <c r="C150" s="818"/>
    </row>
    <row r="151" spans="2:8" x14ac:dyDescent="0.25">
      <c r="B151" s="55"/>
      <c r="C151" s="55"/>
    </row>
    <row r="153" spans="2:8" x14ac:dyDescent="0.25">
      <c r="B153" s="751"/>
      <c r="C153" s="752" t="s">
        <v>319</v>
      </c>
      <c r="D153" s="753"/>
      <c r="E153" s="753"/>
      <c r="F153" s="753"/>
      <c r="G153" s="754"/>
      <c r="H153" s="55"/>
    </row>
    <row r="154" spans="2:8" x14ac:dyDescent="0.25">
      <c r="B154" s="755" t="s">
        <v>75</v>
      </c>
      <c r="C154" s="751">
        <v>2012</v>
      </c>
      <c r="D154" s="756">
        <v>2013</v>
      </c>
      <c r="E154" s="756">
        <v>2014</v>
      </c>
      <c r="F154" s="756">
        <v>2015</v>
      </c>
      <c r="G154" s="757" t="s">
        <v>73</v>
      </c>
      <c r="H154" s="55"/>
    </row>
    <row r="155" spans="2:8" x14ac:dyDescent="0.25">
      <c r="B155" s="751" t="s">
        <v>347</v>
      </c>
      <c r="C155" s="758">
        <v>273381</v>
      </c>
      <c r="D155" s="759">
        <v>57928</v>
      </c>
      <c r="E155" s="759">
        <v>136152</v>
      </c>
      <c r="F155" s="759">
        <v>74915</v>
      </c>
      <c r="G155" s="760">
        <v>542376</v>
      </c>
      <c r="H155" s="55"/>
    </row>
    <row r="156" spans="2:8" x14ac:dyDescent="0.25">
      <c r="B156" s="761" t="s">
        <v>348</v>
      </c>
      <c r="C156" s="762">
        <v>269017</v>
      </c>
      <c r="D156" s="763">
        <v>72891</v>
      </c>
      <c r="E156" s="763">
        <v>139508</v>
      </c>
      <c r="F156" s="763">
        <v>64953</v>
      </c>
      <c r="G156" s="764">
        <v>546369</v>
      </c>
      <c r="H156" s="55"/>
    </row>
    <row r="157" spans="2:8" x14ac:dyDescent="0.25">
      <c r="B157" s="765" t="s">
        <v>349</v>
      </c>
      <c r="C157" s="766">
        <v>292077</v>
      </c>
      <c r="D157" s="767">
        <v>79187</v>
      </c>
      <c r="E157" s="767">
        <v>141595</v>
      </c>
      <c r="F157" s="767">
        <v>81577</v>
      </c>
      <c r="G157" s="768">
        <v>594436</v>
      </c>
    </row>
    <row r="158" spans="2:8" ht="31.15" customHeight="1" x14ac:dyDescent="0.25">
      <c r="B158" s="822"/>
      <c r="C158" s="822"/>
    </row>
    <row r="165" spans="2:8" ht="16.5" thickBot="1" x14ac:dyDescent="0.3"/>
    <row r="166" spans="2:8" ht="16.5" thickBot="1" x14ac:dyDescent="0.3">
      <c r="B166" s="817" t="s">
        <v>350</v>
      </c>
      <c r="C166" s="818"/>
    </row>
    <row r="167" spans="2:8" x14ac:dyDescent="0.25">
      <c r="B167" s="749" t="s">
        <v>351</v>
      </c>
      <c r="C167" s="750" t="s">
        <v>74</v>
      </c>
    </row>
    <row r="169" spans="2:8" x14ac:dyDescent="0.25">
      <c r="B169" s="751"/>
      <c r="C169" s="752" t="s">
        <v>319</v>
      </c>
      <c r="D169" s="753"/>
      <c r="E169" s="753"/>
      <c r="F169" s="753"/>
      <c r="G169" s="754"/>
      <c r="H169" s="55"/>
    </row>
    <row r="170" spans="2:8" x14ac:dyDescent="0.25">
      <c r="B170" s="755" t="s">
        <v>75</v>
      </c>
      <c r="C170" s="751">
        <v>2012</v>
      </c>
      <c r="D170" s="756">
        <v>2013</v>
      </c>
      <c r="E170" s="756">
        <v>2014</v>
      </c>
      <c r="F170" s="756">
        <v>2015</v>
      </c>
      <c r="G170" s="757" t="s">
        <v>73</v>
      </c>
      <c r="H170" s="55"/>
    </row>
    <row r="171" spans="2:8" x14ac:dyDescent="0.25">
      <c r="B171" s="751" t="s">
        <v>352</v>
      </c>
      <c r="C171" s="758">
        <v>2500</v>
      </c>
      <c r="D171" s="759">
        <v>22000</v>
      </c>
      <c r="E171" s="759">
        <v>0</v>
      </c>
      <c r="F171" s="759">
        <v>1910</v>
      </c>
      <c r="G171" s="760">
        <v>26410</v>
      </c>
      <c r="H171" s="55"/>
    </row>
    <row r="172" spans="2:8" x14ac:dyDescent="0.25">
      <c r="B172" s="761" t="s">
        <v>353</v>
      </c>
      <c r="C172" s="762">
        <v>2500</v>
      </c>
      <c r="D172" s="763">
        <v>8788</v>
      </c>
      <c r="E172" s="763">
        <v>0</v>
      </c>
      <c r="F172" s="763">
        <v>1910</v>
      </c>
      <c r="G172" s="764">
        <v>13198</v>
      </c>
      <c r="H172" s="55"/>
    </row>
    <row r="173" spans="2:8" x14ac:dyDescent="0.25">
      <c r="B173" s="765" t="s">
        <v>354</v>
      </c>
      <c r="C173" s="766">
        <v>2500</v>
      </c>
      <c r="D173" s="767">
        <v>30788</v>
      </c>
      <c r="E173" s="767">
        <v>2418</v>
      </c>
      <c r="F173" s="767">
        <v>1910</v>
      </c>
      <c r="G173" s="768">
        <v>37616</v>
      </c>
    </row>
    <row r="179" spans="2:8" x14ac:dyDescent="0.25">
      <c r="B179" s="55"/>
      <c r="C179" s="55"/>
      <c r="D179" s="55"/>
      <c r="E179" s="55"/>
      <c r="F179" s="55"/>
      <c r="G179" s="55"/>
      <c r="H179" s="55"/>
    </row>
    <row r="180" spans="2:8" x14ac:dyDescent="0.25">
      <c r="B180" s="55"/>
      <c r="C180" s="55"/>
      <c r="D180" s="55"/>
      <c r="E180" s="55"/>
      <c r="F180" s="55"/>
      <c r="G180" s="55"/>
      <c r="H180" s="55"/>
    </row>
    <row r="181" spans="2:8" x14ac:dyDescent="0.25">
      <c r="B181" s="55"/>
      <c r="C181" s="55"/>
      <c r="D181" s="55"/>
      <c r="E181" s="55"/>
      <c r="F181" s="55"/>
      <c r="G181" s="55"/>
      <c r="H181" s="55"/>
    </row>
    <row r="182" spans="2:8" x14ac:dyDescent="0.25">
      <c r="B182" s="55"/>
      <c r="C182" s="55"/>
      <c r="D182" s="55"/>
      <c r="E182" s="55"/>
      <c r="F182" s="55"/>
      <c r="G182" s="55"/>
      <c r="H182" s="55"/>
    </row>
    <row r="183" spans="2:8" x14ac:dyDescent="0.25">
      <c r="B183" s="55"/>
      <c r="C183" s="55"/>
      <c r="D183" s="55"/>
      <c r="E183" s="55"/>
      <c r="F183" s="55"/>
      <c r="G183" s="55"/>
      <c r="H183" s="55"/>
    </row>
    <row r="184" spans="2:8" x14ac:dyDescent="0.25">
      <c r="B184" s="55"/>
      <c r="C184" s="55"/>
      <c r="D184" s="55"/>
      <c r="E184" s="55"/>
      <c r="F184" s="55"/>
      <c r="G184" s="55"/>
      <c r="H184" s="55"/>
    </row>
    <row r="185" spans="2:8" x14ac:dyDescent="0.25">
      <c r="B185" s="55"/>
      <c r="C185" s="55"/>
      <c r="D185" s="55"/>
      <c r="E185" s="55"/>
      <c r="F185" s="55"/>
      <c r="G185" s="55"/>
      <c r="H185" s="55"/>
    </row>
    <row r="186" spans="2:8" x14ac:dyDescent="0.25">
      <c r="B186" s="55"/>
      <c r="C186" s="55"/>
      <c r="D186" s="55"/>
      <c r="E186" s="55"/>
      <c r="F186" s="55"/>
      <c r="G186" s="55"/>
      <c r="H186" s="55"/>
    </row>
    <row r="187" spans="2:8" x14ac:dyDescent="0.25">
      <c r="B187" s="55"/>
      <c r="C187" s="55"/>
      <c r="D187" s="55"/>
      <c r="E187" s="55"/>
      <c r="F187" s="55"/>
      <c r="G187" s="55"/>
      <c r="H187" s="55"/>
    </row>
    <row r="188" spans="2:8" x14ac:dyDescent="0.25">
      <c r="B188" s="55"/>
      <c r="C188" s="55"/>
      <c r="D188" s="55"/>
    </row>
    <row r="189" spans="2:8" x14ac:dyDescent="0.25">
      <c r="B189" s="55"/>
      <c r="C189" s="55"/>
      <c r="D189" s="55"/>
    </row>
    <row r="190" spans="2:8" x14ac:dyDescent="0.25">
      <c r="B190" s="55"/>
      <c r="C190" s="55"/>
      <c r="D190" s="55"/>
    </row>
    <row r="191" spans="2:8" x14ac:dyDescent="0.25">
      <c r="B191" s="55"/>
      <c r="C191" s="55"/>
      <c r="D191" s="55"/>
    </row>
    <row r="192" spans="2:8" x14ac:dyDescent="0.25">
      <c r="B192" s="55"/>
      <c r="C192" s="55"/>
      <c r="D192" s="55"/>
    </row>
    <row r="193" spans="2:4" x14ac:dyDescent="0.25">
      <c r="B193" s="55"/>
      <c r="C193" s="55"/>
      <c r="D193" s="55"/>
    </row>
    <row r="194" spans="2:4" x14ac:dyDescent="0.25">
      <c r="B194" s="55"/>
      <c r="C194" s="55"/>
      <c r="D194" s="55"/>
    </row>
    <row r="195" spans="2:4" x14ac:dyDescent="0.25">
      <c r="B195" s="55"/>
      <c r="C195" s="55"/>
      <c r="D195" s="55"/>
    </row>
    <row r="196" spans="2:4" x14ac:dyDescent="0.25">
      <c r="B196" s="55"/>
      <c r="C196" s="55"/>
      <c r="D196" s="55"/>
    </row>
    <row r="197" spans="2:4" x14ac:dyDescent="0.25">
      <c r="B197" s="55"/>
      <c r="C197" s="55"/>
      <c r="D197" s="55"/>
    </row>
    <row r="198" spans="2:4" x14ac:dyDescent="0.25">
      <c r="B198" s="55"/>
      <c r="C198" s="55"/>
      <c r="D198" s="55"/>
    </row>
  </sheetData>
  <mergeCells count="13">
    <mergeCell ref="B166:C166"/>
    <mergeCell ref="B2:M2"/>
    <mergeCell ref="B5:C5"/>
    <mergeCell ref="B55:C55"/>
    <mergeCell ref="B68:C68"/>
    <mergeCell ref="B91:C91"/>
    <mergeCell ref="B105:C105"/>
    <mergeCell ref="B121:C121"/>
    <mergeCell ref="B137:C137"/>
    <mergeCell ref="B145:C145"/>
    <mergeCell ref="B150:C150"/>
    <mergeCell ref="B158:C158"/>
    <mergeCell ref="B32:C32"/>
  </mergeCells>
  <pageMargins left="0.7" right="0.7" top="0.75" bottom="0.75" header="0.3" footer="0.3"/>
  <pageSetup orientation="portrait" r:id="rId11"/>
  <drawing r:id="rId1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1"/>
  <sheetViews>
    <sheetView zoomScaleNormal="100" workbookViewId="0">
      <selection activeCell="C34" sqref="C34"/>
    </sheetView>
  </sheetViews>
  <sheetFormatPr defaultColWidth="8.85546875" defaultRowHeight="15" x14ac:dyDescent="0.25"/>
  <cols>
    <col min="1" max="1" width="4.7109375" style="41" customWidth="1"/>
    <col min="2" max="2" width="33.28515625" style="41" customWidth="1"/>
    <col min="3" max="3" width="27.140625" style="50" customWidth="1"/>
    <col min="4" max="5" width="27.140625" style="41" customWidth="1"/>
    <col min="6" max="6" width="15.85546875" style="41" customWidth="1"/>
    <col min="7" max="7" width="67.7109375" style="41" customWidth="1"/>
    <col min="8" max="16384" width="8.85546875" style="41"/>
  </cols>
  <sheetData>
    <row r="1" spans="2:9" x14ac:dyDescent="0.25">
      <c r="C1" s="41"/>
    </row>
    <row r="2" spans="2:9" ht="44.45" customHeight="1" x14ac:dyDescent="0.25">
      <c r="B2" s="825" t="s">
        <v>430</v>
      </c>
      <c r="C2" s="825"/>
      <c r="D2" s="825"/>
      <c r="E2" s="825"/>
      <c r="F2" s="825"/>
      <c r="G2" s="825"/>
    </row>
    <row r="3" spans="2:9" ht="21" customHeight="1" x14ac:dyDescent="0.25">
      <c r="C3" s="41"/>
    </row>
    <row r="4" spans="2:9" ht="25.15" customHeight="1" x14ac:dyDescent="0.25">
      <c r="B4" s="42" t="s">
        <v>431</v>
      </c>
      <c r="C4" s="43"/>
      <c r="D4" s="43"/>
      <c r="E4" s="43"/>
      <c r="F4" s="43"/>
      <c r="G4" s="42"/>
      <c r="H4" s="44"/>
      <c r="I4" s="44"/>
    </row>
    <row r="5" spans="2:9" ht="15.75" thickBot="1" x14ac:dyDescent="0.3">
      <c r="C5" s="41"/>
    </row>
    <row r="6" spans="2:9" ht="27" customHeight="1" x14ac:dyDescent="0.25">
      <c r="B6" s="826" t="s">
        <v>758</v>
      </c>
      <c r="C6" s="827"/>
      <c r="D6" s="620" t="s">
        <v>723</v>
      </c>
      <c r="E6" s="620" t="s">
        <v>432</v>
      </c>
      <c r="F6" s="621" t="s">
        <v>433</v>
      </c>
      <c r="G6" s="622" t="s">
        <v>434</v>
      </c>
    </row>
    <row r="7" spans="2:9" ht="27" customHeight="1" x14ac:dyDescent="0.25">
      <c r="B7" s="616" t="s">
        <v>444</v>
      </c>
      <c r="C7" s="617">
        <v>42000</v>
      </c>
      <c r="D7" s="617">
        <f>SUMIFS(Database!M5:M496,Database!I5:I496,"GCA",Database!H5:H496,"Camp")</f>
        <v>45215</v>
      </c>
      <c r="E7" s="617">
        <f>SUMIFS(Database!M5:M496,Database!I5:I496,"GCA",Database!H5:H496,"Camp")-SUMIFS(Database!M5:M496,Database!I5:I496,"GCA",Database!H5:H496,"Camp",Database!S5:S496,"None")</f>
        <v>27760</v>
      </c>
      <c r="F7" s="618">
        <f t="shared" ref="F7:F12" si="0">E7/D7</f>
        <v>0.61395554572597588</v>
      </c>
      <c r="G7" s="619" t="s">
        <v>435</v>
      </c>
    </row>
    <row r="8" spans="2:9" ht="27" customHeight="1" x14ac:dyDescent="0.25">
      <c r="B8" s="611" t="s">
        <v>445</v>
      </c>
      <c r="C8" s="45">
        <v>33500</v>
      </c>
      <c r="D8" s="45">
        <f>SUMIFS(Database!M5:M496,Database!I5:I496,"NGCA",Database!H5:H496,"Camp")</f>
        <v>30471</v>
      </c>
      <c r="E8" s="45">
        <f>SUMIFS(Database!M5:M496,Database!I5:I496,"NGCA",Database!H5:H496,"Camp")-SUMIFS(Database!M5:M496,Database!I5:I496,"NGCA",Database!H5:H496,"Camp",Database!S5:S496,"None")</f>
        <v>8643</v>
      </c>
      <c r="F8" s="46">
        <f t="shared" si="0"/>
        <v>0.28364674608644286</v>
      </c>
      <c r="G8" s="612"/>
    </row>
    <row r="9" spans="2:9" ht="27" customHeight="1" x14ac:dyDescent="0.25">
      <c r="B9" s="611" t="s">
        <v>713</v>
      </c>
      <c r="C9" s="45">
        <v>10000</v>
      </c>
      <c r="D9" s="45">
        <f>SUMIFS(Database!M5:M496,Database!H5:H496,"Village")</f>
        <v>7864</v>
      </c>
      <c r="E9" s="45">
        <f>SUMIFS(Database!M5:M496,Database!H5:H496,"Village")-SUMIFS(Database!M5:M496,Database!H5:H496,"Village",Database!S5:S496,"None")</f>
        <v>3706</v>
      </c>
      <c r="F9" s="46">
        <f t="shared" si="0"/>
        <v>0.47126144455747709</v>
      </c>
      <c r="G9" s="612"/>
    </row>
    <row r="10" spans="2:9" ht="27" customHeight="1" x14ac:dyDescent="0.25">
      <c r="B10" s="611" t="s">
        <v>447</v>
      </c>
      <c r="C10" s="45">
        <v>20000</v>
      </c>
      <c r="D10" s="45">
        <v>20000</v>
      </c>
      <c r="E10" s="62">
        <v>2500</v>
      </c>
      <c r="F10" s="46">
        <f t="shared" si="0"/>
        <v>0.125</v>
      </c>
      <c r="G10" s="613" t="s">
        <v>714</v>
      </c>
    </row>
    <row r="11" spans="2:9" ht="27" customHeight="1" x14ac:dyDescent="0.25">
      <c r="B11" s="611" t="s">
        <v>446</v>
      </c>
      <c r="C11" s="45">
        <v>10000</v>
      </c>
      <c r="D11" s="45">
        <v>10000</v>
      </c>
      <c r="E11" s="47">
        <f>SUMIFS(Database!M5:M496,Database!H5:H496,"School")-SUMIFS(Database!M5:M496,Database!H5:H496,"School",Database!S5:S496,"None")</f>
        <v>1160</v>
      </c>
      <c r="F11" s="46">
        <f t="shared" si="0"/>
        <v>0.11600000000000001</v>
      </c>
      <c r="G11" s="614"/>
    </row>
    <row r="12" spans="2:9" ht="27" customHeight="1" thickBot="1" x14ac:dyDescent="0.3">
      <c r="B12" s="654" t="s">
        <v>2</v>
      </c>
      <c r="C12" s="655">
        <f>SUM(C7:C11)</f>
        <v>115500</v>
      </c>
      <c r="D12" s="655">
        <f t="shared" ref="D12:E12" si="1">SUM(D7:D11)</f>
        <v>113550</v>
      </c>
      <c r="E12" s="656">
        <f t="shared" si="1"/>
        <v>43769</v>
      </c>
      <c r="F12" s="657">
        <f t="shared" si="0"/>
        <v>0.38546014971378245</v>
      </c>
      <c r="G12" s="615"/>
    </row>
    <row r="13" spans="2:9" x14ac:dyDescent="0.25">
      <c r="C13" s="48"/>
    </row>
    <row r="14" spans="2:9" x14ac:dyDescent="0.25">
      <c r="C14" s="48"/>
    </row>
    <row r="15" spans="2:9" ht="28.15" customHeight="1" x14ac:dyDescent="0.25">
      <c r="B15" s="42" t="s">
        <v>436</v>
      </c>
      <c r="C15" s="43"/>
      <c r="D15" s="43"/>
      <c r="E15" s="43"/>
      <c r="F15" s="43"/>
      <c r="G15" s="42"/>
      <c r="H15" s="49"/>
      <c r="I15" s="49"/>
    </row>
    <row r="16" spans="2:9" ht="15.75" thickBot="1" x14ac:dyDescent="0.3">
      <c r="C16" s="48"/>
    </row>
    <row r="17" spans="2:7" ht="58.9" customHeight="1" x14ac:dyDescent="0.25">
      <c r="B17" s="627" t="s">
        <v>437</v>
      </c>
      <c r="C17" s="628" t="s">
        <v>438</v>
      </c>
      <c r="D17" s="620" t="s">
        <v>439</v>
      </c>
      <c r="E17" s="629" t="s">
        <v>763</v>
      </c>
      <c r="F17" s="629" t="s">
        <v>440</v>
      </c>
      <c r="G17" s="622" t="s">
        <v>434</v>
      </c>
    </row>
    <row r="18" spans="2:7" ht="50.25" customHeight="1" x14ac:dyDescent="0.25">
      <c r="B18" s="630" t="s">
        <v>754</v>
      </c>
      <c r="C18" s="641">
        <f>SUM(C19:C22)</f>
        <v>113550</v>
      </c>
      <c r="D18" s="641">
        <f>SUM(D19:D22)</f>
        <v>85624.333333333343</v>
      </c>
      <c r="E18" s="631">
        <f>D18/C18</f>
        <v>0.75406722442389562</v>
      </c>
      <c r="F18" s="632"/>
      <c r="G18" s="633"/>
    </row>
    <row r="19" spans="2:7" ht="31.5" customHeight="1" x14ac:dyDescent="0.25">
      <c r="B19" s="634" t="s">
        <v>759</v>
      </c>
      <c r="C19" s="642">
        <f>SUMIFS(Database!M5:M496,Database!I5:I496,"GCA")-SUMIFS(Database!M5:M496,Database!H5:H496,"School",Database!I5:I496,"GCA")</f>
        <v>48766</v>
      </c>
      <c r="D19" s="642">
        <f>SUMIFS(Database!AM5:AM496,Database!I5:I496,"GCA")-SUMIFS(Database!AM5:AM496,Database!H5:H496,"School",Database!I5:I496,"GCA")</f>
        <v>46531.333333333336</v>
      </c>
      <c r="E19" s="276">
        <f t="shared" ref="E19:E22" si="2">D19/C19</f>
        <v>0.95417572352321978</v>
      </c>
      <c r="F19" s="277" t="s">
        <v>441</v>
      </c>
      <c r="G19" s="624"/>
    </row>
    <row r="20" spans="2:7" ht="31.5" customHeight="1" x14ac:dyDescent="0.25">
      <c r="B20" s="649" t="s">
        <v>760</v>
      </c>
      <c r="C20" s="650">
        <f>SUMIFS(Database!M5:M496,Database!I5:I496,"NGCA")-SUMIFS(Database!M5:M496,Database!H5:H496,"School",Database!I5:I496,"NGCA")</f>
        <v>34784</v>
      </c>
      <c r="D20" s="650">
        <f>SUMIFS(Database!AM5:AM496,Database!I5:I496,"NGCA")-SUMIFS(Database!AM5:AM496,Database!H5:H496,"School",Database!I5:I496,"NGCA")</f>
        <v>34338</v>
      </c>
      <c r="E20" s="651">
        <f t="shared" si="2"/>
        <v>0.98717801287948481</v>
      </c>
      <c r="F20" s="652" t="s">
        <v>441</v>
      </c>
      <c r="G20" s="653"/>
    </row>
    <row r="21" spans="2:7" ht="31.5" customHeight="1" x14ac:dyDescent="0.25">
      <c r="B21" s="649" t="s">
        <v>446</v>
      </c>
      <c r="C21" s="650">
        <f>D11</f>
        <v>10000</v>
      </c>
      <c r="D21" s="650">
        <f>SUMIFS(Database!AM5:AM496,Database!H5:H496,"School")</f>
        <v>2255</v>
      </c>
      <c r="E21" s="651">
        <f t="shared" si="2"/>
        <v>0.22550000000000001</v>
      </c>
      <c r="F21" s="652" t="s">
        <v>761</v>
      </c>
      <c r="G21" s="653"/>
    </row>
    <row r="22" spans="2:7" ht="31.5" customHeight="1" thickBot="1" x14ac:dyDescent="0.3">
      <c r="B22" s="644" t="s">
        <v>757</v>
      </c>
      <c r="C22" s="645">
        <f>D10</f>
        <v>20000</v>
      </c>
      <c r="D22" s="645">
        <f>E10</f>
        <v>2500</v>
      </c>
      <c r="E22" s="646">
        <f t="shared" si="2"/>
        <v>0.125</v>
      </c>
      <c r="F22" s="647" t="s">
        <v>762</v>
      </c>
      <c r="G22" s="648"/>
    </row>
    <row r="24" spans="2:7" ht="15.75" thickBot="1" x14ac:dyDescent="0.3"/>
    <row r="25" spans="2:7" ht="27.6" customHeight="1" x14ac:dyDescent="0.25">
      <c r="B25" s="636" t="s">
        <v>442</v>
      </c>
      <c r="C25" s="637" t="s">
        <v>438</v>
      </c>
      <c r="D25" s="638" t="s">
        <v>439</v>
      </c>
      <c r="E25" s="639" t="s">
        <v>764</v>
      </c>
      <c r="F25" s="639" t="s">
        <v>440</v>
      </c>
      <c r="G25" s="640" t="s">
        <v>434</v>
      </c>
    </row>
    <row r="26" spans="2:7" ht="67.150000000000006" customHeight="1" x14ac:dyDescent="0.25">
      <c r="B26" s="630" t="s">
        <v>755</v>
      </c>
      <c r="C26" s="641">
        <f>SUM(C27:C30)</f>
        <v>113550</v>
      </c>
      <c r="D26" s="641">
        <f>SUM(D27:D30)</f>
        <v>78162</v>
      </c>
      <c r="E26" s="631">
        <f>D26/C26</f>
        <v>0.68834874504623511</v>
      </c>
      <c r="F26" s="632"/>
      <c r="G26" s="633"/>
    </row>
    <row r="27" spans="2:7" ht="31.5" customHeight="1" x14ac:dyDescent="0.25">
      <c r="B27" s="634" t="s">
        <v>759</v>
      </c>
      <c r="C27" s="642">
        <f>SUMIFS(Database!M5:M496,Database!I5:I496,"GCA")-SUMIFS(Database!M5:M496,Database!H5:H496,"School",Database!I5:I496,"GCA")</f>
        <v>48766</v>
      </c>
      <c r="D27" s="642">
        <f>SUMIFS(Database!BD5:BD496,Database!I5:I496,"GCA")-SUMIFS(Database!BD5:BD496,Database!H5:H496,"School",Database!I5:I496,"GCA")</f>
        <v>39974</v>
      </c>
      <c r="E27" s="276">
        <f t="shared" ref="E27:E30" si="3">D27/C27</f>
        <v>0.81971045400483944</v>
      </c>
      <c r="F27" s="277" t="s">
        <v>441</v>
      </c>
      <c r="G27" s="624"/>
    </row>
    <row r="28" spans="2:7" ht="31.5" customHeight="1" x14ac:dyDescent="0.25">
      <c r="B28" s="649" t="s">
        <v>760</v>
      </c>
      <c r="C28" s="650">
        <f>SUMIFS(Database!M5:M496,Database!I5:I496,"NGCA")-SUMIFS(Database!M5:M496,Database!H5:H496,"School",Database!I5:I496,"NGCA")</f>
        <v>34784</v>
      </c>
      <c r="D28" s="650">
        <f>SUMIFS(Database!BD5:BD496,Database!I5:I496,"NGCA")-SUMIFS(Database!BD5:BD496,Database!H5:H496,"School",Database!I5:I496,"NGCA")</f>
        <v>33678</v>
      </c>
      <c r="E28" s="651">
        <f t="shared" si="3"/>
        <v>0.96820377184912598</v>
      </c>
      <c r="F28" s="652" t="s">
        <v>441</v>
      </c>
      <c r="G28" s="653"/>
    </row>
    <row r="29" spans="2:7" ht="31.5" customHeight="1" x14ac:dyDescent="0.25">
      <c r="B29" s="649" t="s">
        <v>446</v>
      </c>
      <c r="C29" s="650">
        <f>D11</f>
        <v>10000</v>
      </c>
      <c r="D29" s="650">
        <f>SUMIFS(Database!BD5:BD496,Database!H5:H496,"School")</f>
        <v>2010</v>
      </c>
      <c r="E29" s="651">
        <f t="shared" si="3"/>
        <v>0.20100000000000001</v>
      </c>
      <c r="F29" s="652" t="s">
        <v>761</v>
      </c>
      <c r="G29" s="653"/>
    </row>
    <row r="30" spans="2:7" ht="31.5" customHeight="1" thickBot="1" x14ac:dyDescent="0.3">
      <c r="B30" s="644" t="s">
        <v>757</v>
      </c>
      <c r="C30" s="645">
        <f>D10</f>
        <v>20000</v>
      </c>
      <c r="D30" s="645">
        <f>E10</f>
        <v>2500</v>
      </c>
      <c r="E30" s="646">
        <f t="shared" si="3"/>
        <v>0.125</v>
      </c>
      <c r="F30" s="647" t="s">
        <v>762</v>
      </c>
      <c r="G30" s="648"/>
    </row>
    <row r="32" spans="2:7" ht="15.75" thickBot="1" x14ac:dyDescent="0.3"/>
    <row r="33" spans="2:9" ht="27.6" customHeight="1" x14ac:dyDescent="0.25">
      <c r="B33" s="636" t="s">
        <v>443</v>
      </c>
      <c r="C33" s="637" t="s">
        <v>438</v>
      </c>
      <c r="D33" s="638" t="s">
        <v>439</v>
      </c>
      <c r="E33" s="639" t="s">
        <v>764</v>
      </c>
      <c r="F33" s="639" t="s">
        <v>440</v>
      </c>
      <c r="G33" s="640" t="s">
        <v>434</v>
      </c>
    </row>
    <row r="34" spans="2:9" ht="67.150000000000006" customHeight="1" x14ac:dyDescent="0.25">
      <c r="B34" s="630" t="s">
        <v>756</v>
      </c>
      <c r="C34" s="641">
        <f>SUM(C35:C38)</f>
        <v>113550</v>
      </c>
      <c r="D34" s="641">
        <f>SUM(D35:D38)</f>
        <v>49867.950000000004</v>
      </c>
      <c r="E34" s="631">
        <f>D34/C34</f>
        <v>0.43917173051519159</v>
      </c>
      <c r="F34" s="632" t="s">
        <v>441</v>
      </c>
      <c r="G34" s="633"/>
    </row>
    <row r="35" spans="2:9" ht="31.5" customHeight="1" x14ac:dyDescent="0.25">
      <c r="B35" s="634" t="s">
        <v>759</v>
      </c>
      <c r="C35" s="642">
        <f>SUMIFS(Database!M5:M496,Database!I5:I496,"GCA")-SUMIFS(Database!M5:M496,Database!H5:H496,"School",Database!I5:I496,"GCA")</f>
        <v>48766</v>
      </c>
      <c r="D35" s="642">
        <f>D7*E35</f>
        <v>28937.600000000002</v>
      </c>
      <c r="E35" s="276">
        <v>0.64</v>
      </c>
      <c r="F35" s="277" t="s">
        <v>441</v>
      </c>
      <c r="G35" s="624" t="s">
        <v>765</v>
      </c>
    </row>
    <row r="36" spans="2:9" ht="31.5" customHeight="1" x14ac:dyDescent="0.25">
      <c r="B36" s="649" t="s">
        <v>760</v>
      </c>
      <c r="C36" s="650">
        <f>SUMIFS(Database!M5:M496,Database!I5:I496,"NGCA")-SUMIFS(Database!M5:M496,Database!H5:H496,"School",Database!I5:I496,"NGCA")</f>
        <v>34784</v>
      </c>
      <c r="D36" s="642">
        <f>D8*E36</f>
        <v>13711.95</v>
      </c>
      <c r="E36" s="651">
        <v>0.45</v>
      </c>
      <c r="F36" s="652" t="s">
        <v>441</v>
      </c>
      <c r="G36" s="653" t="s">
        <v>820</v>
      </c>
    </row>
    <row r="37" spans="2:9" ht="31.5" customHeight="1" x14ac:dyDescent="0.25">
      <c r="B37" s="649" t="s">
        <v>446</v>
      </c>
      <c r="C37" s="650">
        <f>D11</f>
        <v>10000</v>
      </c>
      <c r="D37" s="642">
        <f>D9*E37</f>
        <v>4718.3999999999996</v>
      </c>
      <c r="E37" s="651">
        <v>0.6</v>
      </c>
      <c r="F37" s="652" t="s">
        <v>761</v>
      </c>
      <c r="G37" s="653" t="s">
        <v>820</v>
      </c>
    </row>
    <row r="38" spans="2:9" ht="31.5" customHeight="1" thickBot="1" x14ac:dyDescent="0.3">
      <c r="B38" s="644" t="s">
        <v>757</v>
      </c>
      <c r="C38" s="645">
        <f>D10</f>
        <v>20000</v>
      </c>
      <c r="D38" s="645">
        <f>E10</f>
        <v>2500</v>
      </c>
      <c r="E38" s="646">
        <f t="shared" ref="E38" si="4">D38/C38</f>
        <v>0.125</v>
      </c>
      <c r="F38" s="647" t="s">
        <v>762</v>
      </c>
      <c r="G38" s="648"/>
    </row>
    <row r="39" spans="2:9" x14ac:dyDescent="0.25">
      <c r="F39" s="51"/>
    </row>
    <row r="40" spans="2:9" x14ac:dyDescent="0.25">
      <c r="F40" s="51"/>
    </row>
    <row r="41" spans="2:9" ht="21" x14ac:dyDescent="0.25">
      <c r="G41" s="828"/>
      <c r="H41" s="829"/>
      <c r="I41" s="829"/>
    </row>
    <row r="42" spans="2:9" s="300" customFormat="1" ht="25.15" customHeight="1" x14ac:dyDescent="0.25">
      <c r="B42" s="301" t="s">
        <v>676</v>
      </c>
      <c r="C42" s="302"/>
      <c r="D42" s="302"/>
      <c r="E42" s="302"/>
      <c r="F42" s="302"/>
      <c r="G42" s="301"/>
      <c r="H42" s="303"/>
      <c r="I42" s="303"/>
    </row>
    <row r="45" spans="2:9" x14ac:dyDescent="0.25">
      <c r="B45" s="304" t="s">
        <v>677</v>
      </c>
      <c r="C45" s="305"/>
      <c r="D45" s="306" t="s">
        <v>678</v>
      </c>
    </row>
    <row r="46" spans="2:9" x14ac:dyDescent="0.25">
      <c r="B46" s="307" t="s">
        <v>679</v>
      </c>
      <c r="C46" s="308">
        <f>F12</f>
        <v>0.38546014971378245</v>
      </c>
      <c r="D46" s="309">
        <v>0.4</v>
      </c>
    </row>
    <row r="47" spans="2:9" x14ac:dyDescent="0.25">
      <c r="B47" s="310" t="s">
        <v>680</v>
      </c>
      <c r="C47" s="311">
        <f>1-C46</f>
        <v>0.6145398502862176</v>
      </c>
      <c r="D47" s="312">
        <v>0.3</v>
      </c>
    </row>
    <row r="48" spans="2:9" x14ac:dyDescent="0.25">
      <c r="B48" s="310" t="s">
        <v>678</v>
      </c>
      <c r="C48" s="311">
        <v>0.5</v>
      </c>
      <c r="D48" s="312">
        <v>0.3</v>
      </c>
    </row>
    <row r="49" spans="2:4" x14ac:dyDescent="0.25">
      <c r="B49" s="313" t="s">
        <v>678</v>
      </c>
      <c r="C49" s="314">
        <v>0.5</v>
      </c>
      <c r="D49" s="315">
        <v>1</v>
      </c>
    </row>
    <row r="53" spans="2:4" x14ac:dyDescent="0.25">
      <c r="B53" s="304" t="s">
        <v>681</v>
      </c>
      <c r="C53" s="305"/>
      <c r="D53" s="323" t="s">
        <v>608</v>
      </c>
    </row>
    <row r="54" spans="2:4" x14ac:dyDescent="0.25">
      <c r="B54" s="307" t="s">
        <v>679</v>
      </c>
      <c r="C54" s="308">
        <f>E18</f>
        <v>0.75406722442389562</v>
      </c>
      <c r="D54" s="322">
        <f>D18</f>
        <v>85624.333333333343</v>
      </c>
    </row>
    <row r="55" spans="2:4" x14ac:dyDescent="0.25">
      <c r="B55" s="310" t="s">
        <v>680</v>
      </c>
      <c r="C55" s="311">
        <f>1-C54</f>
        <v>0.24593277557610438</v>
      </c>
      <c r="D55" s="320"/>
    </row>
    <row r="56" spans="2:4" x14ac:dyDescent="0.25">
      <c r="B56" s="310" t="s">
        <v>678</v>
      </c>
      <c r="C56" s="311">
        <v>0.5</v>
      </c>
      <c r="D56" s="320"/>
    </row>
    <row r="57" spans="2:4" x14ac:dyDescent="0.25">
      <c r="B57" s="313" t="s">
        <v>678</v>
      </c>
      <c r="C57" s="314">
        <v>0.5</v>
      </c>
      <c r="D57" s="321"/>
    </row>
    <row r="58" spans="2:4" x14ac:dyDescent="0.25">
      <c r="D58" s="319"/>
    </row>
    <row r="59" spans="2:4" x14ac:dyDescent="0.25">
      <c r="D59" s="319"/>
    </row>
    <row r="60" spans="2:4" x14ac:dyDescent="0.25">
      <c r="B60" s="304" t="s">
        <v>682</v>
      </c>
      <c r="C60" s="305"/>
      <c r="D60" s="323" t="s">
        <v>608</v>
      </c>
    </row>
    <row r="61" spans="2:4" x14ac:dyDescent="0.25">
      <c r="B61" s="307" t="s">
        <v>679</v>
      </c>
      <c r="C61" s="316">
        <f>E26</f>
        <v>0.68834874504623511</v>
      </c>
      <c r="D61" s="322">
        <f>D26</f>
        <v>78162</v>
      </c>
    </row>
    <row r="62" spans="2:4" x14ac:dyDescent="0.25">
      <c r="B62" s="310" t="s">
        <v>680</v>
      </c>
      <c r="C62" s="317">
        <f>1-C61</f>
        <v>0.31165125495376489</v>
      </c>
      <c r="D62" s="320"/>
    </row>
    <row r="63" spans="2:4" x14ac:dyDescent="0.25">
      <c r="B63" s="310" t="s">
        <v>678</v>
      </c>
      <c r="C63" s="317">
        <v>0.5</v>
      </c>
      <c r="D63" s="320"/>
    </row>
    <row r="64" spans="2:4" x14ac:dyDescent="0.25">
      <c r="B64" s="313" t="s">
        <v>678</v>
      </c>
      <c r="C64" s="318">
        <v>0.5</v>
      </c>
      <c r="D64" s="321"/>
    </row>
    <row r="65" spans="2:4" x14ac:dyDescent="0.25">
      <c r="D65" s="319"/>
    </row>
    <row r="66" spans="2:4" x14ac:dyDescent="0.25">
      <c r="D66" s="319"/>
    </row>
    <row r="67" spans="2:4" x14ac:dyDescent="0.25">
      <c r="B67" s="304" t="s">
        <v>753</v>
      </c>
      <c r="C67" s="305"/>
      <c r="D67" s="323" t="s">
        <v>608</v>
      </c>
    </row>
    <row r="68" spans="2:4" x14ac:dyDescent="0.25">
      <c r="B68" s="307" t="s">
        <v>679</v>
      </c>
      <c r="C68" s="316">
        <f>E34</f>
        <v>0.43917173051519159</v>
      </c>
      <c r="D68" s="322">
        <f>D34</f>
        <v>49867.950000000004</v>
      </c>
    </row>
    <row r="69" spans="2:4" x14ac:dyDescent="0.25">
      <c r="B69" s="310" t="s">
        <v>680</v>
      </c>
      <c r="C69" s="317">
        <f>1-C68</f>
        <v>0.56082826948480835</v>
      </c>
      <c r="D69" s="320"/>
    </row>
    <row r="70" spans="2:4" x14ac:dyDescent="0.25">
      <c r="B70" s="310" t="s">
        <v>678</v>
      </c>
      <c r="C70" s="317">
        <v>0.5</v>
      </c>
      <c r="D70" s="320"/>
    </row>
    <row r="71" spans="2:4" x14ac:dyDescent="0.25">
      <c r="B71" s="313" t="s">
        <v>678</v>
      </c>
      <c r="C71" s="318">
        <v>0.5</v>
      </c>
      <c r="D71" s="321"/>
    </row>
  </sheetData>
  <mergeCells count="3">
    <mergeCell ref="B2:G2"/>
    <mergeCell ref="B6:C6"/>
    <mergeCell ref="G41:I4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1"/>
  <sheetViews>
    <sheetView zoomScaleNormal="100" workbookViewId="0">
      <selection activeCell="F12" sqref="F12"/>
    </sheetView>
  </sheetViews>
  <sheetFormatPr defaultColWidth="8.85546875" defaultRowHeight="15" x14ac:dyDescent="0.25"/>
  <cols>
    <col min="1" max="1" width="8.85546875" style="41"/>
    <col min="2" max="2" width="33.28515625" style="41" customWidth="1"/>
    <col min="3" max="3" width="27.140625" style="50" customWidth="1"/>
    <col min="4" max="6" width="27.140625" style="41" customWidth="1"/>
    <col min="7" max="7" width="15.85546875" style="41" customWidth="1"/>
    <col min="8" max="8" width="67.7109375" style="41" customWidth="1"/>
    <col min="9" max="16384" width="8.85546875" style="41"/>
  </cols>
  <sheetData>
    <row r="1" spans="2:10" x14ac:dyDescent="0.25">
      <c r="C1" s="41"/>
    </row>
    <row r="2" spans="2:10" ht="44.45" customHeight="1" x14ac:dyDescent="0.25">
      <c r="B2" s="825" t="s">
        <v>766</v>
      </c>
      <c r="C2" s="825"/>
      <c r="D2" s="825"/>
      <c r="E2" s="825"/>
      <c r="F2" s="825"/>
      <c r="G2" s="825"/>
      <c r="H2" s="825"/>
    </row>
    <row r="3" spans="2:10" ht="21" customHeight="1" x14ac:dyDescent="0.25">
      <c r="C3" s="41"/>
    </row>
    <row r="4" spans="2:10" ht="25.15" customHeight="1" x14ac:dyDescent="0.25">
      <c r="B4" s="42" t="s">
        <v>431</v>
      </c>
      <c r="C4" s="43"/>
      <c r="D4" s="43"/>
      <c r="E4" s="43"/>
      <c r="F4" s="43"/>
      <c r="G4" s="43"/>
      <c r="H4" s="42"/>
      <c r="I4" s="44"/>
      <c r="J4" s="44"/>
    </row>
    <row r="5" spans="2:10" ht="15.75" thickBot="1" x14ac:dyDescent="0.3">
      <c r="C5" s="41"/>
    </row>
    <row r="6" spans="2:10" ht="49.5" customHeight="1" x14ac:dyDescent="0.25">
      <c r="B6" s="830" t="s">
        <v>767</v>
      </c>
      <c r="C6" s="831"/>
      <c r="D6" s="623" t="s">
        <v>768</v>
      </c>
      <c r="E6" s="623" t="s">
        <v>769</v>
      </c>
      <c r="F6" s="673" t="s">
        <v>771</v>
      </c>
      <c r="G6" s="609" t="s">
        <v>433</v>
      </c>
      <c r="H6" s="610" t="s">
        <v>434</v>
      </c>
    </row>
    <row r="7" spans="2:10" ht="27" customHeight="1" x14ac:dyDescent="0.25">
      <c r="B7" s="611" t="s">
        <v>444</v>
      </c>
      <c r="C7" s="658" t="s">
        <v>770</v>
      </c>
      <c r="D7" s="45">
        <f>SUMIFS(Database!M5:M496,Database!I5:I496,"GCA",Database!H5:H496,"Camp",Database!Q5:Q496,"UNICEF")</f>
        <v>11552</v>
      </c>
      <c r="E7" s="45"/>
      <c r="F7" s="659">
        <f>SUM(D7:E7)</f>
        <v>11552</v>
      </c>
      <c r="G7" s="662" t="s">
        <v>770</v>
      </c>
      <c r="H7" s="612"/>
    </row>
    <row r="8" spans="2:10" ht="27" customHeight="1" x14ac:dyDescent="0.25">
      <c r="B8" s="611" t="s">
        <v>445</v>
      </c>
      <c r="C8" s="658" t="s">
        <v>770</v>
      </c>
      <c r="D8" s="45">
        <f>SUMIFS(Database!M5:M496,Database!I5:I496,"NGCA",Database!H5:H496,"Camp",Database!Q5:Q496,"UNICEF")</f>
        <v>7247</v>
      </c>
      <c r="E8" s="45"/>
      <c r="F8" s="659">
        <f t="shared" ref="F8:F12" si="0">SUM(D8:E8)</f>
        <v>7247</v>
      </c>
      <c r="G8" s="662" t="s">
        <v>770</v>
      </c>
      <c r="H8" s="612"/>
    </row>
    <row r="9" spans="2:10" ht="27" customHeight="1" x14ac:dyDescent="0.25">
      <c r="B9" s="611" t="s">
        <v>713</v>
      </c>
      <c r="C9" s="658" t="s">
        <v>770</v>
      </c>
      <c r="D9" s="45">
        <f>SUMIFS(Database!M5:M496,Database!H5:H496,"Village",Database!Q5:Q496,"UNICEF")</f>
        <v>0</v>
      </c>
      <c r="E9" s="45"/>
      <c r="F9" s="659">
        <f t="shared" si="0"/>
        <v>0</v>
      </c>
      <c r="G9" s="662" t="s">
        <v>770</v>
      </c>
      <c r="H9" s="612"/>
    </row>
    <row r="10" spans="2:10" ht="27" customHeight="1" x14ac:dyDescent="0.25">
      <c r="B10" s="611" t="s">
        <v>447</v>
      </c>
      <c r="C10" s="658" t="s">
        <v>770</v>
      </c>
      <c r="D10" s="45">
        <v>0</v>
      </c>
      <c r="E10" s="62"/>
      <c r="F10" s="660">
        <f t="shared" si="0"/>
        <v>0</v>
      </c>
      <c r="G10" s="662" t="s">
        <v>770</v>
      </c>
      <c r="H10" s="613"/>
    </row>
    <row r="11" spans="2:10" ht="27" customHeight="1" x14ac:dyDescent="0.25">
      <c r="B11" s="611" t="s">
        <v>446</v>
      </c>
      <c r="C11" s="658" t="s">
        <v>770</v>
      </c>
      <c r="D11" s="45">
        <f>SUMIFS(Database!M5:M496,Database!H5:H496,"School",Database!Q5:Q496,"UNICEF")</f>
        <v>136</v>
      </c>
      <c r="E11" s="47"/>
      <c r="F11" s="661">
        <f t="shared" si="0"/>
        <v>136</v>
      </c>
      <c r="G11" s="662" t="s">
        <v>770</v>
      </c>
      <c r="H11" s="614"/>
    </row>
    <row r="12" spans="2:10" ht="27" customHeight="1" thickBot="1" x14ac:dyDescent="0.3">
      <c r="B12" s="654" t="s">
        <v>2</v>
      </c>
      <c r="C12" s="655">
        <v>40000</v>
      </c>
      <c r="D12" s="655">
        <f>SUM(D7:D11)</f>
        <v>18935</v>
      </c>
      <c r="E12" s="656">
        <f>SUM(E7:E11)</f>
        <v>0</v>
      </c>
      <c r="F12" s="656">
        <f t="shared" si="0"/>
        <v>18935</v>
      </c>
      <c r="G12" s="657">
        <f>F12/C12</f>
        <v>0.47337499999999999</v>
      </c>
      <c r="H12" s="674"/>
    </row>
    <row r="13" spans="2:10" x14ac:dyDescent="0.25">
      <c r="C13" s="48"/>
    </row>
    <row r="14" spans="2:10" x14ac:dyDescent="0.25">
      <c r="C14" s="48"/>
    </row>
    <row r="15" spans="2:10" ht="28.15" customHeight="1" x14ac:dyDescent="0.25">
      <c r="B15" s="42" t="s">
        <v>436</v>
      </c>
      <c r="C15" s="43"/>
      <c r="D15" s="43"/>
      <c r="E15" s="43"/>
      <c r="F15" s="43"/>
      <c r="G15" s="43"/>
      <c r="H15" s="42"/>
      <c r="I15" s="49"/>
      <c r="J15" s="49"/>
    </row>
    <row r="16" spans="2:10" ht="15.75" thickBot="1" x14ac:dyDescent="0.3">
      <c r="C16" s="48"/>
    </row>
    <row r="17" spans="2:8" ht="58.9" customHeight="1" x14ac:dyDescent="0.25">
      <c r="B17" s="636" t="s">
        <v>437</v>
      </c>
      <c r="C17" s="637" t="s">
        <v>438</v>
      </c>
      <c r="D17" s="638" t="s">
        <v>772</v>
      </c>
      <c r="E17" s="639" t="s">
        <v>773</v>
      </c>
      <c r="F17" s="639"/>
      <c r="G17" s="639" t="s">
        <v>440</v>
      </c>
      <c r="H17" s="640" t="s">
        <v>434</v>
      </c>
    </row>
    <row r="18" spans="2:8" ht="67.150000000000006" customHeight="1" x14ac:dyDescent="0.25">
      <c r="B18" s="630" t="s">
        <v>754</v>
      </c>
      <c r="C18" s="641">
        <f>C12</f>
        <v>40000</v>
      </c>
      <c r="D18" s="641">
        <f>SUM(D19:D22)</f>
        <v>18619</v>
      </c>
      <c r="E18" s="631">
        <f>D18/C18</f>
        <v>0.46547500000000003</v>
      </c>
      <c r="F18" s="631"/>
      <c r="G18" s="632" t="s">
        <v>441</v>
      </c>
      <c r="H18" s="633"/>
    </row>
    <row r="19" spans="2:8" ht="31.5" customHeight="1" x14ac:dyDescent="0.25">
      <c r="B19" s="634" t="s">
        <v>759</v>
      </c>
      <c r="C19" s="642" t="s">
        <v>770</v>
      </c>
      <c r="D19" s="664">
        <f>SUMIFS(Database!AM5:AM496,Database!I5:I496,"GCA",Database!Q5:Q496,"UNICEF")-SUMIFS(Database!AM5:AM496,Database!H5:H496,"School",Database!I5:I496,"GCA",Database!Q5:Q496,"UNICEF")</f>
        <v>11236</v>
      </c>
      <c r="E19" s="665" t="s">
        <v>770</v>
      </c>
      <c r="F19" s="666"/>
      <c r="G19" s="666" t="s">
        <v>441</v>
      </c>
      <c r="H19" s="667"/>
    </row>
    <row r="20" spans="2:8" ht="31.5" customHeight="1" x14ac:dyDescent="0.25">
      <c r="B20" s="649" t="s">
        <v>760</v>
      </c>
      <c r="C20" s="650" t="s">
        <v>770</v>
      </c>
      <c r="D20" s="650">
        <f>SUMIFS(Database!AM5:AM496,Database!I5:I496,"NGCA",Database!Q5:Q496,"UNICEF")-SUMIFS(Database!AM5:AM496,Database!H5:H496,"School",Database!I5:I496,"NGCA",Database!Q5:Q496,"UNICEF")</f>
        <v>7247</v>
      </c>
      <c r="E20" s="651" t="s">
        <v>770</v>
      </c>
      <c r="F20" s="652"/>
      <c r="G20" s="652" t="s">
        <v>441</v>
      </c>
      <c r="H20" s="663"/>
    </row>
    <row r="21" spans="2:8" ht="31.5" customHeight="1" x14ac:dyDescent="0.25">
      <c r="B21" s="649" t="s">
        <v>446</v>
      </c>
      <c r="C21" s="650" t="s">
        <v>770</v>
      </c>
      <c r="D21" s="650">
        <f>SUMIFS(Database!AM5:AM496,Database!H5:H496,"School",Database!Q5:Q496,"UNICEF")</f>
        <v>136</v>
      </c>
      <c r="E21" s="651" t="s">
        <v>770</v>
      </c>
      <c r="F21" s="652"/>
      <c r="G21" s="652" t="s">
        <v>761</v>
      </c>
      <c r="H21" s="663"/>
    </row>
    <row r="22" spans="2:8" ht="31.5" customHeight="1" thickBot="1" x14ac:dyDescent="0.3">
      <c r="B22" s="644" t="s">
        <v>757</v>
      </c>
      <c r="C22" s="645" t="s">
        <v>770</v>
      </c>
      <c r="D22" s="645"/>
      <c r="E22" s="646" t="s">
        <v>770</v>
      </c>
      <c r="F22" s="647"/>
      <c r="G22" s="647" t="s">
        <v>762</v>
      </c>
      <c r="H22" s="668"/>
    </row>
    <row r="24" spans="2:8" ht="15.75" thickBot="1" x14ac:dyDescent="0.3"/>
    <row r="25" spans="2:8" ht="27.6" customHeight="1" x14ac:dyDescent="0.25">
      <c r="B25" s="636" t="s">
        <v>442</v>
      </c>
      <c r="C25" s="637" t="s">
        <v>438</v>
      </c>
      <c r="D25" s="638" t="s">
        <v>772</v>
      </c>
      <c r="E25" s="639" t="s">
        <v>773</v>
      </c>
      <c r="F25" s="639"/>
      <c r="G25" s="639" t="s">
        <v>440</v>
      </c>
      <c r="H25" s="640" t="s">
        <v>434</v>
      </c>
    </row>
    <row r="26" spans="2:8" ht="67.150000000000006" customHeight="1" x14ac:dyDescent="0.25">
      <c r="B26" s="630" t="s">
        <v>755</v>
      </c>
      <c r="C26" s="641">
        <f>C12</f>
        <v>40000</v>
      </c>
      <c r="D26" s="641">
        <f>SUM(D27:D30)</f>
        <v>16373</v>
      </c>
      <c r="E26" s="631">
        <f>D26/C26</f>
        <v>0.40932499999999999</v>
      </c>
      <c r="F26" s="631"/>
      <c r="G26" s="632" t="s">
        <v>441</v>
      </c>
      <c r="H26" s="633"/>
    </row>
    <row r="27" spans="2:8" ht="31.5" customHeight="1" x14ac:dyDescent="0.25">
      <c r="B27" s="669" t="s">
        <v>759</v>
      </c>
      <c r="C27" s="664" t="s">
        <v>770</v>
      </c>
      <c r="D27" s="664">
        <f>SUMIFS(Database!BD5:BD496,Database!I5:I496,"GCA",Database!Q5:Q496,"UNICEF")-SUMIFS(Database!BD5:BD496,Database!H5:H496,"School",Database!I5:I496,"GCA",Database!Q5:Q496,"UNICEF")</f>
        <v>8990</v>
      </c>
      <c r="E27" s="665" t="s">
        <v>770</v>
      </c>
      <c r="F27" s="666"/>
      <c r="G27" s="666" t="s">
        <v>441</v>
      </c>
      <c r="H27" s="670"/>
    </row>
    <row r="28" spans="2:8" ht="31.5" customHeight="1" x14ac:dyDescent="0.25">
      <c r="B28" s="649" t="s">
        <v>760</v>
      </c>
      <c r="C28" s="650" t="s">
        <v>770</v>
      </c>
      <c r="D28" s="650">
        <f>SUMIFS(Database!BD5:BD496,Database!I5:I496,"NGCA",Database!Q5:Q496,"UNICEF")-SUMIFS(Database!BD5:BD496,Database!H5:H496,"School",Database!I5:I496,"NGCA",Database!Q5:Q496,"UNICEF")</f>
        <v>7247</v>
      </c>
      <c r="E28" s="651" t="s">
        <v>770</v>
      </c>
      <c r="F28" s="652"/>
      <c r="G28" s="652" t="s">
        <v>441</v>
      </c>
      <c r="H28" s="671"/>
    </row>
    <row r="29" spans="2:8" ht="31.5" customHeight="1" x14ac:dyDescent="0.25">
      <c r="B29" s="649" t="s">
        <v>446</v>
      </c>
      <c r="C29" s="650" t="s">
        <v>770</v>
      </c>
      <c r="D29" s="650">
        <f>SUMIFS(Database!BD5:BD496,Database!H5:H496,"School",Database!Q5:Q496,"UNICEF")</f>
        <v>136</v>
      </c>
      <c r="E29" s="651" t="s">
        <v>770</v>
      </c>
      <c r="F29" s="652"/>
      <c r="G29" s="652" t="s">
        <v>761</v>
      </c>
      <c r="H29" s="671"/>
    </row>
    <row r="30" spans="2:8" ht="31.5" customHeight="1" thickBot="1" x14ac:dyDescent="0.3">
      <c r="B30" s="635" t="s">
        <v>757</v>
      </c>
      <c r="C30" s="643" t="s">
        <v>770</v>
      </c>
      <c r="D30" s="643"/>
      <c r="E30" s="625" t="s">
        <v>770</v>
      </c>
      <c r="F30" s="626"/>
      <c r="G30" s="626" t="s">
        <v>762</v>
      </c>
      <c r="H30" s="672"/>
    </row>
    <row r="32" spans="2:8" ht="15.75" thickBot="1" x14ac:dyDescent="0.3"/>
    <row r="33" spans="2:10" ht="35.25" customHeight="1" x14ac:dyDescent="0.25">
      <c r="B33" s="636" t="s">
        <v>443</v>
      </c>
      <c r="C33" s="637" t="s">
        <v>438</v>
      </c>
      <c r="D33" s="638" t="s">
        <v>772</v>
      </c>
      <c r="E33" s="639" t="s">
        <v>773</v>
      </c>
      <c r="F33" s="639"/>
      <c r="G33" s="639" t="s">
        <v>440</v>
      </c>
      <c r="H33" s="640" t="s">
        <v>434</v>
      </c>
    </row>
    <row r="34" spans="2:10" ht="67.150000000000006" customHeight="1" x14ac:dyDescent="0.25">
      <c r="B34" s="630" t="s">
        <v>756</v>
      </c>
      <c r="C34" s="641">
        <f>C12</f>
        <v>40000</v>
      </c>
      <c r="D34" s="641">
        <f>SUM(D35:D38)</f>
        <v>7734.85</v>
      </c>
      <c r="E34" s="631">
        <f>D34/C34</f>
        <v>0.19337125000000002</v>
      </c>
      <c r="F34" s="631"/>
      <c r="G34" s="632" t="s">
        <v>441</v>
      </c>
      <c r="H34" s="633"/>
    </row>
    <row r="35" spans="2:10" ht="31.5" customHeight="1" x14ac:dyDescent="0.25">
      <c r="B35" s="669" t="s">
        <v>759</v>
      </c>
      <c r="C35" s="664" t="s">
        <v>770</v>
      </c>
      <c r="D35" s="664">
        <f>F7*E35</f>
        <v>5198.4000000000005</v>
      </c>
      <c r="E35" s="665">
        <v>0.45</v>
      </c>
      <c r="F35" s="666"/>
      <c r="G35" s="666" t="s">
        <v>786</v>
      </c>
      <c r="H35" s="667"/>
    </row>
    <row r="36" spans="2:10" ht="31.5" customHeight="1" x14ac:dyDescent="0.25">
      <c r="B36" s="649" t="s">
        <v>760</v>
      </c>
      <c r="C36" s="650" t="s">
        <v>770</v>
      </c>
      <c r="D36" s="650">
        <f>F8*E36</f>
        <v>2536.4499999999998</v>
      </c>
      <c r="E36" s="651">
        <v>0.35</v>
      </c>
      <c r="F36" s="652"/>
      <c r="G36" s="652" t="s">
        <v>786</v>
      </c>
      <c r="H36" s="663"/>
    </row>
    <row r="37" spans="2:10" ht="31.5" customHeight="1" x14ac:dyDescent="0.25">
      <c r="B37" s="649" t="s">
        <v>446</v>
      </c>
      <c r="C37" s="650" t="s">
        <v>770</v>
      </c>
      <c r="D37" s="650">
        <f>F9*E37</f>
        <v>0</v>
      </c>
      <c r="E37" s="651">
        <v>0.6</v>
      </c>
      <c r="F37" s="652"/>
      <c r="G37" s="652" t="s">
        <v>786</v>
      </c>
      <c r="H37" s="663"/>
    </row>
    <row r="38" spans="2:10" ht="31.5" customHeight="1" thickBot="1" x14ac:dyDescent="0.3">
      <c r="B38" s="635" t="s">
        <v>757</v>
      </c>
      <c r="C38" s="643" t="s">
        <v>770</v>
      </c>
      <c r="D38" s="643">
        <f>E10</f>
        <v>0</v>
      </c>
      <c r="E38" s="625" t="s">
        <v>770</v>
      </c>
      <c r="F38" s="626"/>
      <c r="G38" s="626" t="s">
        <v>762</v>
      </c>
      <c r="H38" s="668"/>
    </row>
    <row r="39" spans="2:10" x14ac:dyDescent="0.25">
      <c r="G39" s="51"/>
    </row>
    <row r="40" spans="2:10" x14ac:dyDescent="0.25">
      <c r="G40" s="51"/>
    </row>
    <row r="41" spans="2:10" ht="21" x14ac:dyDescent="0.25">
      <c r="H41" s="828"/>
      <c r="I41" s="829"/>
      <c r="J41" s="829"/>
    </row>
  </sheetData>
  <mergeCells count="3">
    <mergeCell ref="B2:H2"/>
    <mergeCell ref="B6:C6"/>
    <mergeCell ref="H41:J4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CP180"/>
  <sheetViews>
    <sheetView showGridLines="0" zoomScale="80" zoomScaleNormal="80" zoomScaleSheetLayoutView="80" workbookViewId="0">
      <pane xSplit="5" ySplit="4" topLeftCell="BY5" activePane="bottomRight" state="frozen"/>
      <selection pane="topRight" activeCell="F1" sqref="F1"/>
      <selection pane="bottomLeft" activeCell="A5" sqref="A5"/>
      <selection pane="bottomRight" activeCell="B5" sqref="B5"/>
    </sheetView>
  </sheetViews>
  <sheetFormatPr defaultColWidth="9.140625" defaultRowHeight="12.75" x14ac:dyDescent="0.2"/>
  <cols>
    <col min="1" max="1" width="5.7109375" style="18" customWidth="1"/>
    <col min="2" max="2" width="22.7109375" style="18" bestFit="1" customWidth="1"/>
    <col min="3" max="3" width="25" style="18" bestFit="1" customWidth="1"/>
    <col min="4" max="4" width="14.28515625" style="18" customWidth="1"/>
    <col min="5" max="5" width="42" style="18" customWidth="1"/>
    <col min="6" max="7" width="10.5703125" style="18" customWidth="1"/>
    <col min="8" max="8" width="13.85546875" style="18" customWidth="1"/>
    <col min="9" max="9" width="10.5703125" style="18" customWidth="1"/>
    <col min="10" max="10" width="14.7109375" style="18" customWidth="1"/>
    <col min="11" max="11" width="29.85546875" style="18" customWidth="1"/>
    <col min="12" max="12" width="12.42578125" style="338" bestFit="1" customWidth="1"/>
    <col min="13" max="13" width="19" style="338" bestFit="1" customWidth="1"/>
    <col min="14" max="14" width="19" style="338" customWidth="1"/>
    <col min="15" max="15" width="19.7109375" style="338" bestFit="1" customWidth="1"/>
    <col min="16" max="16" width="14.7109375" style="18" customWidth="1"/>
    <col min="17" max="17" width="23.42578125" style="24" customWidth="1"/>
    <col min="18" max="18" width="18.7109375" style="341" customWidth="1"/>
    <col min="19" max="19" width="12.85546875" style="24" customWidth="1"/>
    <col min="20" max="20" width="12.85546875" style="24" hidden="1" customWidth="1"/>
    <col min="21" max="21" width="12.85546875" style="24" customWidth="1"/>
    <col min="22" max="22" width="17.42578125" style="24" bestFit="1" customWidth="1"/>
    <col min="23" max="23" width="20.85546875" style="24" hidden="1" customWidth="1"/>
    <col min="24" max="25" width="13.85546875" style="24" customWidth="1"/>
    <col min="26" max="26" width="10.85546875" style="24" customWidth="1"/>
    <col min="27" max="29" width="13.85546875" style="341" customWidth="1"/>
    <col min="30" max="30" width="19.42578125" style="24" customWidth="1"/>
    <col min="31" max="31" width="14.85546875" style="342" customWidth="1"/>
    <col min="32" max="33" width="13.85546875" style="342" customWidth="1"/>
    <col min="34" max="34" width="15.5703125" style="24" customWidth="1"/>
    <col min="35" max="35" width="12.7109375" style="24" hidden="1" customWidth="1"/>
    <col min="36" max="36" width="16.28515625" style="24" customWidth="1"/>
    <col min="37" max="37" width="15.85546875" style="24" hidden="1" customWidth="1"/>
    <col min="38" max="38" width="17.28515625" style="24" customWidth="1"/>
    <col min="39" max="39" width="13.7109375" style="24" hidden="1" customWidth="1"/>
    <col min="40" max="40" width="13.28515625" style="24" customWidth="1"/>
    <col min="41" max="41" width="13.42578125" style="24" customWidth="1"/>
    <col min="42" max="42" width="15.28515625" style="24" hidden="1" customWidth="1"/>
    <col min="43" max="43" width="13.28515625" style="24" hidden="1" customWidth="1"/>
    <col min="44" max="44" width="12.7109375" style="24" hidden="1" customWidth="1"/>
    <col min="45" max="45" width="15.85546875" style="24" hidden="1" customWidth="1"/>
    <col min="46" max="46" width="15.7109375" style="342" customWidth="1"/>
    <col min="47" max="47" width="14.28515625" style="24" hidden="1" customWidth="1"/>
    <col min="48" max="48" width="48.7109375" style="24" customWidth="1"/>
    <col min="49" max="49" width="15.140625" style="744" hidden="1" customWidth="1"/>
    <col min="50" max="50" width="15.140625" style="24" customWidth="1" collapsed="1"/>
    <col min="51" max="53" width="15.140625" style="24" customWidth="1"/>
    <col min="54" max="54" width="43.42578125" style="24" bestFit="1" customWidth="1"/>
    <col min="55" max="55" width="15.140625" style="24" customWidth="1"/>
    <col min="56" max="56" width="14.5703125" style="24" hidden="1" customWidth="1"/>
    <col min="57" max="57" width="15.140625" style="24" customWidth="1"/>
    <col min="58" max="58" width="15.7109375" style="24" hidden="1" customWidth="1"/>
    <col min="59" max="59" width="15.140625" style="24" customWidth="1"/>
    <col min="60" max="60" width="14.140625" style="24" hidden="1" customWidth="1"/>
    <col min="61" max="61" width="17.7109375" style="24" customWidth="1"/>
    <col min="62" max="62" width="15.140625" style="24" customWidth="1"/>
    <col min="63" max="63" width="15.28515625" style="24" hidden="1" customWidth="1"/>
    <col min="64" max="65" width="15.140625" style="24" customWidth="1"/>
    <col min="66" max="66" width="43.42578125" style="24" bestFit="1" customWidth="1"/>
    <col min="67" max="67" width="15.140625" style="24" customWidth="1"/>
    <col min="68" max="68" width="13.42578125" style="24" hidden="1" customWidth="1"/>
    <col min="69" max="69" width="13.85546875" style="24" customWidth="1"/>
    <col min="70" max="70" width="18.28515625" style="24" customWidth="1"/>
    <col min="71" max="71" width="16.5703125" style="24" hidden="1" customWidth="1"/>
    <col min="72" max="72" width="15.140625" style="24" customWidth="1"/>
    <col min="73" max="73" width="18.140625" style="24" customWidth="1"/>
    <col min="74" max="74" width="17.5703125" style="24" customWidth="1"/>
    <col min="75" max="75" width="15.140625" style="24" customWidth="1"/>
    <col min="76" max="76" width="136.42578125" style="345" customWidth="1"/>
    <col min="77" max="77" width="20.42578125" style="24" customWidth="1"/>
    <col min="78" max="78" width="34.140625" style="24" customWidth="1"/>
    <col min="79" max="79" width="13.140625" style="24" customWidth="1"/>
    <col min="80" max="80" width="19.7109375" style="24" customWidth="1"/>
    <col min="81" max="81" width="23.28515625" style="24" customWidth="1"/>
    <col min="82" max="82" width="21" style="24" customWidth="1"/>
    <col min="83" max="83" width="16.7109375" style="24" customWidth="1"/>
    <col min="84" max="84" width="15.140625" style="24" customWidth="1"/>
    <col min="85" max="85" width="20.140625" style="24" hidden="1" customWidth="1"/>
    <col min="86" max="86" width="27.85546875" style="24" bestFit="1" customWidth="1"/>
    <col min="87" max="87" width="48" style="24" customWidth="1"/>
    <col min="88" max="88" width="19" style="24" customWidth="1"/>
    <col min="89" max="89" width="19" style="24" hidden="1" customWidth="1"/>
    <col min="90" max="90" width="15.140625" style="24" customWidth="1"/>
    <col min="91" max="92" width="21.28515625" style="24" customWidth="1"/>
    <col min="93" max="93" width="54.5703125" style="24" customWidth="1"/>
    <col min="94" max="94" width="51.28515625" style="343" customWidth="1"/>
    <col min="95" max="278" width="9.140625" style="18"/>
    <col min="279" max="279" width="2.5703125" style="18" customWidth="1"/>
    <col min="280" max="280" width="17.85546875" style="18" customWidth="1"/>
    <col min="281" max="281" width="41.5703125" style="18" customWidth="1"/>
    <col min="282" max="283" width="12" style="18" customWidth="1"/>
    <col min="284" max="284" width="17" style="18" customWidth="1"/>
    <col min="285" max="285" width="9.7109375" style="18" customWidth="1"/>
    <col min="286" max="286" width="12.28515625" style="18" customWidth="1"/>
    <col min="287" max="287" width="13.7109375" style="18" customWidth="1"/>
    <col min="288" max="288" width="13.5703125" style="18" bestFit="1" customWidth="1"/>
    <col min="289" max="289" width="13.5703125" style="18" customWidth="1"/>
    <col min="290" max="290" width="21" style="18" customWidth="1"/>
    <col min="291" max="294" width="13.42578125" style="18" customWidth="1"/>
    <col min="295" max="296" width="19" style="18" customWidth="1"/>
    <col min="297" max="297" width="34" style="18" customWidth="1"/>
    <col min="298" max="298" width="19" style="18" customWidth="1"/>
    <col min="299" max="299" width="20" style="18" bestFit="1" customWidth="1"/>
    <col min="300" max="300" width="20.28515625" style="18" bestFit="1" customWidth="1"/>
    <col min="301" max="301" width="26.7109375" style="18" customWidth="1"/>
    <col min="302" max="302" width="20.85546875" style="18" bestFit="1" customWidth="1"/>
    <col min="303" max="303" width="20.85546875" style="18" customWidth="1"/>
    <col min="304" max="304" width="18.85546875" style="18" customWidth="1"/>
    <col min="305" max="305" width="17.5703125" style="18" customWidth="1"/>
    <col min="306" max="307" width="19.42578125" style="18" customWidth="1"/>
    <col min="308" max="308" width="20.7109375" style="18" bestFit="1" customWidth="1"/>
    <col min="309" max="309" width="80.7109375" style="18" customWidth="1"/>
    <col min="310" max="310" width="14.7109375" style="18" bestFit="1" customWidth="1"/>
    <col min="311" max="311" width="18.140625" style="18" bestFit="1" customWidth="1"/>
    <col min="312" max="312" width="16.7109375" style="18" bestFit="1" customWidth="1"/>
    <col min="313" max="313" width="18.5703125" style="18" bestFit="1" customWidth="1"/>
    <col min="314" max="314" width="21.28515625" style="18" bestFit="1" customWidth="1"/>
    <col min="315" max="315" width="16.28515625" style="18" bestFit="1" customWidth="1"/>
    <col min="316" max="316" width="21.140625" style="18" bestFit="1" customWidth="1"/>
    <col min="317" max="317" width="19" style="18" bestFit="1" customWidth="1"/>
    <col min="318" max="318" width="19.140625" style="18" customWidth="1"/>
    <col min="319" max="319" width="16.7109375" style="18" customWidth="1"/>
    <col min="320" max="320" width="21.140625" style="18" bestFit="1" customWidth="1"/>
    <col min="321" max="321" width="20.42578125" style="18" bestFit="1" customWidth="1"/>
    <col min="322" max="322" width="21.140625" style="18" customWidth="1"/>
    <col min="323" max="323" width="20.5703125" style="18" bestFit="1" customWidth="1"/>
    <col min="324" max="324" width="19.7109375" style="18" bestFit="1" customWidth="1"/>
    <col min="325" max="325" width="20.28515625" style="18" customWidth="1"/>
    <col min="326" max="326" width="20.85546875" style="18" bestFit="1" customWidth="1"/>
    <col min="327" max="327" width="19.5703125" style="18" bestFit="1" customWidth="1"/>
    <col min="328" max="328" width="18" style="18" customWidth="1"/>
    <col min="329" max="329" width="20" style="18" bestFit="1" customWidth="1"/>
    <col min="330" max="330" width="35.7109375" style="18" customWidth="1"/>
    <col min="331" max="331" width="21.140625" style="18" bestFit="1" customWidth="1"/>
    <col min="332" max="332" width="20.5703125" style="18" bestFit="1" customWidth="1"/>
    <col min="333" max="333" width="19.42578125" style="18" bestFit="1" customWidth="1"/>
    <col min="334" max="334" width="18.5703125" style="18" bestFit="1" customWidth="1"/>
    <col min="335" max="335" width="20.5703125" style="18" bestFit="1" customWidth="1"/>
    <col min="336" max="336" width="21.28515625" style="18" bestFit="1" customWidth="1"/>
    <col min="337" max="337" width="15.42578125" style="18" customWidth="1"/>
    <col min="338" max="338" width="20.7109375" style="18" customWidth="1"/>
    <col min="339" max="339" width="21.28515625" style="18" customWidth="1"/>
    <col min="340" max="340" width="14.85546875" style="18" bestFit="1" customWidth="1"/>
    <col min="341" max="341" width="23" style="18" bestFit="1" customWidth="1"/>
    <col min="342" max="342" width="21.28515625" style="18" bestFit="1" customWidth="1"/>
    <col min="343" max="343" width="20.28515625" style="18" bestFit="1" customWidth="1"/>
    <col min="344" max="344" width="21" style="18" bestFit="1" customWidth="1"/>
    <col min="345" max="345" width="18.85546875" style="18" bestFit="1" customWidth="1"/>
    <col min="346" max="346" width="80.7109375" style="18" customWidth="1"/>
    <col min="347" max="534" width="9.140625" style="18"/>
    <col min="535" max="535" width="2.5703125" style="18" customWidth="1"/>
    <col min="536" max="536" width="17.85546875" style="18" customWidth="1"/>
    <col min="537" max="537" width="41.5703125" style="18" customWidth="1"/>
    <col min="538" max="539" width="12" style="18" customWidth="1"/>
    <col min="540" max="540" width="17" style="18" customWidth="1"/>
    <col min="541" max="541" width="9.7109375" style="18" customWidth="1"/>
    <col min="542" max="542" width="12.28515625" style="18" customWidth="1"/>
    <col min="543" max="543" width="13.7109375" style="18" customWidth="1"/>
    <col min="544" max="544" width="13.5703125" style="18" bestFit="1" customWidth="1"/>
    <col min="545" max="545" width="13.5703125" style="18" customWidth="1"/>
    <col min="546" max="546" width="21" style="18" customWidth="1"/>
    <col min="547" max="550" width="13.42578125" style="18" customWidth="1"/>
    <col min="551" max="552" width="19" style="18" customWidth="1"/>
    <col min="553" max="553" width="34" style="18" customWidth="1"/>
    <col min="554" max="554" width="19" style="18" customWidth="1"/>
    <col min="555" max="555" width="20" style="18" bestFit="1" customWidth="1"/>
    <col min="556" max="556" width="20.28515625" style="18" bestFit="1" customWidth="1"/>
    <col min="557" max="557" width="26.7109375" style="18" customWidth="1"/>
    <col min="558" max="558" width="20.85546875" style="18" bestFit="1" customWidth="1"/>
    <col min="559" max="559" width="20.85546875" style="18" customWidth="1"/>
    <col min="560" max="560" width="18.85546875" style="18" customWidth="1"/>
    <col min="561" max="561" width="17.5703125" style="18" customWidth="1"/>
    <col min="562" max="563" width="19.42578125" style="18" customWidth="1"/>
    <col min="564" max="564" width="20.7109375" style="18" bestFit="1" customWidth="1"/>
    <col min="565" max="565" width="80.7109375" style="18" customWidth="1"/>
    <col min="566" max="566" width="14.7109375" style="18" bestFit="1" customWidth="1"/>
    <col min="567" max="567" width="18.140625" style="18" bestFit="1" customWidth="1"/>
    <col min="568" max="568" width="16.7109375" style="18" bestFit="1" customWidth="1"/>
    <col min="569" max="569" width="18.5703125" style="18" bestFit="1" customWidth="1"/>
    <col min="570" max="570" width="21.28515625" style="18" bestFit="1" customWidth="1"/>
    <col min="571" max="571" width="16.28515625" style="18" bestFit="1" customWidth="1"/>
    <col min="572" max="572" width="21.140625" style="18" bestFit="1" customWidth="1"/>
    <col min="573" max="573" width="19" style="18" bestFit="1" customWidth="1"/>
    <col min="574" max="574" width="19.140625" style="18" customWidth="1"/>
    <col min="575" max="575" width="16.7109375" style="18" customWidth="1"/>
    <col min="576" max="576" width="21.140625" style="18" bestFit="1" customWidth="1"/>
    <col min="577" max="577" width="20.42578125" style="18" bestFit="1" customWidth="1"/>
    <col min="578" max="578" width="21.140625" style="18" customWidth="1"/>
    <col min="579" max="579" width="20.5703125" style="18" bestFit="1" customWidth="1"/>
    <col min="580" max="580" width="19.7109375" style="18" bestFit="1" customWidth="1"/>
    <col min="581" max="581" width="20.28515625" style="18" customWidth="1"/>
    <col min="582" max="582" width="20.85546875" style="18" bestFit="1" customWidth="1"/>
    <col min="583" max="583" width="19.5703125" style="18" bestFit="1" customWidth="1"/>
    <col min="584" max="584" width="18" style="18" customWidth="1"/>
    <col min="585" max="585" width="20" style="18" bestFit="1" customWidth="1"/>
    <col min="586" max="586" width="35.7109375" style="18" customWidth="1"/>
    <col min="587" max="587" width="21.140625" style="18" bestFit="1" customWidth="1"/>
    <col min="588" max="588" width="20.5703125" style="18" bestFit="1" customWidth="1"/>
    <col min="589" max="589" width="19.42578125" style="18" bestFit="1" customWidth="1"/>
    <col min="590" max="590" width="18.5703125" style="18" bestFit="1" customWidth="1"/>
    <col min="591" max="591" width="20.5703125" style="18" bestFit="1" customWidth="1"/>
    <col min="592" max="592" width="21.28515625" style="18" bestFit="1" customWidth="1"/>
    <col min="593" max="593" width="15.42578125" style="18" customWidth="1"/>
    <col min="594" max="594" width="20.7109375" style="18" customWidth="1"/>
    <col min="595" max="595" width="21.28515625" style="18" customWidth="1"/>
    <col min="596" max="596" width="14.85546875" style="18" bestFit="1" customWidth="1"/>
    <col min="597" max="597" width="23" style="18" bestFit="1" customWidth="1"/>
    <col min="598" max="598" width="21.28515625" style="18" bestFit="1" customWidth="1"/>
    <col min="599" max="599" width="20.28515625" style="18" bestFit="1" customWidth="1"/>
    <col min="600" max="600" width="21" style="18" bestFit="1" customWidth="1"/>
    <col min="601" max="601" width="18.85546875" style="18" bestFit="1" customWidth="1"/>
    <col min="602" max="602" width="80.7109375" style="18" customWidth="1"/>
    <col min="603" max="790" width="9.140625" style="18"/>
    <col min="791" max="791" width="2.5703125" style="18" customWidth="1"/>
    <col min="792" max="792" width="17.85546875" style="18" customWidth="1"/>
    <col min="793" max="793" width="41.5703125" style="18" customWidth="1"/>
    <col min="794" max="795" width="12" style="18" customWidth="1"/>
    <col min="796" max="796" width="17" style="18" customWidth="1"/>
    <col min="797" max="797" width="9.7109375" style="18" customWidth="1"/>
    <col min="798" max="798" width="12.28515625" style="18" customWidth="1"/>
    <col min="799" max="799" width="13.7109375" style="18" customWidth="1"/>
    <col min="800" max="800" width="13.5703125" style="18" bestFit="1" customWidth="1"/>
    <col min="801" max="801" width="13.5703125" style="18" customWidth="1"/>
    <col min="802" max="802" width="21" style="18" customWidth="1"/>
    <col min="803" max="806" width="13.42578125" style="18" customWidth="1"/>
    <col min="807" max="808" width="19" style="18" customWidth="1"/>
    <col min="809" max="809" width="34" style="18" customWidth="1"/>
    <col min="810" max="810" width="19" style="18" customWidth="1"/>
    <col min="811" max="811" width="20" style="18" bestFit="1" customWidth="1"/>
    <col min="812" max="812" width="20.28515625" style="18" bestFit="1" customWidth="1"/>
    <col min="813" max="813" width="26.7109375" style="18" customWidth="1"/>
    <col min="814" max="814" width="20.85546875" style="18" bestFit="1" customWidth="1"/>
    <col min="815" max="815" width="20.85546875" style="18" customWidth="1"/>
    <col min="816" max="816" width="18.85546875" style="18" customWidth="1"/>
    <col min="817" max="817" width="17.5703125" style="18" customWidth="1"/>
    <col min="818" max="819" width="19.42578125" style="18" customWidth="1"/>
    <col min="820" max="820" width="20.7109375" style="18" bestFit="1" customWidth="1"/>
    <col min="821" max="821" width="80.7109375" style="18" customWidth="1"/>
    <col min="822" max="822" width="14.7109375" style="18" bestFit="1" customWidth="1"/>
    <col min="823" max="823" width="18.140625" style="18" bestFit="1" customWidth="1"/>
    <col min="824" max="824" width="16.7109375" style="18" bestFit="1" customWidth="1"/>
    <col min="825" max="825" width="18.5703125" style="18" bestFit="1" customWidth="1"/>
    <col min="826" max="826" width="21.28515625" style="18" bestFit="1" customWidth="1"/>
    <col min="827" max="827" width="16.28515625" style="18" bestFit="1" customWidth="1"/>
    <col min="828" max="828" width="21.140625" style="18" bestFit="1" customWidth="1"/>
    <col min="829" max="829" width="19" style="18" bestFit="1" customWidth="1"/>
    <col min="830" max="830" width="19.140625" style="18" customWidth="1"/>
    <col min="831" max="831" width="16.7109375" style="18" customWidth="1"/>
    <col min="832" max="832" width="21.140625" style="18" bestFit="1" customWidth="1"/>
    <col min="833" max="833" width="20.42578125" style="18" bestFit="1" customWidth="1"/>
    <col min="834" max="834" width="21.140625" style="18" customWidth="1"/>
    <col min="835" max="835" width="20.5703125" style="18" bestFit="1" customWidth="1"/>
    <col min="836" max="836" width="19.7109375" style="18" bestFit="1" customWidth="1"/>
    <col min="837" max="837" width="20.28515625" style="18" customWidth="1"/>
    <col min="838" max="838" width="20.85546875" style="18" bestFit="1" customWidth="1"/>
    <col min="839" max="839" width="19.5703125" style="18" bestFit="1" customWidth="1"/>
    <col min="840" max="840" width="18" style="18" customWidth="1"/>
    <col min="841" max="841" width="20" style="18" bestFit="1" customWidth="1"/>
    <col min="842" max="842" width="35.7109375" style="18" customWidth="1"/>
    <col min="843" max="843" width="21.140625" style="18" bestFit="1" customWidth="1"/>
    <col min="844" max="844" width="20.5703125" style="18" bestFit="1" customWidth="1"/>
    <col min="845" max="845" width="19.42578125" style="18" bestFit="1" customWidth="1"/>
    <col min="846" max="846" width="18.5703125" style="18" bestFit="1" customWidth="1"/>
    <col min="847" max="847" width="20.5703125" style="18" bestFit="1" customWidth="1"/>
    <col min="848" max="848" width="21.28515625" style="18" bestFit="1" customWidth="1"/>
    <col min="849" max="849" width="15.42578125" style="18" customWidth="1"/>
    <col min="850" max="850" width="20.7109375" style="18" customWidth="1"/>
    <col min="851" max="851" width="21.28515625" style="18" customWidth="1"/>
    <col min="852" max="852" width="14.85546875" style="18" bestFit="1" customWidth="1"/>
    <col min="853" max="853" width="23" style="18" bestFit="1" customWidth="1"/>
    <col min="854" max="854" width="21.28515625" style="18" bestFit="1" customWidth="1"/>
    <col min="855" max="855" width="20.28515625" style="18" bestFit="1" customWidth="1"/>
    <col min="856" max="856" width="21" style="18" bestFit="1" customWidth="1"/>
    <col min="857" max="857" width="18.85546875" style="18" bestFit="1" customWidth="1"/>
    <col min="858" max="858" width="80.7109375" style="18" customWidth="1"/>
    <col min="859" max="1046" width="9.140625" style="18"/>
    <col min="1047" max="1047" width="2.5703125" style="18" customWidth="1"/>
    <col min="1048" max="1048" width="17.85546875" style="18" customWidth="1"/>
    <col min="1049" max="1049" width="41.5703125" style="18" customWidth="1"/>
    <col min="1050" max="1051" width="12" style="18" customWidth="1"/>
    <col min="1052" max="1052" width="17" style="18" customWidth="1"/>
    <col min="1053" max="1053" width="9.7109375" style="18" customWidth="1"/>
    <col min="1054" max="1054" width="12.28515625" style="18" customWidth="1"/>
    <col min="1055" max="1055" width="13.7109375" style="18" customWidth="1"/>
    <col min="1056" max="1056" width="13.5703125" style="18" bestFit="1" customWidth="1"/>
    <col min="1057" max="1057" width="13.5703125" style="18" customWidth="1"/>
    <col min="1058" max="1058" width="21" style="18" customWidth="1"/>
    <col min="1059" max="1062" width="13.42578125" style="18" customWidth="1"/>
    <col min="1063" max="1064" width="19" style="18" customWidth="1"/>
    <col min="1065" max="1065" width="34" style="18" customWidth="1"/>
    <col min="1066" max="1066" width="19" style="18" customWidth="1"/>
    <col min="1067" max="1067" width="20" style="18" bestFit="1" customWidth="1"/>
    <col min="1068" max="1068" width="20.28515625" style="18" bestFit="1" customWidth="1"/>
    <col min="1069" max="1069" width="26.7109375" style="18" customWidth="1"/>
    <col min="1070" max="1070" width="20.85546875" style="18" bestFit="1" customWidth="1"/>
    <col min="1071" max="1071" width="20.85546875" style="18" customWidth="1"/>
    <col min="1072" max="1072" width="18.85546875" style="18" customWidth="1"/>
    <col min="1073" max="1073" width="17.5703125" style="18" customWidth="1"/>
    <col min="1074" max="1075" width="19.42578125" style="18" customWidth="1"/>
    <col min="1076" max="1076" width="20.7109375" style="18" bestFit="1" customWidth="1"/>
    <col min="1077" max="1077" width="80.7109375" style="18" customWidth="1"/>
    <col min="1078" max="1078" width="14.7109375" style="18" bestFit="1" customWidth="1"/>
    <col min="1079" max="1079" width="18.140625" style="18" bestFit="1" customWidth="1"/>
    <col min="1080" max="1080" width="16.7109375" style="18" bestFit="1" customWidth="1"/>
    <col min="1081" max="1081" width="18.5703125" style="18" bestFit="1" customWidth="1"/>
    <col min="1082" max="1082" width="21.28515625" style="18" bestFit="1" customWidth="1"/>
    <col min="1083" max="1083" width="16.28515625" style="18" bestFit="1" customWidth="1"/>
    <col min="1084" max="1084" width="21.140625" style="18" bestFit="1" customWidth="1"/>
    <col min="1085" max="1085" width="19" style="18" bestFit="1" customWidth="1"/>
    <col min="1086" max="1086" width="19.140625" style="18" customWidth="1"/>
    <col min="1087" max="1087" width="16.7109375" style="18" customWidth="1"/>
    <col min="1088" max="1088" width="21.140625" style="18" bestFit="1" customWidth="1"/>
    <col min="1089" max="1089" width="20.42578125" style="18" bestFit="1" customWidth="1"/>
    <col min="1090" max="1090" width="21.140625" style="18" customWidth="1"/>
    <col min="1091" max="1091" width="20.5703125" style="18" bestFit="1" customWidth="1"/>
    <col min="1092" max="1092" width="19.7109375" style="18" bestFit="1" customWidth="1"/>
    <col min="1093" max="1093" width="20.28515625" style="18" customWidth="1"/>
    <col min="1094" max="1094" width="20.85546875" style="18" bestFit="1" customWidth="1"/>
    <col min="1095" max="1095" width="19.5703125" style="18" bestFit="1" customWidth="1"/>
    <col min="1096" max="1096" width="18" style="18" customWidth="1"/>
    <col min="1097" max="1097" width="20" style="18" bestFit="1" customWidth="1"/>
    <col min="1098" max="1098" width="35.7109375" style="18" customWidth="1"/>
    <col min="1099" max="1099" width="21.140625" style="18" bestFit="1" customWidth="1"/>
    <col min="1100" max="1100" width="20.5703125" style="18" bestFit="1" customWidth="1"/>
    <col min="1101" max="1101" width="19.42578125" style="18" bestFit="1" customWidth="1"/>
    <col min="1102" max="1102" width="18.5703125" style="18" bestFit="1" customWidth="1"/>
    <col min="1103" max="1103" width="20.5703125" style="18" bestFit="1" customWidth="1"/>
    <col min="1104" max="1104" width="21.28515625" style="18" bestFit="1" customWidth="1"/>
    <col min="1105" max="1105" width="15.42578125" style="18" customWidth="1"/>
    <col min="1106" max="1106" width="20.7109375" style="18" customWidth="1"/>
    <col min="1107" max="1107" width="21.28515625" style="18" customWidth="1"/>
    <col min="1108" max="1108" width="14.85546875" style="18" bestFit="1" customWidth="1"/>
    <col min="1109" max="1109" width="23" style="18" bestFit="1" customWidth="1"/>
    <col min="1110" max="1110" width="21.28515625" style="18" bestFit="1" customWidth="1"/>
    <col min="1111" max="1111" width="20.28515625" style="18" bestFit="1" customWidth="1"/>
    <col min="1112" max="1112" width="21" style="18" bestFit="1" customWidth="1"/>
    <col min="1113" max="1113" width="18.85546875" style="18" bestFit="1" customWidth="1"/>
    <col min="1114" max="1114" width="80.7109375" style="18" customWidth="1"/>
    <col min="1115" max="1302" width="9.140625" style="18"/>
    <col min="1303" max="1303" width="2.5703125" style="18" customWidth="1"/>
    <col min="1304" max="1304" width="17.85546875" style="18" customWidth="1"/>
    <col min="1305" max="1305" width="41.5703125" style="18" customWidth="1"/>
    <col min="1306" max="1307" width="12" style="18" customWidth="1"/>
    <col min="1308" max="1308" width="17" style="18" customWidth="1"/>
    <col min="1309" max="1309" width="9.7109375" style="18" customWidth="1"/>
    <col min="1310" max="1310" width="12.28515625" style="18" customWidth="1"/>
    <col min="1311" max="1311" width="13.7109375" style="18" customWidth="1"/>
    <col min="1312" max="1312" width="13.5703125" style="18" bestFit="1" customWidth="1"/>
    <col min="1313" max="1313" width="13.5703125" style="18" customWidth="1"/>
    <col min="1314" max="1314" width="21" style="18" customWidth="1"/>
    <col min="1315" max="1318" width="13.42578125" style="18" customWidth="1"/>
    <col min="1319" max="1320" width="19" style="18" customWidth="1"/>
    <col min="1321" max="1321" width="34" style="18" customWidth="1"/>
    <col min="1322" max="1322" width="19" style="18" customWidth="1"/>
    <col min="1323" max="1323" width="20" style="18" bestFit="1" customWidth="1"/>
    <col min="1324" max="1324" width="20.28515625" style="18" bestFit="1" customWidth="1"/>
    <col min="1325" max="1325" width="26.7109375" style="18" customWidth="1"/>
    <col min="1326" max="1326" width="20.85546875" style="18" bestFit="1" customWidth="1"/>
    <col min="1327" max="1327" width="20.85546875" style="18" customWidth="1"/>
    <col min="1328" max="1328" width="18.85546875" style="18" customWidth="1"/>
    <col min="1329" max="1329" width="17.5703125" style="18" customWidth="1"/>
    <col min="1330" max="1331" width="19.42578125" style="18" customWidth="1"/>
    <col min="1332" max="1332" width="20.7109375" style="18" bestFit="1" customWidth="1"/>
    <col min="1333" max="1333" width="80.7109375" style="18" customWidth="1"/>
    <col min="1334" max="1334" width="14.7109375" style="18" bestFit="1" customWidth="1"/>
    <col min="1335" max="1335" width="18.140625" style="18" bestFit="1" customWidth="1"/>
    <col min="1336" max="1336" width="16.7109375" style="18" bestFit="1" customWidth="1"/>
    <col min="1337" max="1337" width="18.5703125" style="18" bestFit="1" customWidth="1"/>
    <col min="1338" max="1338" width="21.28515625" style="18" bestFit="1" customWidth="1"/>
    <col min="1339" max="1339" width="16.28515625" style="18" bestFit="1" customWidth="1"/>
    <col min="1340" max="1340" width="21.140625" style="18" bestFit="1" customWidth="1"/>
    <col min="1341" max="1341" width="19" style="18" bestFit="1" customWidth="1"/>
    <col min="1342" max="1342" width="19.140625" style="18" customWidth="1"/>
    <col min="1343" max="1343" width="16.7109375" style="18" customWidth="1"/>
    <col min="1344" max="1344" width="21.140625" style="18" bestFit="1" customWidth="1"/>
    <col min="1345" max="1345" width="20.42578125" style="18" bestFit="1" customWidth="1"/>
    <col min="1346" max="1346" width="21.140625" style="18" customWidth="1"/>
    <col min="1347" max="1347" width="20.5703125" style="18" bestFit="1" customWidth="1"/>
    <col min="1348" max="1348" width="19.7109375" style="18" bestFit="1" customWidth="1"/>
    <col min="1349" max="1349" width="20.28515625" style="18" customWidth="1"/>
    <col min="1350" max="1350" width="20.85546875" style="18" bestFit="1" customWidth="1"/>
    <col min="1351" max="1351" width="19.5703125" style="18" bestFit="1" customWidth="1"/>
    <col min="1352" max="1352" width="18" style="18" customWidth="1"/>
    <col min="1353" max="1353" width="20" style="18" bestFit="1" customWidth="1"/>
    <col min="1354" max="1354" width="35.7109375" style="18" customWidth="1"/>
    <col min="1355" max="1355" width="21.140625" style="18" bestFit="1" customWidth="1"/>
    <col min="1356" max="1356" width="20.5703125" style="18" bestFit="1" customWidth="1"/>
    <col min="1357" max="1357" width="19.42578125" style="18" bestFit="1" customWidth="1"/>
    <col min="1358" max="1358" width="18.5703125" style="18" bestFit="1" customWidth="1"/>
    <col min="1359" max="1359" width="20.5703125" style="18" bestFit="1" customWidth="1"/>
    <col min="1360" max="1360" width="21.28515625" style="18" bestFit="1" customWidth="1"/>
    <col min="1361" max="1361" width="15.42578125" style="18" customWidth="1"/>
    <col min="1362" max="1362" width="20.7109375" style="18" customWidth="1"/>
    <col min="1363" max="1363" width="21.28515625" style="18" customWidth="1"/>
    <col min="1364" max="1364" width="14.85546875" style="18" bestFit="1" customWidth="1"/>
    <col min="1365" max="1365" width="23" style="18" bestFit="1" customWidth="1"/>
    <col min="1366" max="1366" width="21.28515625" style="18" bestFit="1" customWidth="1"/>
    <col min="1367" max="1367" width="20.28515625" style="18" bestFit="1" customWidth="1"/>
    <col min="1368" max="1368" width="21" style="18" bestFit="1" customWidth="1"/>
    <col min="1369" max="1369" width="18.85546875" style="18" bestFit="1" customWidth="1"/>
    <col min="1370" max="1370" width="80.7109375" style="18" customWidth="1"/>
    <col min="1371" max="1558" width="9.140625" style="18"/>
    <col min="1559" max="1559" width="2.5703125" style="18" customWidth="1"/>
    <col min="1560" max="1560" width="17.85546875" style="18" customWidth="1"/>
    <col min="1561" max="1561" width="41.5703125" style="18" customWidth="1"/>
    <col min="1562" max="1563" width="12" style="18" customWidth="1"/>
    <col min="1564" max="1564" width="17" style="18" customWidth="1"/>
    <col min="1565" max="1565" width="9.7109375" style="18" customWidth="1"/>
    <col min="1566" max="1566" width="12.28515625" style="18" customWidth="1"/>
    <col min="1567" max="1567" width="13.7109375" style="18" customWidth="1"/>
    <col min="1568" max="1568" width="13.5703125" style="18" bestFit="1" customWidth="1"/>
    <col min="1569" max="1569" width="13.5703125" style="18" customWidth="1"/>
    <col min="1570" max="1570" width="21" style="18" customWidth="1"/>
    <col min="1571" max="1574" width="13.42578125" style="18" customWidth="1"/>
    <col min="1575" max="1576" width="19" style="18" customWidth="1"/>
    <col min="1577" max="1577" width="34" style="18" customWidth="1"/>
    <col min="1578" max="1578" width="19" style="18" customWidth="1"/>
    <col min="1579" max="1579" width="20" style="18" bestFit="1" customWidth="1"/>
    <col min="1580" max="1580" width="20.28515625" style="18" bestFit="1" customWidth="1"/>
    <col min="1581" max="1581" width="26.7109375" style="18" customWidth="1"/>
    <col min="1582" max="1582" width="20.85546875" style="18" bestFit="1" customWidth="1"/>
    <col min="1583" max="1583" width="20.85546875" style="18" customWidth="1"/>
    <col min="1584" max="1584" width="18.85546875" style="18" customWidth="1"/>
    <col min="1585" max="1585" width="17.5703125" style="18" customWidth="1"/>
    <col min="1586" max="1587" width="19.42578125" style="18" customWidth="1"/>
    <col min="1588" max="1588" width="20.7109375" style="18" bestFit="1" customWidth="1"/>
    <col min="1589" max="1589" width="80.7109375" style="18" customWidth="1"/>
    <col min="1590" max="1590" width="14.7109375" style="18" bestFit="1" customWidth="1"/>
    <col min="1591" max="1591" width="18.140625" style="18" bestFit="1" customWidth="1"/>
    <col min="1592" max="1592" width="16.7109375" style="18" bestFit="1" customWidth="1"/>
    <col min="1593" max="1593" width="18.5703125" style="18" bestFit="1" customWidth="1"/>
    <col min="1594" max="1594" width="21.28515625" style="18" bestFit="1" customWidth="1"/>
    <col min="1595" max="1595" width="16.28515625" style="18" bestFit="1" customWidth="1"/>
    <col min="1596" max="1596" width="21.140625" style="18" bestFit="1" customWidth="1"/>
    <col min="1597" max="1597" width="19" style="18" bestFit="1" customWidth="1"/>
    <col min="1598" max="1598" width="19.140625" style="18" customWidth="1"/>
    <col min="1599" max="1599" width="16.7109375" style="18" customWidth="1"/>
    <col min="1600" max="1600" width="21.140625" style="18" bestFit="1" customWidth="1"/>
    <col min="1601" max="1601" width="20.42578125" style="18" bestFit="1" customWidth="1"/>
    <col min="1602" max="1602" width="21.140625" style="18" customWidth="1"/>
    <col min="1603" max="1603" width="20.5703125" style="18" bestFit="1" customWidth="1"/>
    <col min="1604" max="1604" width="19.7109375" style="18" bestFit="1" customWidth="1"/>
    <col min="1605" max="1605" width="20.28515625" style="18" customWidth="1"/>
    <col min="1606" max="1606" width="20.85546875" style="18" bestFit="1" customWidth="1"/>
    <col min="1607" max="1607" width="19.5703125" style="18" bestFit="1" customWidth="1"/>
    <col min="1608" max="1608" width="18" style="18" customWidth="1"/>
    <col min="1609" max="1609" width="20" style="18" bestFit="1" customWidth="1"/>
    <col min="1610" max="1610" width="35.7109375" style="18" customWidth="1"/>
    <col min="1611" max="1611" width="21.140625" style="18" bestFit="1" customWidth="1"/>
    <col min="1612" max="1612" width="20.5703125" style="18" bestFit="1" customWidth="1"/>
    <col min="1613" max="1613" width="19.42578125" style="18" bestFit="1" customWidth="1"/>
    <col min="1614" max="1614" width="18.5703125" style="18" bestFit="1" customWidth="1"/>
    <col min="1615" max="1615" width="20.5703125" style="18" bestFit="1" customWidth="1"/>
    <col min="1616" max="1616" width="21.28515625" style="18" bestFit="1" customWidth="1"/>
    <col min="1617" max="1617" width="15.42578125" style="18" customWidth="1"/>
    <col min="1618" max="1618" width="20.7109375" style="18" customWidth="1"/>
    <col min="1619" max="1619" width="21.28515625" style="18" customWidth="1"/>
    <col min="1620" max="1620" width="14.85546875" style="18" bestFit="1" customWidth="1"/>
    <col min="1621" max="1621" width="23" style="18" bestFit="1" customWidth="1"/>
    <col min="1622" max="1622" width="21.28515625" style="18" bestFit="1" customWidth="1"/>
    <col min="1623" max="1623" width="20.28515625" style="18" bestFit="1" customWidth="1"/>
    <col min="1624" max="1624" width="21" style="18" bestFit="1" customWidth="1"/>
    <col min="1625" max="1625" width="18.85546875" style="18" bestFit="1" customWidth="1"/>
    <col min="1626" max="1626" width="80.7109375" style="18" customWidth="1"/>
    <col min="1627" max="1814" width="9.140625" style="18"/>
    <col min="1815" max="1815" width="2.5703125" style="18" customWidth="1"/>
    <col min="1816" max="1816" width="17.85546875" style="18" customWidth="1"/>
    <col min="1817" max="1817" width="41.5703125" style="18" customWidth="1"/>
    <col min="1818" max="1819" width="12" style="18" customWidth="1"/>
    <col min="1820" max="1820" width="17" style="18" customWidth="1"/>
    <col min="1821" max="1821" width="9.7109375" style="18" customWidth="1"/>
    <col min="1822" max="1822" width="12.28515625" style="18" customWidth="1"/>
    <col min="1823" max="1823" width="13.7109375" style="18" customWidth="1"/>
    <col min="1824" max="1824" width="13.5703125" style="18" bestFit="1" customWidth="1"/>
    <col min="1825" max="1825" width="13.5703125" style="18" customWidth="1"/>
    <col min="1826" max="1826" width="21" style="18" customWidth="1"/>
    <col min="1827" max="1830" width="13.42578125" style="18" customWidth="1"/>
    <col min="1831" max="1832" width="19" style="18" customWidth="1"/>
    <col min="1833" max="1833" width="34" style="18" customWidth="1"/>
    <col min="1834" max="1834" width="19" style="18" customWidth="1"/>
    <col min="1835" max="1835" width="20" style="18" bestFit="1" customWidth="1"/>
    <col min="1836" max="1836" width="20.28515625" style="18" bestFit="1" customWidth="1"/>
    <col min="1837" max="1837" width="26.7109375" style="18" customWidth="1"/>
    <col min="1838" max="1838" width="20.85546875" style="18" bestFit="1" customWidth="1"/>
    <col min="1839" max="1839" width="20.85546875" style="18" customWidth="1"/>
    <col min="1840" max="1840" width="18.85546875" style="18" customWidth="1"/>
    <col min="1841" max="1841" width="17.5703125" style="18" customWidth="1"/>
    <col min="1842" max="1843" width="19.42578125" style="18" customWidth="1"/>
    <col min="1844" max="1844" width="20.7109375" style="18" bestFit="1" customWidth="1"/>
    <col min="1845" max="1845" width="80.7109375" style="18" customWidth="1"/>
    <col min="1846" max="1846" width="14.7109375" style="18" bestFit="1" customWidth="1"/>
    <col min="1847" max="1847" width="18.140625" style="18" bestFit="1" customWidth="1"/>
    <col min="1848" max="1848" width="16.7109375" style="18" bestFit="1" customWidth="1"/>
    <col min="1849" max="1849" width="18.5703125" style="18" bestFit="1" customWidth="1"/>
    <col min="1850" max="1850" width="21.28515625" style="18" bestFit="1" customWidth="1"/>
    <col min="1851" max="1851" width="16.28515625" style="18" bestFit="1" customWidth="1"/>
    <col min="1852" max="1852" width="21.140625" style="18" bestFit="1" customWidth="1"/>
    <col min="1853" max="1853" width="19" style="18" bestFit="1" customWidth="1"/>
    <col min="1854" max="1854" width="19.140625" style="18" customWidth="1"/>
    <col min="1855" max="1855" width="16.7109375" style="18" customWidth="1"/>
    <col min="1856" max="1856" width="21.140625" style="18" bestFit="1" customWidth="1"/>
    <col min="1857" max="1857" width="20.42578125" style="18" bestFit="1" customWidth="1"/>
    <col min="1858" max="1858" width="21.140625" style="18" customWidth="1"/>
    <col min="1859" max="1859" width="20.5703125" style="18" bestFit="1" customWidth="1"/>
    <col min="1860" max="1860" width="19.7109375" style="18" bestFit="1" customWidth="1"/>
    <col min="1861" max="1861" width="20.28515625" style="18" customWidth="1"/>
    <col min="1862" max="1862" width="20.85546875" style="18" bestFit="1" customWidth="1"/>
    <col min="1863" max="1863" width="19.5703125" style="18" bestFit="1" customWidth="1"/>
    <col min="1864" max="1864" width="18" style="18" customWidth="1"/>
    <col min="1865" max="1865" width="20" style="18" bestFit="1" customWidth="1"/>
    <col min="1866" max="1866" width="35.7109375" style="18" customWidth="1"/>
    <col min="1867" max="1867" width="21.140625" style="18" bestFit="1" customWidth="1"/>
    <col min="1868" max="1868" width="20.5703125" style="18" bestFit="1" customWidth="1"/>
    <col min="1869" max="1869" width="19.42578125" style="18" bestFit="1" customWidth="1"/>
    <col min="1870" max="1870" width="18.5703125" style="18" bestFit="1" customWidth="1"/>
    <col min="1871" max="1871" width="20.5703125" style="18" bestFit="1" customWidth="1"/>
    <col min="1872" max="1872" width="21.28515625" style="18" bestFit="1" customWidth="1"/>
    <col min="1873" max="1873" width="15.42578125" style="18" customWidth="1"/>
    <col min="1874" max="1874" width="20.7109375" style="18" customWidth="1"/>
    <col min="1875" max="1875" width="21.28515625" style="18" customWidth="1"/>
    <col min="1876" max="1876" width="14.85546875" style="18" bestFit="1" customWidth="1"/>
    <col min="1877" max="1877" width="23" style="18" bestFit="1" customWidth="1"/>
    <col min="1878" max="1878" width="21.28515625" style="18" bestFit="1" customWidth="1"/>
    <col min="1879" max="1879" width="20.28515625" style="18" bestFit="1" customWidth="1"/>
    <col min="1880" max="1880" width="21" style="18" bestFit="1" customWidth="1"/>
    <col min="1881" max="1881" width="18.85546875" style="18" bestFit="1" customWidth="1"/>
    <col min="1882" max="1882" width="80.7109375" style="18" customWidth="1"/>
    <col min="1883" max="2070" width="9.140625" style="18"/>
    <col min="2071" max="2071" width="2.5703125" style="18" customWidth="1"/>
    <col min="2072" max="2072" width="17.85546875" style="18" customWidth="1"/>
    <col min="2073" max="2073" width="41.5703125" style="18" customWidth="1"/>
    <col min="2074" max="2075" width="12" style="18" customWidth="1"/>
    <col min="2076" max="2076" width="17" style="18" customWidth="1"/>
    <col min="2077" max="2077" width="9.7109375" style="18" customWidth="1"/>
    <col min="2078" max="2078" width="12.28515625" style="18" customWidth="1"/>
    <col min="2079" max="2079" width="13.7109375" style="18" customWidth="1"/>
    <col min="2080" max="2080" width="13.5703125" style="18" bestFit="1" customWidth="1"/>
    <col min="2081" max="2081" width="13.5703125" style="18" customWidth="1"/>
    <col min="2082" max="2082" width="21" style="18" customWidth="1"/>
    <col min="2083" max="2086" width="13.42578125" style="18" customWidth="1"/>
    <col min="2087" max="2088" width="19" style="18" customWidth="1"/>
    <col min="2089" max="2089" width="34" style="18" customWidth="1"/>
    <col min="2090" max="2090" width="19" style="18" customWidth="1"/>
    <col min="2091" max="2091" width="20" style="18" bestFit="1" customWidth="1"/>
    <col min="2092" max="2092" width="20.28515625" style="18" bestFit="1" customWidth="1"/>
    <col min="2093" max="2093" width="26.7109375" style="18" customWidth="1"/>
    <col min="2094" max="2094" width="20.85546875" style="18" bestFit="1" customWidth="1"/>
    <col min="2095" max="2095" width="20.85546875" style="18" customWidth="1"/>
    <col min="2096" max="2096" width="18.85546875" style="18" customWidth="1"/>
    <col min="2097" max="2097" width="17.5703125" style="18" customWidth="1"/>
    <col min="2098" max="2099" width="19.42578125" style="18" customWidth="1"/>
    <col min="2100" max="2100" width="20.7109375" style="18" bestFit="1" customWidth="1"/>
    <col min="2101" max="2101" width="80.7109375" style="18" customWidth="1"/>
    <col min="2102" max="2102" width="14.7109375" style="18" bestFit="1" customWidth="1"/>
    <col min="2103" max="2103" width="18.140625" style="18" bestFit="1" customWidth="1"/>
    <col min="2104" max="2104" width="16.7109375" style="18" bestFit="1" customWidth="1"/>
    <col min="2105" max="2105" width="18.5703125" style="18" bestFit="1" customWidth="1"/>
    <col min="2106" max="2106" width="21.28515625" style="18" bestFit="1" customWidth="1"/>
    <col min="2107" max="2107" width="16.28515625" style="18" bestFit="1" customWidth="1"/>
    <col min="2108" max="2108" width="21.140625" style="18" bestFit="1" customWidth="1"/>
    <col min="2109" max="2109" width="19" style="18" bestFit="1" customWidth="1"/>
    <col min="2110" max="2110" width="19.140625" style="18" customWidth="1"/>
    <col min="2111" max="2111" width="16.7109375" style="18" customWidth="1"/>
    <col min="2112" max="2112" width="21.140625" style="18" bestFit="1" customWidth="1"/>
    <col min="2113" max="2113" width="20.42578125" style="18" bestFit="1" customWidth="1"/>
    <col min="2114" max="2114" width="21.140625" style="18" customWidth="1"/>
    <col min="2115" max="2115" width="20.5703125" style="18" bestFit="1" customWidth="1"/>
    <col min="2116" max="2116" width="19.7109375" style="18" bestFit="1" customWidth="1"/>
    <col min="2117" max="2117" width="20.28515625" style="18" customWidth="1"/>
    <col min="2118" max="2118" width="20.85546875" style="18" bestFit="1" customWidth="1"/>
    <col min="2119" max="2119" width="19.5703125" style="18" bestFit="1" customWidth="1"/>
    <col min="2120" max="2120" width="18" style="18" customWidth="1"/>
    <col min="2121" max="2121" width="20" style="18" bestFit="1" customWidth="1"/>
    <col min="2122" max="2122" width="35.7109375" style="18" customWidth="1"/>
    <col min="2123" max="2123" width="21.140625" style="18" bestFit="1" customWidth="1"/>
    <col min="2124" max="2124" width="20.5703125" style="18" bestFit="1" customWidth="1"/>
    <col min="2125" max="2125" width="19.42578125" style="18" bestFit="1" customWidth="1"/>
    <col min="2126" max="2126" width="18.5703125" style="18" bestFit="1" customWidth="1"/>
    <col min="2127" max="2127" width="20.5703125" style="18" bestFit="1" customWidth="1"/>
    <col min="2128" max="2128" width="21.28515625" style="18" bestFit="1" customWidth="1"/>
    <col min="2129" max="2129" width="15.42578125" style="18" customWidth="1"/>
    <col min="2130" max="2130" width="20.7109375" style="18" customWidth="1"/>
    <col min="2131" max="2131" width="21.28515625" style="18" customWidth="1"/>
    <col min="2132" max="2132" width="14.85546875" style="18" bestFit="1" customWidth="1"/>
    <col min="2133" max="2133" width="23" style="18" bestFit="1" customWidth="1"/>
    <col min="2134" max="2134" width="21.28515625" style="18" bestFit="1" customWidth="1"/>
    <col min="2135" max="2135" width="20.28515625" style="18" bestFit="1" customWidth="1"/>
    <col min="2136" max="2136" width="21" style="18" bestFit="1" customWidth="1"/>
    <col min="2137" max="2137" width="18.85546875" style="18" bestFit="1" customWidth="1"/>
    <col min="2138" max="2138" width="80.7109375" style="18" customWidth="1"/>
    <col min="2139" max="2326" width="9.140625" style="18"/>
    <col min="2327" max="2327" width="2.5703125" style="18" customWidth="1"/>
    <col min="2328" max="2328" width="17.85546875" style="18" customWidth="1"/>
    <col min="2329" max="2329" width="41.5703125" style="18" customWidth="1"/>
    <col min="2330" max="2331" width="12" style="18" customWidth="1"/>
    <col min="2332" max="2332" width="17" style="18" customWidth="1"/>
    <col min="2333" max="2333" width="9.7109375" style="18" customWidth="1"/>
    <col min="2334" max="2334" width="12.28515625" style="18" customWidth="1"/>
    <col min="2335" max="2335" width="13.7109375" style="18" customWidth="1"/>
    <col min="2336" max="2336" width="13.5703125" style="18" bestFit="1" customWidth="1"/>
    <col min="2337" max="2337" width="13.5703125" style="18" customWidth="1"/>
    <col min="2338" max="2338" width="21" style="18" customWidth="1"/>
    <col min="2339" max="2342" width="13.42578125" style="18" customWidth="1"/>
    <col min="2343" max="2344" width="19" style="18" customWidth="1"/>
    <col min="2345" max="2345" width="34" style="18" customWidth="1"/>
    <col min="2346" max="2346" width="19" style="18" customWidth="1"/>
    <col min="2347" max="2347" width="20" style="18" bestFit="1" customWidth="1"/>
    <col min="2348" max="2348" width="20.28515625" style="18" bestFit="1" customWidth="1"/>
    <col min="2349" max="2349" width="26.7109375" style="18" customWidth="1"/>
    <col min="2350" max="2350" width="20.85546875" style="18" bestFit="1" customWidth="1"/>
    <col min="2351" max="2351" width="20.85546875" style="18" customWidth="1"/>
    <col min="2352" max="2352" width="18.85546875" style="18" customWidth="1"/>
    <col min="2353" max="2353" width="17.5703125" style="18" customWidth="1"/>
    <col min="2354" max="2355" width="19.42578125" style="18" customWidth="1"/>
    <col min="2356" max="2356" width="20.7109375" style="18" bestFit="1" customWidth="1"/>
    <col min="2357" max="2357" width="80.7109375" style="18" customWidth="1"/>
    <col min="2358" max="2358" width="14.7109375" style="18" bestFit="1" customWidth="1"/>
    <col min="2359" max="2359" width="18.140625" style="18" bestFit="1" customWidth="1"/>
    <col min="2360" max="2360" width="16.7109375" style="18" bestFit="1" customWidth="1"/>
    <col min="2361" max="2361" width="18.5703125" style="18" bestFit="1" customWidth="1"/>
    <col min="2362" max="2362" width="21.28515625" style="18" bestFit="1" customWidth="1"/>
    <col min="2363" max="2363" width="16.28515625" style="18" bestFit="1" customWidth="1"/>
    <col min="2364" max="2364" width="21.140625" style="18" bestFit="1" customWidth="1"/>
    <col min="2365" max="2365" width="19" style="18" bestFit="1" customWidth="1"/>
    <col min="2366" max="2366" width="19.140625" style="18" customWidth="1"/>
    <col min="2367" max="2367" width="16.7109375" style="18" customWidth="1"/>
    <col min="2368" max="2368" width="21.140625" style="18" bestFit="1" customWidth="1"/>
    <col min="2369" max="2369" width="20.42578125" style="18" bestFit="1" customWidth="1"/>
    <col min="2370" max="2370" width="21.140625" style="18" customWidth="1"/>
    <col min="2371" max="2371" width="20.5703125" style="18" bestFit="1" customWidth="1"/>
    <col min="2372" max="2372" width="19.7109375" style="18" bestFit="1" customWidth="1"/>
    <col min="2373" max="2373" width="20.28515625" style="18" customWidth="1"/>
    <col min="2374" max="2374" width="20.85546875" style="18" bestFit="1" customWidth="1"/>
    <col min="2375" max="2375" width="19.5703125" style="18" bestFit="1" customWidth="1"/>
    <col min="2376" max="2376" width="18" style="18" customWidth="1"/>
    <col min="2377" max="2377" width="20" style="18" bestFit="1" customWidth="1"/>
    <col min="2378" max="2378" width="35.7109375" style="18" customWidth="1"/>
    <col min="2379" max="2379" width="21.140625" style="18" bestFit="1" customWidth="1"/>
    <col min="2380" max="2380" width="20.5703125" style="18" bestFit="1" customWidth="1"/>
    <col min="2381" max="2381" width="19.42578125" style="18" bestFit="1" customWidth="1"/>
    <col min="2382" max="2382" width="18.5703125" style="18" bestFit="1" customWidth="1"/>
    <col min="2383" max="2383" width="20.5703125" style="18" bestFit="1" customWidth="1"/>
    <col min="2384" max="2384" width="21.28515625" style="18" bestFit="1" customWidth="1"/>
    <col min="2385" max="2385" width="15.42578125" style="18" customWidth="1"/>
    <col min="2386" max="2386" width="20.7109375" style="18" customWidth="1"/>
    <col min="2387" max="2387" width="21.28515625" style="18" customWidth="1"/>
    <col min="2388" max="2388" width="14.85546875" style="18" bestFit="1" customWidth="1"/>
    <col min="2389" max="2389" width="23" style="18" bestFit="1" customWidth="1"/>
    <col min="2390" max="2390" width="21.28515625" style="18" bestFit="1" customWidth="1"/>
    <col min="2391" max="2391" width="20.28515625" style="18" bestFit="1" customWidth="1"/>
    <col min="2392" max="2392" width="21" style="18" bestFit="1" customWidth="1"/>
    <col min="2393" max="2393" width="18.85546875" style="18" bestFit="1" customWidth="1"/>
    <col min="2394" max="2394" width="80.7109375" style="18" customWidth="1"/>
    <col min="2395" max="2582" width="9.140625" style="18"/>
    <col min="2583" max="2583" width="2.5703125" style="18" customWidth="1"/>
    <col min="2584" max="2584" width="17.85546875" style="18" customWidth="1"/>
    <col min="2585" max="2585" width="41.5703125" style="18" customWidth="1"/>
    <col min="2586" max="2587" width="12" style="18" customWidth="1"/>
    <col min="2588" max="2588" width="17" style="18" customWidth="1"/>
    <col min="2589" max="2589" width="9.7109375" style="18" customWidth="1"/>
    <col min="2590" max="2590" width="12.28515625" style="18" customWidth="1"/>
    <col min="2591" max="2591" width="13.7109375" style="18" customWidth="1"/>
    <col min="2592" max="2592" width="13.5703125" style="18" bestFit="1" customWidth="1"/>
    <col min="2593" max="2593" width="13.5703125" style="18" customWidth="1"/>
    <col min="2594" max="2594" width="21" style="18" customWidth="1"/>
    <col min="2595" max="2598" width="13.42578125" style="18" customWidth="1"/>
    <col min="2599" max="2600" width="19" style="18" customWidth="1"/>
    <col min="2601" max="2601" width="34" style="18" customWidth="1"/>
    <col min="2602" max="2602" width="19" style="18" customWidth="1"/>
    <col min="2603" max="2603" width="20" style="18" bestFit="1" customWidth="1"/>
    <col min="2604" max="2604" width="20.28515625" style="18" bestFit="1" customWidth="1"/>
    <col min="2605" max="2605" width="26.7109375" style="18" customWidth="1"/>
    <col min="2606" max="2606" width="20.85546875" style="18" bestFit="1" customWidth="1"/>
    <col min="2607" max="2607" width="20.85546875" style="18" customWidth="1"/>
    <col min="2608" max="2608" width="18.85546875" style="18" customWidth="1"/>
    <col min="2609" max="2609" width="17.5703125" style="18" customWidth="1"/>
    <col min="2610" max="2611" width="19.42578125" style="18" customWidth="1"/>
    <col min="2612" max="2612" width="20.7109375" style="18" bestFit="1" customWidth="1"/>
    <col min="2613" max="2613" width="80.7109375" style="18" customWidth="1"/>
    <col min="2614" max="2614" width="14.7109375" style="18" bestFit="1" customWidth="1"/>
    <col min="2615" max="2615" width="18.140625" style="18" bestFit="1" customWidth="1"/>
    <col min="2616" max="2616" width="16.7109375" style="18" bestFit="1" customWidth="1"/>
    <col min="2617" max="2617" width="18.5703125" style="18" bestFit="1" customWidth="1"/>
    <col min="2618" max="2618" width="21.28515625" style="18" bestFit="1" customWidth="1"/>
    <col min="2619" max="2619" width="16.28515625" style="18" bestFit="1" customWidth="1"/>
    <col min="2620" max="2620" width="21.140625" style="18" bestFit="1" customWidth="1"/>
    <col min="2621" max="2621" width="19" style="18" bestFit="1" customWidth="1"/>
    <col min="2622" max="2622" width="19.140625" style="18" customWidth="1"/>
    <col min="2623" max="2623" width="16.7109375" style="18" customWidth="1"/>
    <col min="2624" max="2624" width="21.140625" style="18" bestFit="1" customWidth="1"/>
    <col min="2625" max="2625" width="20.42578125" style="18" bestFit="1" customWidth="1"/>
    <col min="2626" max="2626" width="21.140625" style="18" customWidth="1"/>
    <col min="2627" max="2627" width="20.5703125" style="18" bestFit="1" customWidth="1"/>
    <col min="2628" max="2628" width="19.7109375" style="18" bestFit="1" customWidth="1"/>
    <col min="2629" max="2629" width="20.28515625" style="18" customWidth="1"/>
    <col min="2630" max="2630" width="20.85546875" style="18" bestFit="1" customWidth="1"/>
    <col min="2631" max="2631" width="19.5703125" style="18" bestFit="1" customWidth="1"/>
    <col min="2632" max="2632" width="18" style="18" customWidth="1"/>
    <col min="2633" max="2633" width="20" style="18" bestFit="1" customWidth="1"/>
    <col min="2634" max="2634" width="35.7109375" style="18" customWidth="1"/>
    <col min="2635" max="2635" width="21.140625" style="18" bestFit="1" customWidth="1"/>
    <col min="2636" max="2636" width="20.5703125" style="18" bestFit="1" customWidth="1"/>
    <col min="2637" max="2637" width="19.42578125" style="18" bestFit="1" customWidth="1"/>
    <col min="2638" max="2638" width="18.5703125" style="18" bestFit="1" customWidth="1"/>
    <col min="2639" max="2639" width="20.5703125" style="18" bestFit="1" customWidth="1"/>
    <col min="2640" max="2640" width="21.28515625" style="18" bestFit="1" customWidth="1"/>
    <col min="2641" max="2641" width="15.42578125" style="18" customWidth="1"/>
    <col min="2642" max="2642" width="20.7109375" style="18" customWidth="1"/>
    <col min="2643" max="2643" width="21.28515625" style="18" customWidth="1"/>
    <col min="2644" max="2644" width="14.85546875" style="18" bestFit="1" customWidth="1"/>
    <col min="2645" max="2645" width="23" style="18" bestFit="1" customWidth="1"/>
    <col min="2646" max="2646" width="21.28515625" style="18" bestFit="1" customWidth="1"/>
    <col min="2647" max="2647" width="20.28515625" style="18" bestFit="1" customWidth="1"/>
    <col min="2648" max="2648" width="21" style="18" bestFit="1" customWidth="1"/>
    <col min="2649" max="2649" width="18.85546875" style="18" bestFit="1" customWidth="1"/>
    <col min="2650" max="2650" width="80.7109375" style="18" customWidth="1"/>
    <col min="2651" max="2838" width="9.140625" style="18"/>
    <col min="2839" max="2839" width="2.5703125" style="18" customWidth="1"/>
    <col min="2840" max="2840" width="17.85546875" style="18" customWidth="1"/>
    <col min="2841" max="2841" width="41.5703125" style="18" customWidth="1"/>
    <col min="2842" max="2843" width="12" style="18" customWidth="1"/>
    <col min="2844" max="2844" width="17" style="18" customWidth="1"/>
    <col min="2845" max="2845" width="9.7109375" style="18" customWidth="1"/>
    <col min="2846" max="2846" width="12.28515625" style="18" customWidth="1"/>
    <col min="2847" max="2847" width="13.7109375" style="18" customWidth="1"/>
    <col min="2848" max="2848" width="13.5703125" style="18" bestFit="1" customWidth="1"/>
    <col min="2849" max="2849" width="13.5703125" style="18" customWidth="1"/>
    <col min="2850" max="2850" width="21" style="18" customWidth="1"/>
    <col min="2851" max="2854" width="13.42578125" style="18" customWidth="1"/>
    <col min="2855" max="2856" width="19" style="18" customWidth="1"/>
    <col min="2857" max="2857" width="34" style="18" customWidth="1"/>
    <col min="2858" max="2858" width="19" style="18" customWidth="1"/>
    <col min="2859" max="2859" width="20" style="18" bestFit="1" customWidth="1"/>
    <col min="2860" max="2860" width="20.28515625" style="18" bestFit="1" customWidth="1"/>
    <col min="2861" max="2861" width="26.7109375" style="18" customWidth="1"/>
    <col min="2862" max="2862" width="20.85546875" style="18" bestFit="1" customWidth="1"/>
    <col min="2863" max="2863" width="20.85546875" style="18" customWidth="1"/>
    <col min="2864" max="2864" width="18.85546875" style="18" customWidth="1"/>
    <col min="2865" max="2865" width="17.5703125" style="18" customWidth="1"/>
    <col min="2866" max="2867" width="19.42578125" style="18" customWidth="1"/>
    <col min="2868" max="2868" width="20.7109375" style="18" bestFit="1" customWidth="1"/>
    <col min="2869" max="2869" width="80.7109375" style="18" customWidth="1"/>
    <col min="2870" max="2870" width="14.7109375" style="18" bestFit="1" customWidth="1"/>
    <col min="2871" max="2871" width="18.140625" style="18" bestFit="1" customWidth="1"/>
    <col min="2872" max="2872" width="16.7109375" style="18" bestFit="1" customWidth="1"/>
    <col min="2873" max="2873" width="18.5703125" style="18" bestFit="1" customWidth="1"/>
    <col min="2874" max="2874" width="21.28515625" style="18" bestFit="1" customWidth="1"/>
    <col min="2875" max="2875" width="16.28515625" style="18" bestFit="1" customWidth="1"/>
    <col min="2876" max="2876" width="21.140625" style="18" bestFit="1" customWidth="1"/>
    <col min="2877" max="2877" width="19" style="18" bestFit="1" customWidth="1"/>
    <col min="2878" max="2878" width="19.140625" style="18" customWidth="1"/>
    <col min="2879" max="2879" width="16.7109375" style="18" customWidth="1"/>
    <col min="2880" max="2880" width="21.140625" style="18" bestFit="1" customWidth="1"/>
    <col min="2881" max="2881" width="20.42578125" style="18" bestFit="1" customWidth="1"/>
    <col min="2882" max="2882" width="21.140625" style="18" customWidth="1"/>
    <col min="2883" max="2883" width="20.5703125" style="18" bestFit="1" customWidth="1"/>
    <col min="2884" max="2884" width="19.7109375" style="18" bestFit="1" customWidth="1"/>
    <col min="2885" max="2885" width="20.28515625" style="18" customWidth="1"/>
    <col min="2886" max="2886" width="20.85546875" style="18" bestFit="1" customWidth="1"/>
    <col min="2887" max="2887" width="19.5703125" style="18" bestFit="1" customWidth="1"/>
    <col min="2888" max="2888" width="18" style="18" customWidth="1"/>
    <col min="2889" max="2889" width="20" style="18" bestFit="1" customWidth="1"/>
    <col min="2890" max="2890" width="35.7109375" style="18" customWidth="1"/>
    <col min="2891" max="2891" width="21.140625" style="18" bestFit="1" customWidth="1"/>
    <col min="2892" max="2892" width="20.5703125" style="18" bestFit="1" customWidth="1"/>
    <col min="2893" max="2893" width="19.42578125" style="18" bestFit="1" customWidth="1"/>
    <col min="2894" max="2894" width="18.5703125" style="18" bestFit="1" customWidth="1"/>
    <col min="2895" max="2895" width="20.5703125" style="18" bestFit="1" customWidth="1"/>
    <col min="2896" max="2896" width="21.28515625" style="18" bestFit="1" customWidth="1"/>
    <col min="2897" max="2897" width="15.42578125" style="18" customWidth="1"/>
    <col min="2898" max="2898" width="20.7109375" style="18" customWidth="1"/>
    <col min="2899" max="2899" width="21.28515625" style="18" customWidth="1"/>
    <col min="2900" max="2900" width="14.85546875" style="18" bestFit="1" customWidth="1"/>
    <col min="2901" max="2901" width="23" style="18" bestFit="1" customWidth="1"/>
    <col min="2902" max="2902" width="21.28515625" style="18" bestFit="1" customWidth="1"/>
    <col min="2903" max="2903" width="20.28515625" style="18" bestFit="1" customWidth="1"/>
    <col min="2904" max="2904" width="21" style="18" bestFit="1" customWidth="1"/>
    <col min="2905" max="2905" width="18.85546875" style="18" bestFit="1" customWidth="1"/>
    <col min="2906" max="2906" width="80.7109375" style="18" customWidth="1"/>
    <col min="2907" max="3094" width="9.140625" style="18"/>
    <col min="3095" max="3095" width="2.5703125" style="18" customWidth="1"/>
    <col min="3096" max="3096" width="17.85546875" style="18" customWidth="1"/>
    <col min="3097" max="3097" width="41.5703125" style="18" customWidth="1"/>
    <col min="3098" max="3099" width="12" style="18" customWidth="1"/>
    <col min="3100" max="3100" width="17" style="18" customWidth="1"/>
    <col min="3101" max="3101" width="9.7109375" style="18" customWidth="1"/>
    <col min="3102" max="3102" width="12.28515625" style="18" customWidth="1"/>
    <col min="3103" max="3103" width="13.7109375" style="18" customWidth="1"/>
    <col min="3104" max="3104" width="13.5703125" style="18" bestFit="1" customWidth="1"/>
    <col min="3105" max="3105" width="13.5703125" style="18" customWidth="1"/>
    <col min="3106" max="3106" width="21" style="18" customWidth="1"/>
    <col min="3107" max="3110" width="13.42578125" style="18" customWidth="1"/>
    <col min="3111" max="3112" width="19" style="18" customWidth="1"/>
    <col min="3113" max="3113" width="34" style="18" customWidth="1"/>
    <col min="3114" max="3114" width="19" style="18" customWidth="1"/>
    <col min="3115" max="3115" width="20" style="18" bestFit="1" customWidth="1"/>
    <col min="3116" max="3116" width="20.28515625" style="18" bestFit="1" customWidth="1"/>
    <col min="3117" max="3117" width="26.7109375" style="18" customWidth="1"/>
    <col min="3118" max="3118" width="20.85546875" style="18" bestFit="1" customWidth="1"/>
    <col min="3119" max="3119" width="20.85546875" style="18" customWidth="1"/>
    <col min="3120" max="3120" width="18.85546875" style="18" customWidth="1"/>
    <col min="3121" max="3121" width="17.5703125" style="18" customWidth="1"/>
    <col min="3122" max="3123" width="19.42578125" style="18" customWidth="1"/>
    <col min="3124" max="3124" width="20.7109375" style="18" bestFit="1" customWidth="1"/>
    <col min="3125" max="3125" width="80.7109375" style="18" customWidth="1"/>
    <col min="3126" max="3126" width="14.7109375" style="18" bestFit="1" customWidth="1"/>
    <col min="3127" max="3127" width="18.140625" style="18" bestFit="1" customWidth="1"/>
    <col min="3128" max="3128" width="16.7109375" style="18" bestFit="1" customWidth="1"/>
    <col min="3129" max="3129" width="18.5703125" style="18" bestFit="1" customWidth="1"/>
    <col min="3130" max="3130" width="21.28515625" style="18" bestFit="1" customWidth="1"/>
    <col min="3131" max="3131" width="16.28515625" style="18" bestFit="1" customWidth="1"/>
    <col min="3132" max="3132" width="21.140625" style="18" bestFit="1" customWidth="1"/>
    <col min="3133" max="3133" width="19" style="18" bestFit="1" customWidth="1"/>
    <col min="3134" max="3134" width="19.140625" style="18" customWidth="1"/>
    <col min="3135" max="3135" width="16.7109375" style="18" customWidth="1"/>
    <col min="3136" max="3136" width="21.140625" style="18" bestFit="1" customWidth="1"/>
    <col min="3137" max="3137" width="20.42578125" style="18" bestFit="1" customWidth="1"/>
    <col min="3138" max="3138" width="21.140625" style="18" customWidth="1"/>
    <col min="3139" max="3139" width="20.5703125" style="18" bestFit="1" customWidth="1"/>
    <col min="3140" max="3140" width="19.7109375" style="18" bestFit="1" customWidth="1"/>
    <col min="3141" max="3141" width="20.28515625" style="18" customWidth="1"/>
    <col min="3142" max="3142" width="20.85546875" style="18" bestFit="1" customWidth="1"/>
    <col min="3143" max="3143" width="19.5703125" style="18" bestFit="1" customWidth="1"/>
    <col min="3144" max="3144" width="18" style="18" customWidth="1"/>
    <col min="3145" max="3145" width="20" style="18" bestFit="1" customWidth="1"/>
    <col min="3146" max="3146" width="35.7109375" style="18" customWidth="1"/>
    <col min="3147" max="3147" width="21.140625" style="18" bestFit="1" customWidth="1"/>
    <col min="3148" max="3148" width="20.5703125" style="18" bestFit="1" customWidth="1"/>
    <col min="3149" max="3149" width="19.42578125" style="18" bestFit="1" customWidth="1"/>
    <col min="3150" max="3150" width="18.5703125" style="18" bestFit="1" customWidth="1"/>
    <col min="3151" max="3151" width="20.5703125" style="18" bestFit="1" customWidth="1"/>
    <col min="3152" max="3152" width="21.28515625" style="18" bestFit="1" customWidth="1"/>
    <col min="3153" max="3153" width="15.42578125" style="18" customWidth="1"/>
    <col min="3154" max="3154" width="20.7109375" style="18" customWidth="1"/>
    <col min="3155" max="3155" width="21.28515625" style="18" customWidth="1"/>
    <col min="3156" max="3156" width="14.85546875" style="18" bestFit="1" customWidth="1"/>
    <col min="3157" max="3157" width="23" style="18" bestFit="1" customWidth="1"/>
    <col min="3158" max="3158" width="21.28515625" style="18" bestFit="1" customWidth="1"/>
    <col min="3159" max="3159" width="20.28515625" style="18" bestFit="1" customWidth="1"/>
    <col min="3160" max="3160" width="21" style="18" bestFit="1" customWidth="1"/>
    <col min="3161" max="3161" width="18.85546875" style="18" bestFit="1" customWidth="1"/>
    <col min="3162" max="3162" width="80.7109375" style="18" customWidth="1"/>
    <col min="3163" max="3350" width="9.140625" style="18"/>
    <col min="3351" max="3351" width="2.5703125" style="18" customWidth="1"/>
    <col min="3352" max="3352" width="17.85546875" style="18" customWidth="1"/>
    <col min="3353" max="3353" width="41.5703125" style="18" customWidth="1"/>
    <col min="3354" max="3355" width="12" style="18" customWidth="1"/>
    <col min="3356" max="3356" width="17" style="18" customWidth="1"/>
    <col min="3357" max="3357" width="9.7109375" style="18" customWidth="1"/>
    <col min="3358" max="3358" width="12.28515625" style="18" customWidth="1"/>
    <col min="3359" max="3359" width="13.7109375" style="18" customWidth="1"/>
    <col min="3360" max="3360" width="13.5703125" style="18" bestFit="1" customWidth="1"/>
    <col min="3361" max="3361" width="13.5703125" style="18" customWidth="1"/>
    <col min="3362" max="3362" width="21" style="18" customWidth="1"/>
    <col min="3363" max="3366" width="13.42578125" style="18" customWidth="1"/>
    <col min="3367" max="3368" width="19" style="18" customWidth="1"/>
    <col min="3369" max="3369" width="34" style="18" customWidth="1"/>
    <col min="3370" max="3370" width="19" style="18" customWidth="1"/>
    <col min="3371" max="3371" width="20" style="18" bestFit="1" customWidth="1"/>
    <col min="3372" max="3372" width="20.28515625" style="18" bestFit="1" customWidth="1"/>
    <col min="3373" max="3373" width="26.7109375" style="18" customWidth="1"/>
    <col min="3374" max="3374" width="20.85546875" style="18" bestFit="1" customWidth="1"/>
    <col min="3375" max="3375" width="20.85546875" style="18" customWidth="1"/>
    <col min="3376" max="3376" width="18.85546875" style="18" customWidth="1"/>
    <col min="3377" max="3377" width="17.5703125" style="18" customWidth="1"/>
    <col min="3378" max="3379" width="19.42578125" style="18" customWidth="1"/>
    <col min="3380" max="3380" width="20.7109375" style="18" bestFit="1" customWidth="1"/>
    <col min="3381" max="3381" width="80.7109375" style="18" customWidth="1"/>
    <col min="3382" max="3382" width="14.7109375" style="18" bestFit="1" customWidth="1"/>
    <col min="3383" max="3383" width="18.140625" style="18" bestFit="1" customWidth="1"/>
    <col min="3384" max="3384" width="16.7109375" style="18" bestFit="1" customWidth="1"/>
    <col min="3385" max="3385" width="18.5703125" style="18" bestFit="1" customWidth="1"/>
    <col min="3386" max="3386" width="21.28515625" style="18" bestFit="1" customWidth="1"/>
    <col min="3387" max="3387" width="16.28515625" style="18" bestFit="1" customWidth="1"/>
    <col min="3388" max="3388" width="21.140625" style="18" bestFit="1" customWidth="1"/>
    <col min="3389" max="3389" width="19" style="18" bestFit="1" customWidth="1"/>
    <col min="3390" max="3390" width="19.140625" style="18" customWidth="1"/>
    <col min="3391" max="3391" width="16.7109375" style="18" customWidth="1"/>
    <col min="3392" max="3392" width="21.140625" style="18" bestFit="1" customWidth="1"/>
    <col min="3393" max="3393" width="20.42578125" style="18" bestFit="1" customWidth="1"/>
    <col min="3394" max="3394" width="21.140625" style="18" customWidth="1"/>
    <col min="3395" max="3395" width="20.5703125" style="18" bestFit="1" customWidth="1"/>
    <col min="3396" max="3396" width="19.7109375" style="18" bestFit="1" customWidth="1"/>
    <col min="3397" max="3397" width="20.28515625" style="18" customWidth="1"/>
    <col min="3398" max="3398" width="20.85546875" style="18" bestFit="1" customWidth="1"/>
    <col min="3399" max="3399" width="19.5703125" style="18" bestFit="1" customWidth="1"/>
    <col min="3400" max="3400" width="18" style="18" customWidth="1"/>
    <col min="3401" max="3401" width="20" style="18" bestFit="1" customWidth="1"/>
    <col min="3402" max="3402" width="35.7109375" style="18" customWidth="1"/>
    <col min="3403" max="3403" width="21.140625" style="18" bestFit="1" customWidth="1"/>
    <col min="3404" max="3404" width="20.5703125" style="18" bestFit="1" customWidth="1"/>
    <col min="3405" max="3405" width="19.42578125" style="18" bestFit="1" customWidth="1"/>
    <col min="3406" max="3406" width="18.5703125" style="18" bestFit="1" customWidth="1"/>
    <col min="3407" max="3407" width="20.5703125" style="18" bestFit="1" customWidth="1"/>
    <col min="3408" max="3408" width="21.28515625" style="18" bestFit="1" customWidth="1"/>
    <col min="3409" max="3409" width="15.42578125" style="18" customWidth="1"/>
    <col min="3410" max="3410" width="20.7109375" style="18" customWidth="1"/>
    <col min="3411" max="3411" width="21.28515625" style="18" customWidth="1"/>
    <col min="3412" max="3412" width="14.85546875" style="18" bestFit="1" customWidth="1"/>
    <col min="3413" max="3413" width="23" style="18" bestFit="1" customWidth="1"/>
    <col min="3414" max="3414" width="21.28515625" style="18" bestFit="1" customWidth="1"/>
    <col min="3415" max="3415" width="20.28515625" style="18" bestFit="1" customWidth="1"/>
    <col min="3416" max="3416" width="21" style="18" bestFit="1" customWidth="1"/>
    <col min="3417" max="3417" width="18.85546875" style="18" bestFit="1" customWidth="1"/>
    <col min="3418" max="3418" width="80.7109375" style="18" customWidth="1"/>
    <col min="3419" max="3606" width="9.140625" style="18"/>
    <col min="3607" max="3607" width="2.5703125" style="18" customWidth="1"/>
    <col min="3608" max="3608" width="17.85546875" style="18" customWidth="1"/>
    <col min="3609" max="3609" width="41.5703125" style="18" customWidth="1"/>
    <col min="3610" max="3611" width="12" style="18" customWidth="1"/>
    <col min="3612" max="3612" width="17" style="18" customWidth="1"/>
    <col min="3613" max="3613" width="9.7109375" style="18" customWidth="1"/>
    <col min="3614" max="3614" width="12.28515625" style="18" customWidth="1"/>
    <col min="3615" max="3615" width="13.7109375" style="18" customWidth="1"/>
    <col min="3616" max="3616" width="13.5703125" style="18" bestFit="1" customWidth="1"/>
    <col min="3617" max="3617" width="13.5703125" style="18" customWidth="1"/>
    <col min="3618" max="3618" width="21" style="18" customWidth="1"/>
    <col min="3619" max="3622" width="13.42578125" style="18" customWidth="1"/>
    <col min="3623" max="3624" width="19" style="18" customWidth="1"/>
    <col min="3625" max="3625" width="34" style="18" customWidth="1"/>
    <col min="3626" max="3626" width="19" style="18" customWidth="1"/>
    <col min="3627" max="3627" width="20" style="18" bestFit="1" customWidth="1"/>
    <col min="3628" max="3628" width="20.28515625" style="18" bestFit="1" customWidth="1"/>
    <col min="3629" max="3629" width="26.7109375" style="18" customWidth="1"/>
    <col min="3630" max="3630" width="20.85546875" style="18" bestFit="1" customWidth="1"/>
    <col min="3631" max="3631" width="20.85546875" style="18" customWidth="1"/>
    <col min="3632" max="3632" width="18.85546875" style="18" customWidth="1"/>
    <col min="3633" max="3633" width="17.5703125" style="18" customWidth="1"/>
    <col min="3634" max="3635" width="19.42578125" style="18" customWidth="1"/>
    <col min="3636" max="3636" width="20.7109375" style="18" bestFit="1" customWidth="1"/>
    <col min="3637" max="3637" width="80.7109375" style="18" customWidth="1"/>
    <col min="3638" max="3638" width="14.7109375" style="18" bestFit="1" customWidth="1"/>
    <col min="3639" max="3639" width="18.140625" style="18" bestFit="1" customWidth="1"/>
    <col min="3640" max="3640" width="16.7109375" style="18" bestFit="1" customWidth="1"/>
    <col min="3641" max="3641" width="18.5703125" style="18" bestFit="1" customWidth="1"/>
    <col min="3642" max="3642" width="21.28515625" style="18" bestFit="1" customWidth="1"/>
    <col min="3643" max="3643" width="16.28515625" style="18" bestFit="1" customWidth="1"/>
    <col min="3644" max="3644" width="21.140625" style="18" bestFit="1" customWidth="1"/>
    <col min="3645" max="3645" width="19" style="18" bestFit="1" customWidth="1"/>
    <col min="3646" max="3646" width="19.140625" style="18" customWidth="1"/>
    <col min="3647" max="3647" width="16.7109375" style="18" customWidth="1"/>
    <col min="3648" max="3648" width="21.140625" style="18" bestFit="1" customWidth="1"/>
    <col min="3649" max="3649" width="20.42578125" style="18" bestFit="1" customWidth="1"/>
    <col min="3650" max="3650" width="21.140625" style="18" customWidth="1"/>
    <col min="3651" max="3651" width="20.5703125" style="18" bestFit="1" customWidth="1"/>
    <col min="3652" max="3652" width="19.7109375" style="18" bestFit="1" customWidth="1"/>
    <col min="3653" max="3653" width="20.28515625" style="18" customWidth="1"/>
    <col min="3654" max="3654" width="20.85546875" style="18" bestFit="1" customWidth="1"/>
    <col min="3655" max="3655" width="19.5703125" style="18" bestFit="1" customWidth="1"/>
    <col min="3656" max="3656" width="18" style="18" customWidth="1"/>
    <col min="3657" max="3657" width="20" style="18" bestFit="1" customWidth="1"/>
    <col min="3658" max="3658" width="35.7109375" style="18" customWidth="1"/>
    <col min="3659" max="3659" width="21.140625" style="18" bestFit="1" customWidth="1"/>
    <col min="3660" max="3660" width="20.5703125" style="18" bestFit="1" customWidth="1"/>
    <col min="3661" max="3661" width="19.42578125" style="18" bestFit="1" customWidth="1"/>
    <col min="3662" max="3662" width="18.5703125" style="18" bestFit="1" customWidth="1"/>
    <col min="3663" max="3663" width="20.5703125" style="18" bestFit="1" customWidth="1"/>
    <col min="3664" max="3664" width="21.28515625" style="18" bestFit="1" customWidth="1"/>
    <col min="3665" max="3665" width="15.42578125" style="18" customWidth="1"/>
    <col min="3666" max="3666" width="20.7109375" style="18" customWidth="1"/>
    <col min="3667" max="3667" width="21.28515625" style="18" customWidth="1"/>
    <col min="3668" max="3668" width="14.85546875" style="18" bestFit="1" customWidth="1"/>
    <col min="3669" max="3669" width="23" style="18" bestFit="1" customWidth="1"/>
    <col min="3670" max="3670" width="21.28515625" style="18" bestFit="1" customWidth="1"/>
    <col min="3671" max="3671" width="20.28515625" style="18" bestFit="1" customWidth="1"/>
    <col min="3672" max="3672" width="21" style="18" bestFit="1" customWidth="1"/>
    <col min="3673" max="3673" width="18.85546875" style="18" bestFit="1" customWidth="1"/>
    <col min="3674" max="3674" width="80.7109375" style="18" customWidth="1"/>
    <col min="3675" max="3862" width="9.140625" style="18"/>
    <col min="3863" max="3863" width="2.5703125" style="18" customWidth="1"/>
    <col min="3864" max="3864" width="17.85546875" style="18" customWidth="1"/>
    <col min="3865" max="3865" width="41.5703125" style="18" customWidth="1"/>
    <col min="3866" max="3867" width="12" style="18" customWidth="1"/>
    <col min="3868" max="3868" width="17" style="18" customWidth="1"/>
    <col min="3869" max="3869" width="9.7109375" style="18" customWidth="1"/>
    <col min="3870" max="3870" width="12.28515625" style="18" customWidth="1"/>
    <col min="3871" max="3871" width="13.7109375" style="18" customWidth="1"/>
    <col min="3872" max="3872" width="13.5703125" style="18" bestFit="1" customWidth="1"/>
    <col min="3873" max="3873" width="13.5703125" style="18" customWidth="1"/>
    <col min="3874" max="3874" width="21" style="18" customWidth="1"/>
    <col min="3875" max="3878" width="13.42578125" style="18" customWidth="1"/>
    <col min="3879" max="3880" width="19" style="18" customWidth="1"/>
    <col min="3881" max="3881" width="34" style="18" customWidth="1"/>
    <col min="3882" max="3882" width="19" style="18" customWidth="1"/>
    <col min="3883" max="3883" width="20" style="18" bestFit="1" customWidth="1"/>
    <col min="3884" max="3884" width="20.28515625" style="18" bestFit="1" customWidth="1"/>
    <col min="3885" max="3885" width="26.7109375" style="18" customWidth="1"/>
    <col min="3886" max="3886" width="20.85546875" style="18" bestFit="1" customWidth="1"/>
    <col min="3887" max="3887" width="20.85546875" style="18" customWidth="1"/>
    <col min="3888" max="3888" width="18.85546875" style="18" customWidth="1"/>
    <col min="3889" max="3889" width="17.5703125" style="18" customWidth="1"/>
    <col min="3890" max="3891" width="19.42578125" style="18" customWidth="1"/>
    <col min="3892" max="3892" width="20.7109375" style="18" bestFit="1" customWidth="1"/>
    <col min="3893" max="3893" width="80.7109375" style="18" customWidth="1"/>
    <col min="3894" max="3894" width="14.7109375" style="18" bestFit="1" customWidth="1"/>
    <col min="3895" max="3895" width="18.140625" style="18" bestFit="1" customWidth="1"/>
    <col min="3896" max="3896" width="16.7109375" style="18" bestFit="1" customWidth="1"/>
    <col min="3897" max="3897" width="18.5703125" style="18" bestFit="1" customWidth="1"/>
    <col min="3898" max="3898" width="21.28515625" style="18" bestFit="1" customWidth="1"/>
    <col min="3899" max="3899" width="16.28515625" style="18" bestFit="1" customWidth="1"/>
    <col min="3900" max="3900" width="21.140625" style="18" bestFit="1" customWidth="1"/>
    <col min="3901" max="3901" width="19" style="18" bestFit="1" customWidth="1"/>
    <col min="3902" max="3902" width="19.140625" style="18" customWidth="1"/>
    <col min="3903" max="3903" width="16.7109375" style="18" customWidth="1"/>
    <col min="3904" max="3904" width="21.140625" style="18" bestFit="1" customWidth="1"/>
    <col min="3905" max="3905" width="20.42578125" style="18" bestFit="1" customWidth="1"/>
    <col min="3906" max="3906" width="21.140625" style="18" customWidth="1"/>
    <col min="3907" max="3907" width="20.5703125" style="18" bestFit="1" customWidth="1"/>
    <col min="3908" max="3908" width="19.7109375" style="18" bestFit="1" customWidth="1"/>
    <col min="3909" max="3909" width="20.28515625" style="18" customWidth="1"/>
    <col min="3910" max="3910" width="20.85546875" style="18" bestFit="1" customWidth="1"/>
    <col min="3911" max="3911" width="19.5703125" style="18" bestFit="1" customWidth="1"/>
    <col min="3912" max="3912" width="18" style="18" customWidth="1"/>
    <col min="3913" max="3913" width="20" style="18" bestFit="1" customWidth="1"/>
    <col min="3914" max="3914" width="35.7109375" style="18" customWidth="1"/>
    <col min="3915" max="3915" width="21.140625" style="18" bestFit="1" customWidth="1"/>
    <col min="3916" max="3916" width="20.5703125" style="18" bestFit="1" customWidth="1"/>
    <col min="3917" max="3917" width="19.42578125" style="18" bestFit="1" customWidth="1"/>
    <col min="3918" max="3918" width="18.5703125" style="18" bestFit="1" customWidth="1"/>
    <col min="3919" max="3919" width="20.5703125" style="18" bestFit="1" customWidth="1"/>
    <col min="3920" max="3920" width="21.28515625" style="18" bestFit="1" customWidth="1"/>
    <col min="3921" max="3921" width="15.42578125" style="18" customWidth="1"/>
    <col min="3922" max="3922" width="20.7109375" style="18" customWidth="1"/>
    <col min="3923" max="3923" width="21.28515625" style="18" customWidth="1"/>
    <col min="3924" max="3924" width="14.85546875" style="18" bestFit="1" customWidth="1"/>
    <col min="3925" max="3925" width="23" style="18" bestFit="1" customWidth="1"/>
    <col min="3926" max="3926" width="21.28515625" style="18" bestFit="1" customWidth="1"/>
    <col min="3927" max="3927" width="20.28515625" style="18" bestFit="1" customWidth="1"/>
    <col min="3928" max="3928" width="21" style="18" bestFit="1" customWidth="1"/>
    <col min="3929" max="3929" width="18.85546875" style="18" bestFit="1" customWidth="1"/>
    <col min="3930" max="3930" width="80.7109375" style="18" customWidth="1"/>
    <col min="3931" max="4118" width="9.140625" style="18"/>
    <col min="4119" max="4119" width="2.5703125" style="18" customWidth="1"/>
    <col min="4120" max="4120" width="17.85546875" style="18" customWidth="1"/>
    <col min="4121" max="4121" width="41.5703125" style="18" customWidth="1"/>
    <col min="4122" max="4123" width="12" style="18" customWidth="1"/>
    <col min="4124" max="4124" width="17" style="18" customWidth="1"/>
    <col min="4125" max="4125" width="9.7109375" style="18" customWidth="1"/>
    <col min="4126" max="4126" width="12.28515625" style="18" customWidth="1"/>
    <col min="4127" max="4127" width="13.7109375" style="18" customWidth="1"/>
    <col min="4128" max="4128" width="13.5703125" style="18" bestFit="1" customWidth="1"/>
    <col min="4129" max="4129" width="13.5703125" style="18" customWidth="1"/>
    <col min="4130" max="4130" width="21" style="18" customWidth="1"/>
    <col min="4131" max="4134" width="13.42578125" style="18" customWidth="1"/>
    <col min="4135" max="4136" width="19" style="18" customWidth="1"/>
    <col min="4137" max="4137" width="34" style="18" customWidth="1"/>
    <col min="4138" max="4138" width="19" style="18" customWidth="1"/>
    <col min="4139" max="4139" width="20" style="18" bestFit="1" customWidth="1"/>
    <col min="4140" max="4140" width="20.28515625" style="18" bestFit="1" customWidth="1"/>
    <col min="4141" max="4141" width="26.7109375" style="18" customWidth="1"/>
    <col min="4142" max="4142" width="20.85546875" style="18" bestFit="1" customWidth="1"/>
    <col min="4143" max="4143" width="20.85546875" style="18" customWidth="1"/>
    <col min="4144" max="4144" width="18.85546875" style="18" customWidth="1"/>
    <col min="4145" max="4145" width="17.5703125" style="18" customWidth="1"/>
    <col min="4146" max="4147" width="19.42578125" style="18" customWidth="1"/>
    <col min="4148" max="4148" width="20.7109375" style="18" bestFit="1" customWidth="1"/>
    <col min="4149" max="4149" width="80.7109375" style="18" customWidth="1"/>
    <col min="4150" max="4150" width="14.7109375" style="18" bestFit="1" customWidth="1"/>
    <col min="4151" max="4151" width="18.140625" style="18" bestFit="1" customWidth="1"/>
    <col min="4152" max="4152" width="16.7109375" style="18" bestFit="1" customWidth="1"/>
    <col min="4153" max="4153" width="18.5703125" style="18" bestFit="1" customWidth="1"/>
    <col min="4154" max="4154" width="21.28515625" style="18" bestFit="1" customWidth="1"/>
    <col min="4155" max="4155" width="16.28515625" style="18" bestFit="1" customWidth="1"/>
    <col min="4156" max="4156" width="21.140625" style="18" bestFit="1" customWidth="1"/>
    <col min="4157" max="4157" width="19" style="18" bestFit="1" customWidth="1"/>
    <col min="4158" max="4158" width="19.140625" style="18" customWidth="1"/>
    <col min="4159" max="4159" width="16.7109375" style="18" customWidth="1"/>
    <col min="4160" max="4160" width="21.140625" style="18" bestFit="1" customWidth="1"/>
    <col min="4161" max="4161" width="20.42578125" style="18" bestFit="1" customWidth="1"/>
    <col min="4162" max="4162" width="21.140625" style="18" customWidth="1"/>
    <col min="4163" max="4163" width="20.5703125" style="18" bestFit="1" customWidth="1"/>
    <col min="4164" max="4164" width="19.7109375" style="18" bestFit="1" customWidth="1"/>
    <col min="4165" max="4165" width="20.28515625" style="18" customWidth="1"/>
    <col min="4166" max="4166" width="20.85546875" style="18" bestFit="1" customWidth="1"/>
    <col min="4167" max="4167" width="19.5703125" style="18" bestFit="1" customWidth="1"/>
    <col min="4168" max="4168" width="18" style="18" customWidth="1"/>
    <col min="4169" max="4169" width="20" style="18" bestFit="1" customWidth="1"/>
    <col min="4170" max="4170" width="35.7109375" style="18" customWidth="1"/>
    <col min="4171" max="4171" width="21.140625" style="18" bestFit="1" customWidth="1"/>
    <col min="4172" max="4172" width="20.5703125" style="18" bestFit="1" customWidth="1"/>
    <col min="4173" max="4173" width="19.42578125" style="18" bestFit="1" customWidth="1"/>
    <col min="4174" max="4174" width="18.5703125" style="18" bestFit="1" customWidth="1"/>
    <col min="4175" max="4175" width="20.5703125" style="18" bestFit="1" customWidth="1"/>
    <col min="4176" max="4176" width="21.28515625" style="18" bestFit="1" customWidth="1"/>
    <col min="4177" max="4177" width="15.42578125" style="18" customWidth="1"/>
    <col min="4178" max="4178" width="20.7109375" style="18" customWidth="1"/>
    <col min="4179" max="4179" width="21.28515625" style="18" customWidth="1"/>
    <col min="4180" max="4180" width="14.85546875" style="18" bestFit="1" customWidth="1"/>
    <col min="4181" max="4181" width="23" style="18" bestFit="1" customWidth="1"/>
    <col min="4182" max="4182" width="21.28515625" style="18" bestFit="1" customWidth="1"/>
    <col min="4183" max="4183" width="20.28515625" style="18" bestFit="1" customWidth="1"/>
    <col min="4184" max="4184" width="21" style="18" bestFit="1" customWidth="1"/>
    <col min="4185" max="4185" width="18.85546875" style="18" bestFit="1" customWidth="1"/>
    <col min="4186" max="4186" width="80.7109375" style="18" customWidth="1"/>
    <col min="4187" max="4374" width="9.140625" style="18"/>
    <col min="4375" max="4375" width="2.5703125" style="18" customWidth="1"/>
    <col min="4376" max="4376" width="17.85546875" style="18" customWidth="1"/>
    <col min="4377" max="4377" width="41.5703125" style="18" customWidth="1"/>
    <col min="4378" max="4379" width="12" style="18" customWidth="1"/>
    <col min="4380" max="4380" width="17" style="18" customWidth="1"/>
    <col min="4381" max="4381" width="9.7109375" style="18" customWidth="1"/>
    <col min="4382" max="4382" width="12.28515625" style="18" customWidth="1"/>
    <col min="4383" max="4383" width="13.7109375" style="18" customWidth="1"/>
    <col min="4384" max="4384" width="13.5703125" style="18" bestFit="1" customWidth="1"/>
    <col min="4385" max="4385" width="13.5703125" style="18" customWidth="1"/>
    <col min="4386" max="4386" width="21" style="18" customWidth="1"/>
    <col min="4387" max="4390" width="13.42578125" style="18" customWidth="1"/>
    <col min="4391" max="4392" width="19" style="18" customWidth="1"/>
    <col min="4393" max="4393" width="34" style="18" customWidth="1"/>
    <col min="4394" max="4394" width="19" style="18" customWidth="1"/>
    <col min="4395" max="4395" width="20" style="18" bestFit="1" customWidth="1"/>
    <col min="4396" max="4396" width="20.28515625" style="18" bestFit="1" customWidth="1"/>
    <col min="4397" max="4397" width="26.7109375" style="18" customWidth="1"/>
    <col min="4398" max="4398" width="20.85546875" style="18" bestFit="1" customWidth="1"/>
    <col min="4399" max="4399" width="20.85546875" style="18" customWidth="1"/>
    <col min="4400" max="4400" width="18.85546875" style="18" customWidth="1"/>
    <col min="4401" max="4401" width="17.5703125" style="18" customWidth="1"/>
    <col min="4402" max="4403" width="19.42578125" style="18" customWidth="1"/>
    <col min="4404" max="4404" width="20.7109375" style="18" bestFit="1" customWidth="1"/>
    <col min="4405" max="4405" width="80.7109375" style="18" customWidth="1"/>
    <col min="4406" max="4406" width="14.7109375" style="18" bestFit="1" customWidth="1"/>
    <col min="4407" max="4407" width="18.140625" style="18" bestFit="1" customWidth="1"/>
    <col min="4408" max="4408" width="16.7109375" style="18" bestFit="1" customWidth="1"/>
    <col min="4409" max="4409" width="18.5703125" style="18" bestFit="1" customWidth="1"/>
    <col min="4410" max="4410" width="21.28515625" style="18" bestFit="1" customWidth="1"/>
    <col min="4411" max="4411" width="16.28515625" style="18" bestFit="1" customWidth="1"/>
    <col min="4412" max="4412" width="21.140625" style="18" bestFit="1" customWidth="1"/>
    <col min="4413" max="4413" width="19" style="18" bestFit="1" customWidth="1"/>
    <col min="4414" max="4414" width="19.140625" style="18" customWidth="1"/>
    <col min="4415" max="4415" width="16.7109375" style="18" customWidth="1"/>
    <col min="4416" max="4416" width="21.140625" style="18" bestFit="1" customWidth="1"/>
    <col min="4417" max="4417" width="20.42578125" style="18" bestFit="1" customWidth="1"/>
    <col min="4418" max="4418" width="21.140625" style="18" customWidth="1"/>
    <col min="4419" max="4419" width="20.5703125" style="18" bestFit="1" customWidth="1"/>
    <col min="4420" max="4420" width="19.7109375" style="18" bestFit="1" customWidth="1"/>
    <col min="4421" max="4421" width="20.28515625" style="18" customWidth="1"/>
    <col min="4422" max="4422" width="20.85546875" style="18" bestFit="1" customWidth="1"/>
    <col min="4423" max="4423" width="19.5703125" style="18" bestFit="1" customWidth="1"/>
    <col min="4424" max="4424" width="18" style="18" customWidth="1"/>
    <col min="4425" max="4425" width="20" style="18" bestFit="1" customWidth="1"/>
    <col min="4426" max="4426" width="35.7109375" style="18" customWidth="1"/>
    <col min="4427" max="4427" width="21.140625" style="18" bestFit="1" customWidth="1"/>
    <col min="4428" max="4428" width="20.5703125" style="18" bestFit="1" customWidth="1"/>
    <col min="4429" max="4429" width="19.42578125" style="18" bestFit="1" customWidth="1"/>
    <col min="4430" max="4430" width="18.5703125" style="18" bestFit="1" customWidth="1"/>
    <col min="4431" max="4431" width="20.5703125" style="18" bestFit="1" customWidth="1"/>
    <col min="4432" max="4432" width="21.28515625" style="18" bestFit="1" customWidth="1"/>
    <col min="4433" max="4433" width="15.42578125" style="18" customWidth="1"/>
    <col min="4434" max="4434" width="20.7109375" style="18" customWidth="1"/>
    <col min="4435" max="4435" width="21.28515625" style="18" customWidth="1"/>
    <col min="4436" max="4436" width="14.85546875" style="18" bestFit="1" customWidth="1"/>
    <col min="4437" max="4437" width="23" style="18" bestFit="1" customWidth="1"/>
    <col min="4438" max="4438" width="21.28515625" style="18" bestFit="1" customWidth="1"/>
    <col min="4439" max="4439" width="20.28515625" style="18" bestFit="1" customWidth="1"/>
    <col min="4440" max="4440" width="21" style="18" bestFit="1" customWidth="1"/>
    <col min="4441" max="4441" width="18.85546875" style="18" bestFit="1" customWidth="1"/>
    <col min="4442" max="4442" width="80.7109375" style="18" customWidth="1"/>
    <col min="4443" max="4630" width="9.140625" style="18"/>
    <col min="4631" max="4631" width="2.5703125" style="18" customWidth="1"/>
    <col min="4632" max="4632" width="17.85546875" style="18" customWidth="1"/>
    <col min="4633" max="4633" width="41.5703125" style="18" customWidth="1"/>
    <col min="4634" max="4635" width="12" style="18" customWidth="1"/>
    <col min="4636" max="4636" width="17" style="18" customWidth="1"/>
    <col min="4637" max="4637" width="9.7109375" style="18" customWidth="1"/>
    <col min="4638" max="4638" width="12.28515625" style="18" customWidth="1"/>
    <col min="4639" max="4639" width="13.7109375" style="18" customWidth="1"/>
    <col min="4640" max="4640" width="13.5703125" style="18" bestFit="1" customWidth="1"/>
    <col min="4641" max="4641" width="13.5703125" style="18" customWidth="1"/>
    <col min="4642" max="4642" width="21" style="18" customWidth="1"/>
    <col min="4643" max="4646" width="13.42578125" style="18" customWidth="1"/>
    <col min="4647" max="4648" width="19" style="18" customWidth="1"/>
    <col min="4649" max="4649" width="34" style="18" customWidth="1"/>
    <col min="4650" max="4650" width="19" style="18" customWidth="1"/>
    <col min="4651" max="4651" width="20" style="18" bestFit="1" customWidth="1"/>
    <col min="4652" max="4652" width="20.28515625" style="18" bestFit="1" customWidth="1"/>
    <col min="4653" max="4653" width="26.7109375" style="18" customWidth="1"/>
    <col min="4654" max="4654" width="20.85546875" style="18" bestFit="1" customWidth="1"/>
    <col min="4655" max="4655" width="20.85546875" style="18" customWidth="1"/>
    <col min="4656" max="4656" width="18.85546875" style="18" customWidth="1"/>
    <col min="4657" max="4657" width="17.5703125" style="18" customWidth="1"/>
    <col min="4658" max="4659" width="19.42578125" style="18" customWidth="1"/>
    <col min="4660" max="4660" width="20.7109375" style="18" bestFit="1" customWidth="1"/>
    <col min="4661" max="4661" width="80.7109375" style="18" customWidth="1"/>
    <col min="4662" max="4662" width="14.7109375" style="18" bestFit="1" customWidth="1"/>
    <col min="4663" max="4663" width="18.140625" style="18" bestFit="1" customWidth="1"/>
    <col min="4664" max="4664" width="16.7109375" style="18" bestFit="1" customWidth="1"/>
    <col min="4665" max="4665" width="18.5703125" style="18" bestFit="1" customWidth="1"/>
    <col min="4666" max="4666" width="21.28515625" style="18" bestFit="1" customWidth="1"/>
    <col min="4667" max="4667" width="16.28515625" style="18" bestFit="1" customWidth="1"/>
    <col min="4668" max="4668" width="21.140625" style="18" bestFit="1" customWidth="1"/>
    <col min="4669" max="4669" width="19" style="18" bestFit="1" customWidth="1"/>
    <col min="4670" max="4670" width="19.140625" style="18" customWidth="1"/>
    <col min="4671" max="4671" width="16.7109375" style="18" customWidth="1"/>
    <col min="4672" max="4672" width="21.140625" style="18" bestFit="1" customWidth="1"/>
    <col min="4673" max="4673" width="20.42578125" style="18" bestFit="1" customWidth="1"/>
    <col min="4674" max="4674" width="21.140625" style="18" customWidth="1"/>
    <col min="4675" max="4675" width="20.5703125" style="18" bestFit="1" customWidth="1"/>
    <col min="4676" max="4676" width="19.7109375" style="18" bestFit="1" customWidth="1"/>
    <col min="4677" max="4677" width="20.28515625" style="18" customWidth="1"/>
    <col min="4678" max="4678" width="20.85546875" style="18" bestFit="1" customWidth="1"/>
    <col min="4679" max="4679" width="19.5703125" style="18" bestFit="1" customWidth="1"/>
    <col min="4680" max="4680" width="18" style="18" customWidth="1"/>
    <col min="4681" max="4681" width="20" style="18" bestFit="1" customWidth="1"/>
    <col min="4682" max="4682" width="35.7109375" style="18" customWidth="1"/>
    <col min="4683" max="4683" width="21.140625" style="18" bestFit="1" customWidth="1"/>
    <col min="4684" max="4684" width="20.5703125" style="18" bestFit="1" customWidth="1"/>
    <col min="4685" max="4685" width="19.42578125" style="18" bestFit="1" customWidth="1"/>
    <col min="4686" max="4686" width="18.5703125" style="18" bestFit="1" customWidth="1"/>
    <col min="4687" max="4687" width="20.5703125" style="18" bestFit="1" customWidth="1"/>
    <col min="4688" max="4688" width="21.28515625" style="18" bestFit="1" customWidth="1"/>
    <col min="4689" max="4689" width="15.42578125" style="18" customWidth="1"/>
    <col min="4690" max="4690" width="20.7109375" style="18" customWidth="1"/>
    <col min="4691" max="4691" width="21.28515625" style="18" customWidth="1"/>
    <col min="4692" max="4692" width="14.85546875" style="18" bestFit="1" customWidth="1"/>
    <col min="4693" max="4693" width="23" style="18" bestFit="1" customWidth="1"/>
    <col min="4694" max="4694" width="21.28515625" style="18" bestFit="1" customWidth="1"/>
    <col min="4695" max="4695" width="20.28515625" style="18" bestFit="1" customWidth="1"/>
    <col min="4696" max="4696" width="21" style="18" bestFit="1" customWidth="1"/>
    <col min="4697" max="4697" width="18.85546875" style="18" bestFit="1" customWidth="1"/>
    <col min="4698" max="4698" width="80.7109375" style="18" customWidth="1"/>
    <col min="4699" max="4886" width="9.140625" style="18"/>
    <col min="4887" max="4887" width="2.5703125" style="18" customWidth="1"/>
    <col min="4888" max="4888" width="17.85546875" style="18" customWidth="1"/>
    <col min="4889" max="4889" width="41.5703125" style="18" customWidth="1"/>
    <col min="4890" max="4891" width="12" style="18" customWidth="1"/>
    <col min="4892" max="4892" width="17" style="18" customWidth="1"/>
    <col min="4893" max="4893" width="9.7109375" style="18" customWidth="1"/>
    <col min="4894" max="4894" width="12.28515625" style="18" customWidth="1"/>
    <col min="4895" max="4895" width="13.7109375" style="18" customWidth="1"/>
    <col min="4896" max="4896" width="13.5703125" style="18" bestFit="1" customWidth="1"/>
    <col min="4897" max="4897" width="13.5703125" style="18" customWidth="1"/>
    <col min="4898" max="4898" width="21" style="18" customWidth="1"/>
    <col min="4899" max="4902" width="13.42578125" style="18" customWidth="1"/>
    <col min="4903" max="4904" width="19" style="18" customWidth="1"/>
    <col min="4905" max="4905" width="34" style="18" customWidth="1"/>
    <col min="4906" max="4906" width="19" style="18" customWidth="1"/>
    <col min="4907" max="4907" width="20" style="18" bestFit="1" customWidth="1"/>
    <col min="4908" max="4908" width="20.28515625" style="18" bestFit="1" customWidth="1"/>
    <col min="4909" max="4909" width="26.7109375" style="18" customWidth="1"/>
    <col min="4910" max="4910" width="20.85546875" style="18" bestFit="1" customWidth="1"/>
    <col min="4911" max="4911" width="20.85546875" style="18" customWidth="1"/>
    <col min="4912" max="4912" width="18.85546875" style="18" customWidth="1"/>
    <col min="4913" max="4913" width="17.5703125" style="18" customWidth="1"/>
    <col min="4914" max="4915" width="19.42578125" style="18" customWidth="1"/>
    <col min="4916" max="4916" width="20.7109375" style="18" bestFit="1" customWidth="1"/>
    <col min="4917" max="4917" width="80.7109375" style="18" customWidth="1"/>
    <col min="4918" max="4918" width="14.7109375" style="18" bestFit="1" customWidth="1"/>
    <col min="4919" max="4919" width="18.140625" style="18" bestFit="1" customWidth="1"/>
    <col min="4920" max="4920" width="16.7109375" style="18" bestFit="1" customWidth="1"/>
    <col min="4921" max="4921" width="18.5703125" style="18" bestFit="1" customWidth="1"/>
    <col min="4922" max="4922" width="21.28515625" style="18" bestFit="1" customWidth="1"/>
    <col min="4923" max="4923" width="16.28515625" style="18" bestFit="1" customWidth="1"/>
    <col min="4924" max="4924" width="21.140625" style="18" bestFit="1" customWidth="1"/>
    <col min="4925" max="4925" width="19" style="18" bestFit="1" customWidth="1"/>
    <col min="4926" max="4926" width="19.140625" style="18" customWidth="1"/>
    <col min="4927" max="4927" width="16.7109375" style="18" customWidth="1"/>
    <col min="4928" max="4928" width="21.140625" style="18" bestFit="1" customWidth="1"/>
    <col min="4929" max="4929" width="20.42578125" style="18" bestFit="1" customWidth="1"/>
    <col min="4930" max="4930" width="21.140625" style="18" customWidth="1"/>
    <col min="4931" max="4931" width="20.5703125" style="18" bestFit="1" customWidth="1"/>
    <col min="4932" max="4932" width="19.7109375" style="18" bestFit="1" customWidth="1"/>
    <col min="4933" max="4933" width="20.28515625" style="18" customWidth="1"/>
    <col min="4934" max="4934" width="20.85546875" style="18" bestFit="1" customWidth="1"/>
    <col min="4935" max="4935" width="19.5703125" style="18" bestFit="1" customWidth="1"/>
    <col min="4936" max="4936" width="18" style="18" customWidth="1"/>
    <col min="4937" max="4937" width="20" style="18" bestFit="1" customWidth="1"/>
    <col min="4938" max="4938" width="35.7109375" style="18" customWidth="1"/>
    <col min="4939" max="4939" width="21.140625" style="18" bestFit="1" customWidth="1"/>
    <col min="4940" max="4940" width="20.5703125" style="18" bestFit="1" customWidth="1"/>
    <col min="4941" max="4941" width="19.42578125" style="18" bestFit="1" customWidth="1"/>
    <col min="4942" max="4942" width="18.5703125" style="18" bestFit="1" customWidth="1"/>
    <col min="4943" max="4943" width="20.5703125" style="18" bestFit="1" customWidth="1"/>
    <col min="4944" max="4944" width="21.28515625" style="18" bestFit="1" customWidth="1"/>
    <col min="4945" max="4945" width="15.42578125" style="18" customWidth="1"/>
    <col min="4946" max="4946" width="20.7109375" style="18" customWidth="1"/>
    <col min="4947" max="4947" width="21.28515625" style="18" customWidth="1"/>
    <col min="4948" max="4948" width="14.85546875" style="18" bestFit="1" customWidth="1"/>
    <col min="4949" max="4949" width="23" style="18" bestFit="1" customWidth="1"/>
    <col min="4950" max="4950" width="21.28515625" style="18" bestFit="1" customWidth="1"/>
    <col min="4951" max="4951" width="20.28515625" style="18" bestFit="1" customWidth="1"/>
    <col min="4952" max="4952" width="21" style="18" bestFit="1" customWidth="1"/>
    <col min="4953" max="4953" width="18.85546875" style="18" bestFit="1" customWidth="1"/>
    <col min="4954" max="4954" width="80.7109375" style="18" customWidth="1"/>
    <col min="4955" max="5142" width="9.140625" style="18"/>
    <col min="5143" max="5143" width="2.5703125" style="18" customWidth="1"/>
    <col min="5144" max="5144" width="17.85546875" style="18" customWidth="1"/>
    <col min="5145" max="5145" width="41.5703125" style="18" customWidth="1"/>
    <col min="5146" max="5147" width="12" style="18" customWidth="1"/>
    <col min="5148" max="5148" width="17" style="18" customWidth="1"/>
    <col min="5149" max="5149" width="9.7109375" style="18" customWidth="1"/>
    <col min="5150" max="5150" width="12.28515625" style="18" customWidth="1"/>
    <col min="5151" max="5151" width="13.7109375" style="18" customWidth="1"/>
    <col min="5152" max="5152" width="13.5703125" style="18" bestFit="1" customWidth="1"/>
    <col min="5153" max="5153" width="13.5703125" style="18" customWidth="1"/>
    <col min="5154" max="5154" width="21" style="18" customWidth="1"/>
    <col min="5155" max="5158" width="13.42578125" style="18" customWidth="1"/>
    <col min="5159" max="5160" width="19" style="18" customWidth="1"/>
    <col min="5161" max="5161" width="34" style="18" customWidth="1"/>
    <col min="5162" max="5162" width="19" style="18" customWidth="1"/>
    <col min="5163" max="5163" width="20" style="18" bestFit="1" customWidth="1"/>
    <col min="5164" max="5164" width="20.28515625" style="18" bestFit="1" customWidth="1"/>
    <col min="5165" max="5165" width="26.7109375" style="18" customWidth="1"/>
    <col min="5166" max="5166" width="20.85546875" style="18" bestFit="1" customWidth="1"/>
    <col min="5167" max="5167" width="20.85546875" style="18" customWidth="1"/>
    <col min="5168" max="5168" width="18.85546875" style="18" customWidth="1"/>
    <col min="5169" max="5169" width="17.5703125" style="18" customWidth="1"/>
    <col min="5170" max="5171" width="19.42578125" style="18" customWidth="1"/>
    <col min="5172" max="5172" width="20.7109375" style="18" bestFit="1" customWidth="1"/>
    <col min="5173" max="5173" width="80.7109375" style="18" customWidth="1"/>
    <col min="5174" max="5174" width="14.7109375" style="18" bestFit="1" customWidth="1"/>
    <col min="5175" max="5175" width="18.140625" style="18" bestFit="1" customWidth="1"/>
    <col min="5176" max="5176" width="16.7109375" style="18" bestFit="1" customWidth="1"/>
    <col min="5177" max="5177" width="18.5703125" style="18" bestFit="1" customWidth="1"/>
    <col min="5178" max="5178" width="21.28515625" style="18" bestFit="1" customWidth="1"/>
    <col min="5179" max="5179" width="16.28515625" style="18" bestFit="1" customWidth="1"/>
    <col min="5180" max="5180" width="21.140625" style="18" bestFit="1" customWidth="1"/>
    <col min="5181" max="5181" width="19" style="18" bestFit="1" customWidth="1"/>
    <col min="5182" max="5182" width="19.140625" style="18" customWidth="1"/>
    <col min="5183" max="5183" width="16.7109375" style="18" customWidth="1"/>
    <col min="5184" max="5184" width="21.140625" style="18" bestFit="1" customWidth="1"/>
    <col min="5185" max="5185" width="20.42578125" style="18" bestFit="1" customWidth="1"/>
    <col min="5186" max="5186" width="21.140625" style="18" customWidth="1"/>
    <col min="5187" max="5187" width="20.5703125" style="18" bestFit="1" customWidth="1"/>
    <col min="5188" max="5188" width="19.7109375" style="18" bestFit="1" customWidth="1"/>
    <col min="5189" max="5189" width="20.28515625" style="18" customWidth="1"/>
    <col min="5190" max="5190" width="20.85546875" style="18" bestFit="1" customWidth="1"/>
    <col min="5191" max="5191" width="19.5703125" style="18" bestFit="1" customWidth="1"/>
    <col min="5192" max="5192" width="18" style="18" customWidth="1"/>
    <col min="5193" max="5193" width="20" style="18" bestFit="1" customWidth="1"/>
    <col min="5194" max="5194" width="35.7109375" style="18" customWidth="1"/>
    <col min="5195" max="5195" width="21.140625" style="18" bestFit="1" customWidth="1"/>
    <col min="5196" max="5196" width="20.5703125" style="18" bestFit="1" customWidth="1"/>
    <col min="5197" max="5197" width="19.42578125" style="18" bestFit="1" customWidth="1"/>
    <col min="5198" max="5198" width="18.5703125" style="18" bestFit="1" customWidth="1"/>
    <col min="5199" max="5199" width="20.5703125" style="18" bestFit="1" customWidth="1"/>
    <col min="5200" max="5200" width="21.28515625" style="18" bestFit="1" customWidth="1"/>
    <col min="5201" max="5201" width="15.42578125" style="18" customWidth="1"/>
    <col min="5202" max="5202" width="20.7109375" style="18" customWidth="1"/>
    <col min="5203" max="5203" width="21.28515625" style="18" customWidth="1"/>
    <col min="5204" max="5204" width="14.85546875" style="18" bestFit="1" customWidth="1"/>
    <col min="5205" max="5205" width="23" style="18" bestFit="1" customWidth="1"/>
    <col min="5206" max="5206" width="21.28515625" style="18" bestFit="1" customWidth="1"/>
    <col min="5207" max="5207" width="20.28515625" style="18" bestFit="1" customWidth="1"/>
    <col min="5208" max="5208" width="21" style="18" bestFit="1" customWidth="1"/>
    <col min="5209" max="5209" width="18.85546875" style="18" bestFit="1" customWidth="1"/>
    <col min="5210" max="5210" width="80.7109375" style="18" customWidth="1"/>
    <col min="5211" max="5398" width="9.140625" style="18"/>
    <col min="5399" max="5399" width="2.5703125" style="18" customWidth="1"/>
    <col min="5400" max="5400" width="17.85546875" style="18" customWidth="1"/>
    <col min="5401" max="5401" width="41.5703125" style="18" customWidth="1"/>
    <col min="5402" max="5403" width="12" style="18" customWidth="1"/>
    <col min="5404" max="5404" width="17" style="18" customWidth="1"/>
    <col min="5405" max="5405" width="9.7109375" style="18" customWidth="1"/>
    <col min="5406" max="5406" width="12.28515625" style="18" customWidth="1"/>
    <col min="5407" max="5407" width="13.7109375" style="18" customWidth="1"/>
    <col min="5408" max="5408" width="13.5703125" style="18" bestFit="1" customWidth="1"/>
    <col min="5409" max="5409" width="13.5703125" style="18" customWidth="1"/>
    <col min="5410" max="5410" width="21" style="18" customWidth="1"/>
    <col min="5411" max="5414" width="13.42578125" style="18" customWidth="1"/>
    <col min="5415" max="5416" width="19" style="18" customWidth="1"/>
    <col min="5417" max="5417" width="34" style="18" customWidth="1"/>
    <col min="5418" max="5418" width="19" style="18" customWidth="1"/>
    <col min="5419" max="5419" width="20" style="18" bestFit="1" customWidth="1"/>
    <col min="5420" max="5420" width="20.28515625" style="18" bestFit="1" customWidth="1"/>
    <col min="5421" max="5421" width="26.7109375" style="18" customWidth="1"/>
    <col min="5422" max="5422" width="20.85546875" style="18" bestFit="1" customWidth="1"/>
    <col min="5423" max="5423" width="20.85546875" style="18" customWidth="1"/>
    <col min="5424" max="5424" width="18.85546875" style="18" customWidth="1"/>
    <col min="5425" max="5425" width="17.5703125" style="18" customWidth="1"/>
    <col min="5426" max="5427" width="19.42578125" style="18" customWidth="1"/>
    <col min="5428" max="5428" width="20.7109375" style="18" bestFit="1" customWidth="1"/>
    <col min="5429" max="5429" width="80.7109375" style="18" customWidth="1"/>
    <col min="5430" max="5430" width="14.7109375" style="18" bestFit="1" customWidth="1"/>
    <col min="5431" max="5431" width="18.140625" style="18" bestFit="1" customWidth="1"/>
    <col min="5432" max="5432" width="16.7109375" style="18" bestFit="1" customWidth="1"/>
    <col min="5433" max="5433" width="18.5703125" style="18" bestFit="1" customWidth="1"/>
    <col min="5434" max="5434" width="21.28515625" style="18" bestFit="1" customWidth="1"/>
    <col min="5435" max="5435" width="16.28515625" style="18" bestFit="1" customWidth="1"/>
    <col min="5436" max="5436" width="21.140625" style="18" bestFit="1" customWidth="1"/>
    <col min="5437" max="5437" width="19" style="18" bestFit="1" customWidth="1"/>
    <col min="5438" max="5438" width="19.140625" style="18" customWidth="1"/>
    <col min="5439" max="5439" width="16.7109375" style="18" customWidth="1"/>
    <col min="5440" max="5440" width="21.140625" style="18" bestFit="1" customWidth="1"/>
    <col min="5441" max="5441" width="20.42578125" style="18" bestFit="1" customWidth="1"/>
    <col min="5442" max="5442" width="21.140625" style="18" customWidth="1"/>
    <col min="5443" max="5443" width="20.5703125" style="18" bestFit="1" customWidth="1"/>
    <col min="5444" max="5444" width="19.7109375" style="18" bestFit="1" customWidth="1"/>
    <col min="5445" max="5445" width="20.28515625" style="18" customWidth="1"/>
    <col min="5446" max="5446" width="20.85546875" style="18" bestFit="1" customWidth="1"/>
    <col min="5447" max="5447" width="19.5703125" style="18" bestFit="1" customWidth="1"/>
    <col min="5448" max="5448" width="18" style="18" customWidth="1"/>
    <col min="5449" max="5449" width="20" style="18" bestFit="1" customWidth="1"/>
    <col min="5450" max="5450" width="35.7109375" style="18" customWidth="1"/>
    <col min="5451" max="5451" width="21.140625" style="18" bestFit="1" customWidth="1"/>
    <col min="5452" max="5452" width="20.5703125" style="18" bestFit="1" customWidth="1"/>
    <col min="5453" max="5453" width="19.42578125" style="18" bestFit="1" customWidth="1"/>
    <col min="5454" max="5454" width="18.5703125" style="18" bestFit="1" customWidth="1"/>
    <col min="5455" max="5455" width="20.5703125" style="18" bestFit="1" customWidth="1"/>
    <col min="5456" max="5456" width="21.28515625" style="18" bestFit="1" customWidth="1"/>
    <col min="5457" max="5457" width="15.42578125" style="18" customWidth="1"/>
    <col min="5458" max="5458" width="20.7109375" style="18" customWidth="1"/>
    <col min="5459" max="5459" width="21.28515625" style="18" customWidth="1"/>
    <col min="5460" max="5460" width="14.85546875" style="18" bestFit="1" customWidth="1"/>
    <col min="5461" max="5461" width="23" style="18" bestFit="1" customWidth="1"/>
    <col min="5462" max="5462" width="21.28515625" style="18" bestFit="1" customWidth="1"/>
    <col min="5463" max="5463" width="20.28515625" style="18" bestFit="1" customWidth="1"/>
    <col min="5464" max="5464" width="21" style="18" bestFit="1" customWidth="1"/>
    <col min="5465" max="5465" width="18.85546875" style="18" bestFit="1" customWidth="1"/>
    <col min="5466" max="5466" width="80.7109375" style="18" customWidth="1"/>
    <col min="5467" max="5654" width="9.140625" style="18"/>
    <col min="5655" max="5655" width="2.5703125" style="18" customWidth="1"/>
    <col min="5656" max="5656" width="17.85546875" style="18" customWidth="1"/>
    <col min="5657" max="5657" width="41.5703125" style="18" customWidth="1"/>
    <col min="5658" max="5659" width="12" style="18" customWidth="1"/>
    <col min="5660" max="5660" width="17" style="18" customWidth="1"/>
    <col min="5661" max="5661" width="9.7109375" style="18" customWidth="1"/>
    <col min="5662" max="5662" width="12.28515625" style="18" customWidth="1"/>
    <col min="5663" max="5663" width="13.7109375" style="18" customWidth="1"/>
    <col min="5664" max="5664" width="13.5703125" style="18" bestFit="1" customWidth="1"/>
    <col min="5665" max="5665" width="13.5703125" style="18" customWidth="1"/>
    <col min="5666" max="5666" width="21" style="18" customWidth="1"/>
    <col min="5667" max="5670" width="13.42578125" style="18" customWidth="1"/>
    <col min="5671" max="5672" width="19" style="18" customWidth="1"/>
    <col min="5673" max="5673" width="34" style="18" customWidth="1"/>
    <col min="5674" max="5674" width="19" style="18" customWidth="1"/>
    <col min="5675" max="5675" width="20" style="18" bestFit="1" customWidth="1"/>
    <col min="5676" max="5676" width="20.28515625" style="18" bestFit="1" customWidth="1"/>
    <col min="5677" max="5677" width="26.7109375" style="18" customWidth="1"/>
    <col min="5678" max="5678" width="20.85546875" style="18" bestFit="1" customWidth="1"/>
    <col min="5679" max="5679" width="20.85546875" style="18" customWidth="1"/>
    <col min="5680" max="5680" width="18.85546875" style="18" customWidth="1"/>
    <col min="5681" max="5681" width="17.5703125" style="18" customWidth="1"/>
    <col min="5682" max="5683" width="19.42578125" style="18" customWidth="1"/>
    <col min="5684" max="5684" width="20.7109375" style="18" bestFit="1" customWidth="1"/>
    <col min="5685" max="5685" width="80.7109375" style="18" customWidth="1"/>
    <col min="5686" max="5686" width="14.7109375" style="18" bestFit="1" customWidth="1"/>
    <col min="5687" max="5687" width="18.140625" style="18" bestFit="1" customWidth="1"/>
    <col min="5688" max="5688" width="16.7109375" style="18" bestFit="1" customWidth="1"/>
    <col min="5689" max="5689" width="18.5703125" style="18" bestFit="1" customWidth="1"/>
    <col min="5690" max="5690" width="21.28515625" style="18" bestFit="1" customWidth="1"/>
    <col min="5691" max="5691" width="16.28515625" style="18" bestFit="1" customWidth="1"/>
    <col min="5692" max="5692" width="21.140625" style="18" bestFit="1" customWidth="1"/>
    <col min="5693" max="5693" width="19" style="18" bestFit="1" customWidth="1"/>
    <col min="5694" max="5694" width="19.140625" style="18" customWidth="1"/>
    <col min="5695" max="5695" width="16.7109375" style="18" customWidth="1"/>
    <col min="5696" max="5696" width="21.140625" style="18" bestFit="1" customWidth="1"/>
    <col min="5697" max="5697" width="20.42578125" style="18" bestFit="1" customWidth="1"/>
    <col min="5698" max="5698" width="21.140625" style="18" customWidth="1"/>
    <col min="5699" max="5699" width="20.5703125" style="18" bestFit="1" customWidth="1"/>
    <col min="5700" max="5700" width="19.7109375" style="18" bestFit="1" customWidth="1"/>
    <col min="5701" max="5701" width="20.28515625" style="18" customWidth="1"/>
    <col min="5702" max="5702" width="20.85546875" style="18" bestFit="1" customWidth="1"/>
    <col min="5703" max="5703" width="19.5703125" style="18" bestFit="1" customWidth="1"/>
    <col min="5704" max="5704" width="18" style="18" customWidth="1"/>
    <col min="5705" max="5705" width="20" style="18" bestFit="1" customWidth="1"/>
    <col min="5706" max="5706" width="35.7109375" style="18" customWidth="1"/>
    <col min="5707" max="5707" width="21.140625" style="18" bestFit="1" customWidth="1"/>
    <col min="5708" max="5708" width="20.5703125" style="18" bestFit="1" customWidth="1"/>
    <col min="5709" max="5709" width="19.42578125" style="18" bestFit="1" customWidth="1"/>
    <col min="5710" max="5710" width="18.5703125" style="18" bestFit="1" customWidth="1"/>
    <col min="5711" max="5711" width="20.5703125" style="18" bestFit="1" customWidth="1"/>
    <col min="5712" max="5712" width="21.28515625" style="18" bestFit="1" customWidth="1"/>
    <col min="5713" max="5713" width="15.42578125" style="18" customWidth="1"/>
    <col min="5714" max="5714" width="20.7109375" style="18" customWidth="1"/>
    <col min="5715" max="5715" width="21.28515625" style="18" customWidth="1"/>
    <col min="5716" max="5716" width="14.85546875" style="18" bestFit="1" customWidth="1"/>
    <col min="5717" max="5717" width="23" style="18" bestFit="1" customWidth="1"/>
    <col min="5718" max="5718" width="21.28515625" style="18" bestFit="1" customWidth="1"/>
    <col min="5719" max="5719" width="20.28515625" style="18" bestFit="1" customWidth="1"/>
    <col min="5720" max="5720" width="21" style="18" bestFit="1" customWidth="1"/>
    <col min="5721" max="5721" width="18.85546875" style="18" bestFit="1" customWidth="1"/>
    <col min="5722" max="5722" width="80.7109375" style="18" customWidth="1"/>
    <col min="5723" max="5910" width="9.140625" style="18"/>
    <col min="5911" max="5911" width="2.5703125" style="18" customWidth="1"/>
    <col min="5912" max="5912" width="17.85546875" style="18" customWidth="1"/>
    <col min="5913" max="5913" width="41.5703125" style="18" customWidth="1"/>
    <col min="5914" max="5915" width="12" style="18" customWidth="1"/>
    <col min="5916" max="5916" width="17" style="18" customWidth="1"/>
    <col min="5917" max="5917" width="9.7109375" style="18" customWidth="1"/>
    <col min="5918" max="5918" width="12.28515625" style="18" customWidth="1"/>
    <col min="5919" max="5919" width="13.7109375" style="18" customWidth="1"/>
    <col min="5920" max="5920" width="13.5703125" style="18" bestFit="1" customWidth="1"/>
    <col min="5921" max="5921" width="13.5703125" style="18" customWidth="1"/>
    <col min="5922" max="5922" width="21" style="18" customWidth="1"/>
    <col min="5923" max="5926" width="13.42578125" style="18" customWidth="1"/>
    <col min="5927" max="5928" width="19" style="18" customWidth="1"/>
    <col min="5929" max="5929" width="34" style="18" customWidth="1"/>
    <col min="5930" max="5930" width="19" style="18" customWidth="1"/>
    <col min="5931" max="5931" width="20" style="18" bestFit="1" customWidth="1"/>
    <col min="5932" max="5932" width="20.28515625" style="18" bestFit="1" customWidth="1"/>
    <col min="5933" max="5933" width="26.7109375" style="18" customWidth="1"/>
    <col min="5934" max="5934" width="20.85546875" style="18" bestFit="1" customWidth="1"/>
    <col min="5935" max="5935" width="20.85546875" style="18" customWidth="1"/>
    <col min="5936" max="5936" width="18.85546875" style="18" customWidth="1"/>
    <col min="5937" max="5937" width="17.5703125" style="18" customWidth="1"/>
    <col min="5938" max="5939" width="19.42578125" style="18" customWidth="1"/>
    <col min="5940" max="5940" width="20.7109375" style="18" bestFit="1" customWidth="1"/>
    <col min="5941" max="5941" width="80.7109375" style="18" customWidth="1"/>
    <col min="5942" max="5942" width="14.7109375" style="18" bestFit="1" customWidth="1"/>
    <col min="5943" max="5943" width="18.140625" style="18" bestFit="1" customWidth="1"/>
    <col min="5944" max="5944" width="16.7109375" style="18" bestFit="1" customWidth="1"/>
    <col min="5945" max="5945" width="18.5703125" style="18" bestFit="1" customWidth="1"/>
    <col min="5946" max="5946" width="21.28515625" style="18" bestFit="1" customWidth="1"/>
    <col min="5947" max="5947" width="16.28515625" style="18" bestFit="1" customWidth="1"/>
    <col min="5948" max="5948" width="21.140625" style="18" bestFit="1" customWidth="1"/>
    <col min="5949" max="5949" width="19" style="18" bestFit="1" customWidth="1"/>
    <col min="5950" max="5950" width="19.140625" style="18" customWidth="1"/>
    <col min="5951" max="5951" width="16.7109375" style="18" customWidth="1"/>
    <col min="5952" max="5952" width="21.140625" style="18" bestFit="1" customWidth="1"/>
    <col min="5953" max="5953" width="20.42578125" style="18" bestFit="1" customWidth="1"/>
    <col min="5954" max="5954" width="21.140625" style="18" customWidth="1"/>
    <col min="5955" max="5955" width="20.5703125" style="18" bestFit="1" customWidth="1"/>
    <col min="5956" max="5956" width="19.7109375" style="18" bestFit="1" customWidth="1"/>
    <col min="5957" max="5957" width="20.28515625" style="18" customWidth="1"/>
    <col min="5958" max="5958" width="20.85546875" style="18" bestFit="1" customWidth="1"/>
    <col min="5959" max="5959" width="19.5703125" style="18" bestFit="1" customWidth="1"/>
    <col min="5960" max="5960" width="18" style="18" customWidth="1"/>
    <col min="5961" max="5961" width="20" style="18" bestFit="1" customWidth="1"/>
    <col min="5962" max="5962" width="35.7109375" style="18" customWidth="1"/>
    <col min="5963" max="5963" width="21.140625" style="18" bestFit="1" customWidth="1"/>
    <col min="5964" max="5964" width="20.5703125" style="18" bestFit="1" customWidth="1"/>
    <col min="5965" max="5965" width="19.42578125" style="18" bestFit="1" customWidth="1"/>
    <col min="5966" max="5966" width="18.5703125" style="18" bestFit="1" customWidth="1"/>
    <col min="5967" max="5967" width="20.5703125" style="18" bestFit="1" customWidth="1"/>
    <col min="5968" max="5968" width="21.28515625" style="18" bestFit="1" customWidth="1"/>
    <col min="5969" max="5969" width="15.42578125" style="18" customWidth="1"/>
    <col min="5970" max="5970" width="20.7109375" style="18" customWidth="1"/>
    <col min="5971" max="5971" width="21.28515625" style="18" customWidth="1"/>
    <col min="5972" max="5972" width="14.85546875" style="18" bestFit="1" customWidth="1"/>
    <col min="5973" max="5973" width="23" style="18" bestFit="1" customWidth="1"/>
    <col min="5974" max="5974" width="21.28515625" style="18" bestFit="1" customWidth="1"/>
    <col min="5975" max="5975" width="20.28515625" style="18" bestFit="1" customWidth="1"/>
    <col min="5976" max="5976" width="21" style="18" bestFit="1" customWidth="1"/>
    <col min="5977" max="5977" width="18.85546875" style="18" bestFit="1" customWidth="1"/>
    <col min="5978" max="5978" width="80.7109375" style="18" customWidth="1"/>
    <col min="5979" max="6166" width="9.140625" style="18"/>
    <col min="6167" max="6167" width="2.5703125" style="18" customWidth="1"/>
    <col min="6168" max="6168" width="17.85546875" style="18" customWidth="1"/>
    <col min="6169" max="6169" width="41.5703125" style="18" customWidth="1"/>
    <col min="6170" max="6171" width="12" style="18" customWidth="1"/>
    <col min="6172" max="6172" width="17" style="18" customWidth="1"/>
    <col min="6173" max="6173" width="9.7109375" style="18" customWidth="1"/>
    <col min="6174" max="6174" width="12.28515625" style="18" customWidth="1"/>
    <col min="6175" max="6175" width="13.7109375" style="18" customWidth="1"/>
    <col min="6176" max="6176" width="13.5703125" style="18" bestFit="1" customWidth="1"/>
    <col min="6177" max="6177" width="13.5703125" style="18" customWidth="1"/>
    <col min="6178" max="6178" width="21" style="18" customWidth="1"/>
    <col min="6179" max="6182" width="13.42578125" style="18" customWidth="1"/>
    <col min="6183" max="6184" width="19" style="18" customWidth="1"/>
    <col min="6185" max="6185" width="34" style="18" customWidth="1"/>
    <col min="6186" max="6186" width="19" style="18" customWidth="1"/>
    <col min="6187" max="6187" width="20" style="18" bestFit="1" customWidth="1"/>
    <col min="6188" max="6188" width="20.28515625" style="18" bestFit="1" customWidth="1"/>
    <col min="6189" max="6189" width="26.7109375" style="18" customWidth="1"/>
    <col min="6190" max="6190" width="20.85546875" style="18" bestFit="1" customWidth="1"/>
    <col min="6191" max="6191" width="20.85546875" style="18" customWidth="1"/>
    <col min="6192" max="6192" width="18.85546875" style="18" customWidth="1"/>
    <col min="6193" max="6193" width="17.5703125" style="18" customWidth="1"/>
    <col min="6194" max="6195" width="19.42578125" style="18" customWidth="1"/>
    <col min="6196" max="6196" width="20.7109375" style="18" bestFit="1" customWidth="1"/>
    <col min="6197" max="6197" width="80.7109375" style="18" customWidth="1"/>
    <col min="6198" max="6198" width="14.7109375" style="18" bestFit="1" customWidth="1"/>
    <col min="6199" max="6199" width="18.140625" style="18" bestFit="1" customWidth="1"/>
    <col min="6200" max="6200" width="16.7109375" style="18" bestFit="1" customWidth="1"/>
    <col min="6201" max="6201" width="18.5703125" style="18" bestFit="1" customWidth="1"/>
    <col min="6202" max="6202" width="21.28515625" style="18" bestFit="1" customWidth="1"/>
    <col min="6203" max="6203" width="16.28515625" style="18" bestFit="1" customWidth="1"/>
    <col min="6204" max="6204" width="21.140625" style="18" bestFit="1" customWidth="1"/>
    <col min="6205" max="6205" width="19" style="18" bestFit="1" customWidth="1"/>
    <col min="6206" max="6206" width="19.140625" style="18" customWidth="1"/>
    <col min="6207" max="6207" width="16.7109375" style="18" customWidth="1"/>
    <col min="6208" max="6208" width="21.140625" style="18" bestFit="1" customWidth="1"/>
    <col min="6209" max="6209" width="20.42578125" style="18" bestFit="1" customWidth="1"/>
    <col min="6210" max="6210" width="21.140625" style="18" customWidth="1"/>
    <col min="6211" max="6211" width="20.5703125" style="18" bestFit="1" customWidth="1"/>
    <col min="6212" max="6212" width="19.7109375" style="18" bestFit="1" customWidth="1"/>
    <col min="6213" max="6213" width="20.28515625" style="18" customWidth="1"/>
    <col min="6214" max="6214" width="20.85546875" style="18" bestFit="1" customWidth="1"/>
    <col min="6215" max="6215" width="19.5703125" style="18" bestFit="1" customWidth="1"/>
    <col min="6216" max="6216" width="18" style="18" customWidth="1"/>
    <col min="6217" max="6217" width="20" style="18" bestFit="1" customWidth="1"/>
    <col min="6218" max="6218" width="35.7109375" style="18" customWidth="1"/>
    <col min="6219" max="6219" width="21.140625" style="18" bestFit="1" customWidth="1"/>
    <col min="6220" max="6220" width="20.5703125" style="18" bestFit="1" customWidth="1"/>
    <col min="6221" max="6221" width="19.42578125" style="18" bestFit="1" customWidth="1"/>
    <col min="6222" max="6222" width="18.5703125" style="18" bestFit="1" customWidth="1"/>
    <col min="6223" max="6223" width="20.5703125" style="18" bestFit="1" customWidth="1"/>
    <col min="6224" max="6224" width="21.28515625" style="18" bestFit="1" customWidth="1"/>
    <col min="6225" max="6225" width="15.42578125" style="18" customWidth="1"/>
    <col min="6226" max="6226" width="20.7109375" style="18" customWidth="1"/>
    <col min="6227" max="6227" width="21.28515625" style="18" customWidth="1"/>
    <col min="6228" max="6228" width="14.85546875" style="18" bestFit="1" customWidth="1"/>
    <col min="6229" max="6229" width="23" style="18" bestFit="1" customWidth="1"/>
    <col min="6230" max="6230" width="21.28515625" style="18" bestFit="1" customWidth="1"/>
    <col min="6231" max="6231" width="20.28515625" style="18" bestFit="1" customWidth="1"/>
    <col min="6232" max="6232" width="21" style="18" bestFit="1" customWidth="1"/>
    <col min="6233" max="6233" width="18.85546875" style="18" bestFit="1" customWidth="1"/>
    <col min="6234" max="6234" width="80.7109375" style="18" customWidth="1"/>
    <col min="6235" max="6422" width="9.140625" style="18"/>
    <col min="6423" max="6423" width="2.5703125" style="18" customWidth="1"/>
    <col min="6424" max="6424" width="17.85546875" style="18" customWidth="1"/>
    <col min="6425" max="6425" width="41.5703125" style="18" customWidth="1"/>
    <col min="6426" max="6427" width="12" style="18" customWidth="1"/>
    <col min="6428" max="6428" width="17" style="18" customWidth="1"/>
    <col min="6429" max="6429" width="9.7109375" style="18" customWidth="1"/>
    <col min="6430" max="6430" width="12.28515625" style="18" customWidth="1"/>
    <col min="6431" max="6431" width="13.7109375" style="18" customWidth="1"/>
    <col min="6432" max="6432" width="13.5703125" style="18" bestFit="1" customWidth="1"/>
    <col min="6433" max="6433" width="13.5703125" style="18" customWidth="1"/>
    <col min="6434" max="6434" width="21" style="18" customWidth="1"/>
    <col min="6435" max="6438" width="13.42578125" style="18" customWidth="1"/>
    <col min="6439" max="6440" width="19" style="18" customWidth="1"/>
    <col min="6441" max="6441" width="34" style="18" customWidth="1"/>
    <col min="6442" max="6442" width="19" style="18" customWidth="1"/>
    <col min="6443" max="6443" width="20" style="18" bestFit="1" customWidth="1"/>
    <col min="6444" max="6444" width="20.28515625" style="18" bestFit="1" customWidth="1"/>
    <col min="6445" max="6445" width="26.7109375" style="18" customWidth="1"/>
    <col min="6446" max="6446" width="20.85546875" style="18" bestFit="1" customWidth="1"/>
    <col min="6447" max="6447" width="20.85546875" style="18" customWidth="1"/>
    <col min="6448" max="6448" width="18.85546875" style="18" customWidth="1"/>
    <col min="6449" max="6449" width="17.5703125" style="18" customWidth="1"/>
    <col min="6450" max="6451" width="19.42578125" style="18" customWidth="1"/>
    <col min="6452" max="6452" width="20.7109375" style="18" bestFit="1" customWidth="1"/>
    <col min="6453" max="6453" width="80.7109375" style="18" customWidth="1"/>
    <col min="6454" max="6454" width="14.7109375" style="18" bestFit="1" customWidth="1"/>
    <col min="6455" max="6455" width="18.140625" style="18" bestFit="1" customWidth="1"/>
    <col min="6456" max="6456" width="16.7109375" style="18" bestFit="1" customWidth="1"/>
    <col min="6457" max="6457" width="18.5703125" style="18" bestFit="1" customWidth="1"/>
    <col min="6458" max="6458" width="21.28515625" style="18" bestFit="1" customWidth="1"/>
    <col min="6459" max="6459" width="16.28515625" style="18" bestFit="1" customWidth="1"/>
    <col min="6460" max="6460" width="21.140625" style="18" bestFit="1" customWidth="1"/>
    <col min="6461" max="6461" width="19" style="18" bestFit="1" customWidth="1"/>
    <col min="6462" max="6462" width="19.140625" style="18" customWidth="1"/>
    <col min="6463" max="6463" width="16.7109375" style="18" customWidth="1"/>
    <col min="6464" max="6464" width="21.140625" style="18" bestFit="1" customWidth="1"/>
    <col min="6465" max="6465" width="20.42578125" style="18" bestFit="1" customWidth="1"/>
    <col min="6466" max="6466" width="21.140625" style="18" customWidth="1"/>
    <col min="6467" max="6467" width="20.5703125" style="18" bestFit="1" customWidth="1"/>
    <col min="6468" max="6468" width="19.7109375" style="18" bestFit="1" customWidth="1"/>
    <col min="6469" max="6469" width="20.28515625" style="18" customWidth="1"/>
    <col min="6470" max="6470" width="20.85546875" style="18" bestFit="1" customWidth="1"/>
    <col min="6471" max="6471" width="19.5703125" style="18" bestFit="1" customWidth="1"/>
    <col min="6472" max="6472" width="18" style="18" customWidth="1"/>
    <col min="6473" max="6473" width="20" style="18" bestFit="1" customWidth="1"/>
    <col min="6474" max="6474" width="35.7109375" style="18" customWidth="1"/>
    <col min="6475" max="6475" width="21.140625" style="18" bestFit="1" customWidth="1"/>
    <col min="6476" max="6476" width="20.5703125" style="18" bestFit="1" customWidth="1"/>
    <col min="6477" max="6477" width="19.42578125" style="18" bestFit="1" customWidth="1"/>
    <col min="6478" max="6478" width="18.5703125" style="18" bestFit="1" customWidth="1"/>
    <col min="6479" max="6479" width="20.5703125" style="18" bestFit="1" customWidth="1"/>
    <col min="6480" max="6480" width="21.28515625" style="18" bestFit="1" customWidth="1"/>
    <col min="6481" max="6481" width="15.42578125" style="18" customWidth="1"/>
    <col min="6482" max="6482" width="20.7109375" style="18" customWidth="1"/>
    <col min="6483" max="6483" width="21.28515625" style="18" customWidth="1"/>
    <col min="6484" max="6484" width="14.85546875" style="18" bestFit="1" customWidth="1"/>
    <col min="6485" max="6485" width="23" style="18" bestFit="1" customWidth="1"/>
    <col min="6486" max="6486" width="21.28515625" style="18" bestFit="1" customWidth="1"/>
    <col min="6487" max="6487" width="20.28515625" style="18" bestFit="1" customWidth="1"/>
    <col min="6488" max="6488" width="21" style="18" bestFit="1" customWidth="1"/>
    <col min="6489" max="6489" width="18.85546875" style="18" bestFit="1" customWidth="1"/>
    <col min="6490" max="6490" width="80.7109375" style="18" customWidth="1"/>
    <col min="6491" max="6678" width="9.140625" style="18"/>
    <col min="6679" max="6679" width="2.5703125" style="18" customWidth="1"/>
    <col min="6680" max="6680" width="17.85546875" style="18" customWidth="1"/>
    <col min="6681" max="6681" width="41.5703125" style="18" customWidth="1"/>
    <col min="6682" max="6683" width="12" style="18" customWidth="1"/>
    <col min="6684" max="6684" width="17" style="18" customWidth="1"/>
    <col min="6685" max="6685" width="9.7109375" style="18" customWidth="1"/>
    <col min="6686" max="6686" width="12.28515625" style="18" customWidth="1"/>
    <col min="6687" max="6687" width="13.7109375" style="18" customWidth="1"/>
    <col min="6688" max="6688" width="13.5703125" style="18" bestFit="1" customWidth="1"/>
    <col min="6689" max="6689" width="13.5703125" style="18" customWidth="1"/>
    <col min="6690" max="6690" width="21" style="18" customWidth="1"/>
    <col min="6691" max="6694" width="13.42578125" style="18" customWidth="1"/>
    <col min="6695" max="6696" width="19" style="18" customWidth="1"/>
    <col min="6697" max="6697" width="34" style="18" customWidth="1"/>
    <col min="6698" max="6698" width="19" style="18" customWidth="1"/>
    <col min="6699" max="6699" width="20" style="18" bestFit="1" customWidth="1"/>
    <col min="6700" max="6700" width="20.28515625" style="18" bestFit="1" customWidth="1"/>
    <col min="6701" max="6701" width="26.7109375" style="18" customWidth="1"/>
    <col min="6702" max="6702" width="20.85546875" style="18" bestFit="1" customWidth="1"/>
    <col min="6703" max="6703" width="20.85546875" style="18" customWidth="1"/>
    <col min="6704" max="6704" width="18.85546875" style="18" customWidth="1"/>
    <col min="6705" max="6705" width="17.5703125" style="18" customWidth="1"/>
    <col min="6706" max="6707" width="19.42578125" style="18" customWidth="1"/>
    <col min="6708" max="6708" width="20.7109375" style="18" bestFit="1" customWidth="1"/>
    <col min="6709" max="6709" width="80.7109375" style="18" customWidth="1"/>
    <col min="6710" max="6710" width="14.7109375" style="18" bestFit="1" customWidth="1"/>
    <col min="6711" max="6711" width="18.140625" style="18" bestFit="1" customWidth="1"/>
    <col min="6712" max="6712" width="16.7109375" style="18" bestFit="1" customWidth="1"/>
    <col min="6713" max="6713" width="18.5703125" style="18" bestFit="1" customWidth="1"/>
    <col min="6714" max="6714" width="21.28515625" style="18" bestFit="1" customWidth="1"/>
    <col min="6715" max="6715" width="16.28515625" style="18" bestFit="1" customWidth="1"/>
    <col min="6716" max="6716" width="21.140625" style="18" bestFit="1" customWidth="1"/>
    <col min="6717" max="6717" width="19" style="18" bestFit="1" customWidth="1"/>
    <col min="6718" max="6718" width="19.140625" style="18" customWidth="1"/>
    <col min="6719" max="6719" width="16.7109375" style="18" customWidth="1"/>
    <col min="6720" max="6720" width="21.140625" style="18" bestFit="1" customWidth="1"/>
    <col min="6721" max="6721" width="20.42578125" style="18" bestFit="1" customWidth="1"/>
    <col min="6722" max="6722" width="21.140625" style="18" customWidth="1"/>
    <col min="6723" max="6723" width="20.5703125" style="18" bestFit="1" customWidth="1"/>
    <col min="6724" max="6724" width="19.7109375" style="18" bestFit="1" customWidth="1"/>
    <col min="6725" max="6725" width="20.28515625" style="18" customWidth="1"/>
    <col min="6726" max="6726" width="20.85546875" style="18" bestFit="1" customWidth="1"/>
    <col min="6727" max="6727" width="19.5703125" style="18" bestFit="1" customWidth="1"/>
    <col min="6728" max="6728" width="18" style="18" customWidth="1"/>
    <col min="6729" max="6729" width="20" style="18" bestFit="1" customWidth="1"/>
    <col min="6730" max="6730" width="35.7109375" style="18" customWidth="1"/>
    <col min="6731" max="6731" width="21.140625" style="18" bestFit="1" customWidth="1"/>
    <col min="6732" max="6732" width="20.5703125" style="18" bestFit="1" customWidth="1"/>
    <col min="6733" max="6733" width="19.42578125" style="18" bestFit="1" customWidth="1"/>
    <col min="6734" max="6734" width="18.5703125" style="18" bestFit="1" customWidth="1"/>
    <col min="6735" max="6735" width="20.5703125" style="18" bestFit="1" customWidth="1"/>
    <col min="6736" max="6736" width="21.28515625" style="18" bestFit="1" customWidth="1"/>
    <col min="6737" max="6737" width="15.42578125" style="18" customWidth="1"/>
    <col min="6738" max="6738" width="20.7109375" style="18" customWidth="1"/>
    <col min="6739" max="6739" width="21.28515625" style="18" customWidth="1"/>
    <col min="6740" max="6740" width="14.85546875" style="18" bestFit="1" customWidth="1"/>
    <col min="6741" max="6741" width="23" style="18" bestFit="1" customWidth="1"/>
    <col min="6742" max="6742" width="21.28515625" style="18" bestFit="1" customWidth="1"/>
    <col min="6743" max="6743" width="20.28515625" style="18" bestFit="1" customWidth="1"/>
    <col min="6744" max="6744" width="21" style="18" bestFit="1" customWidth="1"/>
    <col min="6745" max="6745" width="18.85546875" style="18" bestFit="1" customWidth="1"/>
    <col min="6746" max="6746" width="80.7109375" style="18" customWidth="1"/>
    <col min="6747" max="6934" width="9.140625" style="18"/>
    <col min="6935" max="6935" width="2.5703125" style="18" customWidth="1"/>
    <col min="6936" max="6936" width="17.85546875" style="18" customWidth="1"/>
    <col min="6937" max="6937" width="41.5703125" style="18" customWidth="1"/>
    <col min="6938" max="6939" width="12" style="18" customWidth="1"/>
    <col min="6940" max="6940" width="17" style="18" customWidth="1"/>
    <col min="6941" max="6941" width="9.7109375" style="18" customWidth="1"/>
    <col min="6942" max="6942" width="12.28515625" style="18" customWidth="1"/>
    <col min="6943" max="6943" width="13.7109375" style="18" customWidth="1"/>
    <col min="6944" max="6944" width="13.5703125" style="18" bestFit="1" customWidth="1"/>
    <col min="6945" max="6945" width="13.5703125" style="18" customWidth="1"/>
    <col min="6946" max="6946" width="21" style="18" customWidth="1"/>
    <col min="6947" max="6950" width="13.42578125" style="18" customWidth="1"/>
    <col min="6951" max="6952" width="19" style="18" customWidth="1"/>
    <col min="6953" max="6953" width="34" style="18" customWidth="1"/>
    <col min="6954" max="6954" width="19" style="18" customWidth="1"/>
    <col min="6955" max="6955" width="20" style="18" bestFit="1" customWidth="1"/>
    <col min="6956" max="6956" width="20.28515625" style="18" bestFit="1" customWidth="1"/>
    <col min="6957" max="6957" width="26.7109375" style="18" customWidth="1"/>
    <col min="6958" max="6958" width="20.85546875" style="18" bestFit="1" customWidth="1"/>
    <col min="6959" max="6959" width="20.85546875" style="18" customWidth="1"/>
    <col min="6960" max="6960" width="18.85546875" style="18" customWidth="1"/>
    <col min="6961" max="6961" width="17.5703125" style="18" customWidth="1"/>
    <col min="6962" max="6963" width="19.42578125" style="18" customWidth="1"/>
    <col min="6964" max="6964" width="20.7109375" style="18" bestFit="1" customWidth="1"/>
    <col min="6965" max="6965" width="80.7109375" style="18" customWidth="1"/>
    <col min="6966" max="6966" width="14.7109375" style="18" bestFit="1" customWidth="1"/>
    <col min="6967" max="6967" width="18.140625" style="18" bestFit="1" customWidth="1"/>
    <col min="6968" max="6968" width="16.7109375" style="18" bestFit="1" customWidth="1"/>
    <col min="6969" max="6969" width="18.5703125" style="18" bestFit="1" customWidth="1"/>
    <col min="6970" max="6970" width="21.28515625" style="18" bestFit="1" customWidth="1"/>
    <col min="6971" max="6971" width="16.28515625" style="18" bestFit="1" customWidth="1"/>
    <col min="6972" max="6972" width="21.140625" style="18" bestFit="1" customWidth="1"/>
    <col min="6973" max="6973" width="19" style="18" bestFit="1" customWidth="1"/>
    <col min="6974" max="6974" width="19.140625" style="18" customWidth="1"/>
    <col min="6975" max="6975" width="16.7109375" style="18" customWidth="1"/>
    <col min="6976" max="6976" width="21.140625" style="18" bestFit="1" customWidth="1"/>
    <col min="6977" max="6977" width="20.42578125" style="18" bestFit="1" customWidth="1"/>
    <col min="6978" max="6978" width="21.140625" style="18" customWidth="1"/>
    <col min="6979" max="6979" width="20.5703125" style="18" bestFit="1" customWidth="1"/>
    <col min="6980" max="6980" width="19.7109375" style="18" bestFit="1" customWidth="1"/>
    <col min="6981" max="6981" width="20.28515625" style="18" customWidth="1"/>
    <col min="6982" max="6982" width="20.85546875" style="18" bestFit="1" customWidth="1"/>
    <col min="6983" max="6983" width="19.5703125" style="18" bestFit="1" customWidth="1"/>
    <col min="6984" max="6984" width="18" style="18" customWidth="1"/>
    <col min="6985" max="6985" width="20" style="18" bestFit="1" customWidth="1"/>
    <col min="6986" max="6986" width="35.7109375" style="18" customWidth="1"/>
    <col min="6987" max="6987" width="21.140625" style="18" bestFit="1" customWidth="1"/>
    <col min="6988" max="6988" width="20.5703125" style="18" bestFit="1" customWidth="1"/>
    <col min="6989" max="6989" width="19.42578125" style="18" bestFit="1" customWidth="1"/>
    <col min="6990" max="6990" width="18.5703125" style="18" bestFit="1" customWidth="1"/>
    <col min="6991" max="6991" width="20.5703125" style="18" bestFit="1" customWidth="1"/>
    <col min="6992" max="6992" width="21.28515625" style="18" bestFit="1" customWidth="1"/>
    <col min="6993" max="6993" width="15.42578125" style="18" customWidth="1"/>
    <col min="6994" max="6994" width="20.7109375" style="18" customWidth="1"/>
    <col min="6995" max="6995" width="21.28515625" style="18" customWidth="1"/>
    <col min="6996" max="6996" width="14.85546875" style="18" bestFit="1" customWidth="1"/>
    <col min="6997" max="6997" width="23" style="18" bestFit="1" customWidth="1"/>
    <col min="6998" max="6998" width="21.28515625" style="18" bestFit="1" customWidth="1"/>
    <col min="6999" max="6999" width="20.28515625" style="18" bestFit="1" customWidth="1"/>
    <col min="7000" max="7000" width="21" style="18" bestFit="1" customWidth="1"/>
    <col min="7001" max="7001" width="18.85546875" style="18" bestFit="1" customWidth="1"/>
    <col min="7002" max="7002" width="80.7109375" style="18" customWidth="1"/>
    <col min="7003" max="7190" width="9.140625" style="18"/>
    <col min="7191" max="7191" width="2.5703125" style="18" customWidth="1"/>
    <col min="7192" max="7192" width="17.85546875" style="18" customWidth="1"/>
    <col min="7193" max="7193" width="41.5703125" style="18" customWidth="1"/>
    <col min="7194" max="7195" width="12" style="18" customWidth="1"/>
    <col min="7196" max="7196" width="17" style="18" customWidth="1"/>
    <col min="7197" max="7197" width="9.7109375" style="18" customWidth="1"/>
    <col min="7198" max="7198" width="12.28515625" style="18" customWidth="1"/>
    <col min="7199" max="7199" width="13.7109375" style="18" customWidth="1"/>
    <col min="7200" max="7200" width="13.5703125" style="18" bestFit="1" customWidth="1"/>
    <col min="7201" max="7201" width="13.5703125" style="18" customWidth="1"/>
    <col min="7202" max="7202" width="21" style="18" customWidth="1"/>
    <col min="7203" max="7206" width="13.42578125" style="18" customWidth="1"/>
    <col min="7207" max="7208" width="19" style="18" customWidth="1"/>
    <col min="7209" max="7209" width="34" style="18" customWidth="1"/>
    <col min="7210" max="7210" width="19" style="18" customWidth="1"/>
    <col min="7211" max="7211" width="20" style="18" bestFit="1" customWidth="1"/>
    <col min="7212" max="7212" width="20.28515625" style="18" bestFit="1" customWidth="1"/>
    <col min="7213" max="7213" width="26.7109375" style="18" customWidth="1"/>
    <col min="7214" max="7214" width="20.85546875" style="18" bestFit="1" customWidth="1"/>
    <col min="7215" max="7215" width="20.85546875" style="18" customWidth="1"/>
    <col min="7216" max="7216" width="18.85546875" style="18" customWidth="1"/>
    <col min="7217" max="7217" width="17.5703125" style="18" customWidth="1"/>
    <col min="7218" max="7219" width="19.42578125" style="18" customWidth="1"/>
    <col min="7220" max="7220" width="20.7109375" style="18" bestFit="1" customWidth="1"/>
    <col min="7221" max="7221" width="80.7109375" style="18" customWidth="1"/>
    <col min="7222" max="7222" width="14.7109375" style="18" bestFit="1" customWidth="1"/>
    <col min="7223" max="7223" width="18.140625" style="18" bestFit="1" customWidth="1"/>
    <col min="7224" max="7224" width="16.7109375" style="18" bestFit="1" customWidth="1"/>
    <col min="7225" max="7225" width="18.5703125" style="18" bestFit="1" customWidth="1"/>
    <col min="7226" max="7226" width="21.28515625" style="18" bestFit="1" customWidth="1"/>
    <col min="7227" max="7227" width="16.28515625" style="18" bestFit="1" customWidth="1"/>
    <col min="7228" max="7228" width="21.140625" style="18" bestFit="1" customWidth="1"/>
    <col min="7229" max="7229" width="19" style="18" bestFit="1" customWidth="1"/>
    <col min="7230" max="7230" width="19.140625" style="18" customWidth="1"/>
    <col min="7231" max="7231" width="16.7109375" style="18" customWidth="1"/>
    <col min="7232" max="7232" width="21.140625" style="18" bestFit="1" customWidth="1"/>
    <col min="7233" max="7233" width="20.42578125" style="18" bestFit="1" customWidth="1"/>
    <col min="7234" max="7234" width="21.140625" style="18" customWidth="1"/>
    <col min="7235" max="7235" width="20.5703125" style="18" bestFit="1" customWidth="1"/>
    <col min="7236" max="7236" width="19.7109375" style="18" bestFit="1" customWidth="1"/>
    <col min="7237" max="7237" width="20.28515625" style="18" customWidth="1"/>
    <col min="7238" max="7238" width="20.85546875" style="18" bestFit="1" customWidth="1"/>
    <col min="7239" max="7239" width="19.5703125" style="18" bestFit="1" customWidth="1"/>
    <col min="7240" max="7240" width="18" style="18" customWidth="1"/>
    <col min="7241" max="7241" width="20" style="18" bestFit="1" customWidth="1"/>
    <col min="7242" max="7242" width="35.7109375" style="18" customWidth="1"/>
    <col min="7243" max="7243" width="21.140625" style="18" bestFit="1" customWidth="1"/>
    <col min="7244" max="7244" width="20.5703125" style="18" bestFit="1" customWidth="1"/>
    <col min="7245" max="7245" width="19.42578125" style="18" bestFit="1" customWidth="1"/>
    <col min="7246" max="7246" width="18.5703125" style="18" bestFit="1" customWidth="1"/>
    <col min="7247" max="7247" width="20.5703125" style="18" bestFit="1" customWidth="1"/>
    <col min="7248" max="7248" width="21.28515625" style="18" bestFit="1" customWidth="1"/>
    <col min="7249" max="7249" width="15.42578125" style="18" customWidth="1"/>
    <col min="7250" max="7250" width="20.7109375" style="18" customWidth="1"/>
    <col min="7251" max="7251" width="21.28515625" style="18" customWidth="1"/>
    <col min="7252" max="7252" width="14.85546875" style="18" bestFit="1" customWidth="1"/>
    <col min="7253" max="7253" width="23" style="18" bestFit="1" customWidth="1"/>
    <col min="7254" max="7254" width="21.28515625" style="18" bestFit="1" customWidth="1"/>
    <col min="7255" max="7255" width="20.28515625" style="18" bestFit="1" customWidth="1"/>
    <col min="7256" max="7256" width="21" style="18" bestFit="1" customWidth="1"/>
    <col min="7257" max="7257" width="18.85546875" style="18" bestFit="1" customWidth="1"/>
    <col min="7258" max="7258" width="80.7109375" style="18" customWidth="1"/>
    <col min="7259" max="7446" width="9.140625" style="18"/>
    <col min="7447" max="7447" width="2.5703125" style="18" customWidth="1"/>
    <col min="7448" max="7448" width="17.85546875" style="18" customWidth="1"/>
    <col min="7449" max="7449" width="41.5703125" style="18" customWidth="1"/>
    <col min="7450" max="7451" width="12" style="18" customWidth="1"/>
    <col min="7452" max="7452" width="17" style="18" customWidth="1"/>
    <col min="7453" max="7453" width="9.7109375" style="18" customWidth="1"/>
    <col min="7454" max="7454" width="12.28515625" style="18" customWidth="1"/>
    <col min="7455" max="7455" width="13.7109375" style="18" customWidth="1"/>
    <col min="7456" max="7456" width="13.5703125" style="18" bestFit="1" customWidth="1"/>
    <col min="7457" max="7457" width="13.5703125" style="18" customWidth="1"/>
    <col min="7458" max="7458" width="21" style="18" customWidth="1"/>
    <col min="7459" max="7462" width="13.42578125" style="18" customWidth="1"/>
    <col min="7463" max="7464" width="19" style="18" customWidth="1"/>
    <col min="7465" max="7465" width="34" style="18" customWidth="1"/>
    <col min="7466" max="7466" width="19" style="18" customWidth="1"/>
    <col min="7467" max="7467" width="20" style="18" bestFit="1" customWidth="1"/>
    <col min="7468" max="7468" width="20.28515625" style="18" bestFit="1" customWidth="1"/>
    <col min="7469" max="7469" width="26.7109375" style="18" customWidth="1"/>
    <col min="7470" max="7470" width="20.85546875" style="18" bestFit="1" customWidth="1"/>
    <col min="7471" max="7471" width="20.85546875" style="18" customWidth="1"/>
    <col min="7472" max="7472" width="18.85546875" style="18" customWidth="1"/>
    <col min="7473" max="7473" width="17.5703125" style="18" customWidth="1"/>
    <col min="7474" max="7475" width="19.42578125" style="18" customWidth="1"/>
    <col min="7476" max="7476" width="20.7109375" style="18" bestFit="1" customWidth="1"/>
    <col min="7477" max="7477" width="80.7109375" style="18" customWidth="1"/>
    <col min="7478" max="7478" width="14.7109375" style="18" bestFit="1" customWidth="1"/>
    <col min="7479" max="7479" width="18.140625" style="18" bestFit="1" customWidth="1"/>
    <col min="7480" max="7480" width="16.7109375" style="18" bestFit="1" customWidth="1"/>
    <col min="7481" max="7481" width="18.5703125" style="18" bestFit="1" customWidth="1"/>
    <col min="7482" max="7482" width="21.28515625" style="18" bestFit="1" customWidth="1"/>
    <col min="7483" max="7483" width="16.28515625" style="18" bestFit="1" customWidth="1"/>
    <col min="7484" max="7484" width="21.140625" style="18" bestFit="1" customWidth="1"/>
    <col min="7485" max="7485" width="19" style="18" bestFit="1" customWidth="1"/>
    <col min="7486" max="7486" width="19.140625" style="18" customWidth="1"/>
    <col min="7487" max="7487" width="16.7109375" style="18" customWidth="1"/>
    <col min="7488" max="7488" width="21.140625" style="18" bestFit="1" customWidth="1"/>
    <col min="7489" max="7489" width="20.42578125" style="18" bestFit="1" customWidth="1"/>
    <col min="7490" max="7490" width="21.140625" style="18" customWidth="1"/>
    <col min="7491" max="7491" width="20.5703125" style="18" bestFit="1" customWidth="1"/>
    <col min="7492" max="7492" width="19.7109375" style="18" bestFit="1" customWidth="1"/>
    <col min="7493" max="7493" width="20.28515625" style="18" customWidth="1"/>
    <col min="7494" max="7494" width="20.85546875" style="18" bestFit="1" customWidth="1"/>
    <col min="7495" max="7495" width="19.5703125" style="18" bestFit="1" customWidth="1"/>
    <col min="7496" max="7496" width="18" style="18" customWidth="1"/>
    <col min="7497" max="7497" width="20" style="18" bestFit="1" customWidth="1"/>
    <col min="7498" max="7498" width="35.7109375" style="18" customWidth="1"/>
    <col min="7499" max="7499" width="21.140625" style="18" bestFit="1" customWidth="1"/>
    <col min="7500" max="7500" width="20.5703125" style="18" bestFit="1" customWidth="1"/>
    <col min="7501" max="7501" width="19.42578125" style="18" bestFit="1" customWidth="1"/>
    <col min="7502" max="7502" width="18.5703125" style="18" bestFit="1" customWidth="1"/>
    <col min="7503" max="7503" width="20.5703125" style="18" bestFit="1" customWidth="1"/>
    <col min="7504" max="7504" width="21.28515625" style="18" bestFit="1" customWidth="1"/>
    <col min="7505" max="7505" width="15.42578125" style="18" customWidth="1"/>
    <col min="7506" max="7506" width="20.7109375" style="18" customWidth="1"/>
    <col min="7507" max="7507" width="21.28515625" style="18" customWidth="1"/>
    <col min="7508" max="7508" width="14.85546875" style="18" bestFit="1" customWidth="1"/>
    <col min="7509" max="7509" width="23" style="18" bestFit="1" customWidth="1"/>
    <col min="7510" max="7510" width="21.28515625" style="18" bestFit="1" customWidth="1"/>
    <col min="7511" max="7511" width="20.28515625" style="18" bestFit="1" customWidth="1"/>
    <col min="7512" max="7512" width="21" style="18" bestFit="1" customWidth="1"/>
    <col min="7513" max="7513" width="18.85546875" style="18" bestFit="1" customWidth="1"/>
    <col min="7514" max="7514" width="80.7109375" style="18" customWidth="1"/>
    <col min="7515" max="7702" width="9.140625" style="18"/>
    <col min="7703" max="7703" width="2.5703125" style="18" customWidth="1"/>
    <col min="7704" max="7704" width="17.85546875" style="18" customWidth="1"/>
    <col min="7705" max="7705" width="41.5703125" style="18" customWidth="1"/>
    <col min="7706" max="7707" width="12" style="18" customWidth="1"/>
    <col min="7708" max="7708" width="17" style="18" customWidth="1"/>
    <col min="7709" max="7709" width="9.7109375" style="18" customWidth="1"/>
    <col min="7710" max="7710" width="12.28515625" style="18" customWidth="1"/>
    <col min="7711" max="7711" width="13.7109375" style="18" customWidth="1"/>
    <col min="7712" max="7712" width="13.5703125" style="18" bestFit="1" customWidth="1"/>
    <col min="7713" max="7713" width="13.5703125" style="18" customWidth="1"/>
    <col min="7714" max="7714" width="21" style="18" customWidth="1"/>
    <col min="7715" max="7718" width="13.42578125" style="18" customWidth="1"/>
    <col min="7719" max="7720" width="19" style="18" customWidth="1"/>
    <col min="7721" max="7721" width="34" style="18" customWidth="1"/>
    <col min="7722" max="7722" width="19" style="18" customWidth="1"/>
    <col min="7723" max="7723" width="20" style="18" bestFit="1" customWidth="1"/>
    <col min="7724" max="7724" width="20.28515625" style="18" bestFit="1" customWidth="1"/>
    <col min="7725" max="7725" width="26.7109375" style="18" customWidth="1"/>
    <col min="7726" max="7726" width="20.85546875" style="18" bestFit="1" customWidth="1"/>
    <col min="7727" max="7727" width="20.85546875" style="18" customWidth="1"/>
    <col min="7728" max="7728" width="18.85546875" style="18" customWidth="1"/>
    <col min="7729" max="7729" width="17.5703125" style="18" customWidth="1"/>
    <col min="7730" max="7731" width="19.42578125" style="18" customWidth="1"/>
    <col min="7732" max="7732" width="20.7109375" style="18" bestFit="1" customWidth="1"/>
    <col min="7733" max="7733" width="80.7109375" style="18" customWidth="1"/>
    <col min="7734" max="7734" width="14.7109375" style="18" bestFit="1" customWidth="1"/>
    <col min="7735" max="7735" width="18.140625" style="18" bestFit="1" customWidth="1"/>
    <col min="7736" max="7736" width="16.7109375" style="18" bestFit="1" customWidth="1"/>
    <col min="7737" max="7737" width="18.5703125" style="18" bestFit="1" customWidth="1"/>
    <col min="7738" max="7738" width="21.28515625" style="18" bestFit="1" customWidth="1"/>
    <col min="7739" max="7739" width="16.28515625" style="18" bestFit="1" customWidth="1"/>
    <col min="7740" max="7740" width="21.140625" style="18" bestFit="1" customWidth="1"/>
    <col min="7741" max="7741" width="19" style="18" bestFit="1" customWidth="1"/>
    <col min="7742" max="7742" width="19.140625" style="18" customWidth="1"/>
    <col min="7743" max="7743" width="16.7109375" style="18" customWidth="1"/>
    <col min="7744" max="7744" width="21.140625" style="18" bestFit="1" customWidth="1"/>
    <col min="7745" max="7745" width="20.42578125" style="18" bestFit="1" customWidth="1"/>
    <col min="7746" max="7746" width="21.140625" style="18" customWidth="1"/>
    <col min="7747" max="7747" width="20.5703125" style="18" bestFit="1" customWidth="1"/>
    <col min="7748" max="7748" width="19.7109375" style="18" bestFit="1" customWidth="1"/>
    <col min="7749" max="7749" width="20.28515625" style="18" customWidth="1"/>
    <col min="7750" max="7750" width="20.85546875" style="18" bestFit="1" customWidth="1"/>
    <col min="7751" max="7751" width="19.5703125" style="18" bestFit="1" customWidth="1"/>
    <col min="7752" max="7752" width="18" style="18" customWidth="1"/>
    <col min="7753" max="7753" width="20" style="18" bestFit="1" customWidth="1"/>
    <col min="7754" max="7754" width="35.7109375" style="18" customWidth="1"/>
    <col min="7755" max="7755" width="21.140625" style="18" bestFit="1" customWidth="1"/>
    <col min="7756" max="7756" width="20.5703125" style="18" bestFit="1" customWidth="1"/>
    <col min="7757" max="7757" width="19.42578125" style="18" bestFit="1" customWidth="1"/>
    <col min="7758" max="7758" width="18.5703125" style="18" bestFit="1" customWidth="1"/>
    <col min="7759" max="7759" width="20.5703125" style="18" bestFit="1" customWidth="1"/>
    <col min="7760" max="7760" width="21.28515625" style="18" bestFit="1" customWidth="1"/>
    <col min="7761" max="7761" width="15.42578125" style="18" customWidth="1"/>
    <col min="7762" max="7762" width="20.7109375" style="18" customWidth="1"/>
    <col min="7763" max="7763" width="21.28515625" style="18" customWidth="1"/>
    <col min="7764" max="7764" width="14.85546875" style="18" bestFit="1" customWidth="1"/>
    <col min="7765" max="7765" width="23" style="18" bestFit="1" customWidth="1"/>
    <col min="7766" max="7766" width="21.28515625" style="18" bestFit="1" customWidth="1"/>
    <col min="7767" max="7767" width="20.28515625" style="18" bestFit="1" customWidth="1"/>
    <col min="7768" max="7768" width="21" style="18" bestFit="1" customWidth="1"/>
    <col min="7769" max="7769" width="18.85546875" style="18" bestFit="1" customWidth="1"/>
    <col min="7770" max="7770" width="80.7109375" style="18" customWidth="1"/>
    <col min="7771" max="7958" width="9.140625" style="18"/>
    <col min="7959" max="7959" width="2.5703125" style="18" customWidth="1"/>
    <col min="7960" max="7960" width="17.85546875" style="18" customWidth="1"/>
    <col min="7961" max="7961" width="41.5703125" style="18" customWidth="1"/>
    <col min="7962" max="7963" width="12" style="18" customWidth="1"/>
    <col min="7964" max="7964" width="17" style="18" customWidth="1"/>
    <col min="7965" max="7965" width="9.7109375" style="18" customWidth="1"/>
    <col min="7966" max="7966" width="12.28515625" style="18" customWidth="1"/>
    <col min="7967" max="7967" width="13.7109375" style="18" customWidth="1"/>
    <col min="7968" max="7968" width="13.5703125" style="18" bestFit="1" customWidth="1"/>
    <col min="7969" max="7969" width="13.5703125" style="18" customWidth="1"/>
    <col min="7970" max="7970" width="21" style="18" customWidth="1"/>
    <col min="7971" max="7974" width="13.42578125" style="18" customWidth="1"/>
    <col min="7975" max="7976" width="19" style="18" customWidth="1"/>
    <col min="7977" max="7977" width="34" style="18" customWidth="1"/>
    <col min="7978" max="7978" width="19" style="18" customWidth="1"/>
    <col min="7979" max="7979" width="20" style="18" bestFit="1" customWidth="1"/>
    <col min="7980" max="7980" width="20.28515625" style="18" bestFit="1" customWidth="1"/>
    <col min="7981" max="7981" width="26.7109375" style="18" customWidth="1"/>
    <col min="7982" max="7982" width="20.85546875" style="18" bestFit="1" customWidth="1"/>
    <col min="7983" max="7983" width="20.85546875" style="18" customWidth="1"/>
    <col min="7984" max="7984" width="18.85546875" style="18" customWidth="1"/>
    <col min="7985" max="7985" width="17.5703125" style="18" customWidth="1"/>
    <col min="7986" max="7987" width="19.42578125" style="18" customWidth="1"/>
    <col min="7988" max="7988" width="20.7109375" style="18" bestFit="1" customWidth="1"/>
    <col min="7989" max="7989" width="80.7109375" style="18" customWidth="1"/>
    <col min="7990" max="7990" width="14.7109375" style="18" bestFit="1" customWidth="1"/>
    <col min="7991" max="7991" width="18.140625" style="18" bestFit="1" customWidth="1"/>
    <col min="7992" max="7992" width="16.7109375" style="18" bestFit="1" customWidth="1"/>
    <col min="7993" max="7993" width="18.5703125" style="18" bestFit="1" customWidth="1"/>
    <col min="7994" max="7994" width="21.28515625" style="18" bestFit="1" customWidth="1"/>
    <col min="7995" max="7995" width="16.28515625" style="18" bestFit="1" customWidth="1"/>
    <col min="7996" max="7996" width="21.140625" style="18" bestFit="1" customWidth="1"/>
    <col min="7997" max="7997" width="19" style="18" bestFit="1" customWidth="1"/>
    <col min="7998" max="7998" width="19.140625" style="18" customWidth="1"/>
    <col min="7999" max="7999" width="16.7109375" style="18" customWidth="1"/>
    <col min="8000" max="8000" width="21.140625" style="18" bestFit="1" customWidth="1"/>
    <col min="8001" max="8001" width="20.42578125" style="18" bestFit="1" customWidth="1"/>
    <col min="8002" max="8002" width="21.140625" style="18" customWidth="1"/>
    <col min="8003" max="8003" width="20.5703125" style="18" bestFit="1" customWidth="1"/>
    <col min="8004" max="8004" width="19.7109375" style="18" bestFit="1" customWidth="1"/>
    <col min="8005" max="8005" width="20.28515625" style="18" customWidth="1"/>
    <col min="8006" max="8006" width="20.85546875" style="18" bestFit="1" customWidth="1"/>
    <col min="8007" max="8007" width="19.5703125" style="18" bestFit="1" customWidth="1"/>
    <col min="8008" max="8008" width="18" style="18" customWidth="1"/>
    <col min="8009" max="8009" width="20" style="18" bestFit="1" customWidth="1"/>
    <col min="8010" max="8010" width="35.7109375" style="18" customWidth="1"/>
    <col min="8011" max="8011" width="21.140625" style="18" bestFit="1" customWidth="1"/>
    <col min="8012" max="8012" width="20.5703125" style="18" bestFit="1" customWidth="1"/>
    <col min="8013" max="8013" width="19.42578125" style="18" bestFit="1" customWidth="1"/>
    <col min="8014" max="8014" width="18.5703125" style="18" bestFit="1" customWidth="1"/>
    <col min="8015" max="8015" width="20.5703125" style="18" bestFit="1" customWidth="1"/>
    <col min="8016" max="8016" width="21.28515625" style="18" bestFit="1" customWidth="1"/>
    <col min="8017" max="8017" width="15.42578125" style="18" customWidth="1"/>
    <col min="8018" max="8018" width="20.7109375" style="18" customWidth="1"/>
    <col min="8019" max="8019" width="21.28515625" style="18" customWidth="1"/>
    <col min="8020" max="8020" width="14.85546875" style="18" bestFit="1" customWidth="1"/>
    <col min="8021" max="8021" width="23" style="18" bestFit="1" customWidth="1"/>
    <col min="8022" max="8022" width="21.28515625" style="18" bestFit="1" customWidth="1"/>
    <col min="8023" max="8023" width="20.28515625" style="18" bestFit="1" customWidth="1"/>
    <col min="8024" max="8024" width="21" style="18" bestFit="1" customWidth="1"/>
    <col min="8025" max="8025" width="18.85546875" style="18" bestFit="1" customWidth="1"/>
    <col min="8026" max="8026" width="80.7109375" style="18" customWidth="1"/>
    <col min="8027" max="8214" width="9.140625" style="18"/>
    <col min="8215" max="8215" width="2.5703125" style="18" customWidth="1"/>
    <col min="8216" max="8216" width="17.85546875" style="18" customWidth="1"/>
    <col min="8217" max="8217" width="41.5703125" style="18" customWidth="1"/>
    <col min="8218" max="8219" width="12" style="18" customWidth="1"/>
    <col min="8220" max="8220" width="17" style="18" customWidth="1"/>
    <col min="8221" max="8221" width="9.7109375" style="18" customWidth="1"/>
    <col min="8222" max="8222" width="12.28515625" style="18" customWidth="1"/>
    <col min="8223" max="8223" width="13.7109375" style="18" customWidth="1"/>
    <col min="8224" max="8224" width="13.5703125" style="18" bestFit="1" customWidth="1"/>
    <col min="8225" max="8225" width="13.5703125" style="18" customWidth="1"/>
    <col min="8226" max="8226" width="21" style="18" customWidth="1"/>
    <col min="8227" max="8230" width="13.42578125" style="18" customWidth="1"/>
    <col min="8231" max="8232" width="19" style="18" customWidth="1"/>
    <col min="8233" max="8233" width="34" style="18" customWidth="1"/>
    <col min="8234" max="8234" width="19" style="18" customWidth="1"/>
    <col min="8235" max="8235" width="20" style="18" bestFit="1" customWidth="1"/>
    <col min="8236" max="8236" width="20.28515625" style="18" bestFit="1" customWidth="1"/>
    <col min="8237" max="8237" width="26.7109375" style="18" customWidth="1"/>
    <col min="8238" max="8238" width="20.85546875" style="18" bestFit="1" customWidth="1"/>
    <col min="8239" max="8239" width="20.85546875" style="18" customWidth="1"/>
    <col min="8240" max="8240" width="18.85546875" style="18" customWidth="1"/>
    <col min="8241" max="8241" width="17.5703125" style="18" customWidth="1"/>
    <col min="8242" max="8243" width="19.42578125" style="18" customWidth="1"/>
    <col min="8244" max="8244" width="20.7109375" style="18" bestFit="1" customWidth="1"/>
    <col min="8245" max="8245" width="80.7109375" style="18" customWidth="1"/>
    <col min="8246" max="8246" width="14.7109375" style="18" bestFit="1" customWidth="1"/>
    <col min="8247" max="8247" width="18.140625" style="18" bestFit="1" customWidth="1"/>
    <col min="8248" max="8248" width="16.7109375" style="18" bestFit="1" customWidth="1"/>
    <col min="8249" max="8249" width="18.5703125" style="18" bestFit="1" customWidth="1"/>
    <col min="8250" max="8250" width="21.28515625" style="18" bestFit="1" customWidth="1"/>
    <col min="8251" max="8251" width="16.28515625" style="18" bestFit="1" customWidth="1"/>
    <col min="8252" max="8252" width="21.140625" style="18" bestFit="1" customWidth="1"/>
    <col min="8253" max="8253" width="19" style="18" bestFit="1" customWidth="1"/>
    <col min="8254" max="8254" width="19.140625" style="18" customWidth="1"/>
    <col min="8255" max="8255" width="16.7109375" style="18" customWidth="1"/>
    <col min="8256" max="8256" width="21.140625" style="18" bestFit="1" customWidth="1"/>
    <col min="8257" max="8257" width="20.42578125" style="18" bestFit="1" customWidth="1"/>
    <col min="8258" max="8258" width="21.140625" style="18" customWidth="1"/>
    <col min="8259" max="8259" width="20.5703125" style="18" bestFit="1" customWidth="1"/>
    <col min="8260" max="8260" width="19.7109375" style="18" bestFit="1" customWidth="1"/>
    <col min="8261" max="8261" width="20.28515625" style="18" customWidth="1"/>
    <col min="8262" max="8262" width="20.85546875" style="18" bestFit="1" customWidth="1"/>
    <col min="8263" max="8263" width="19.5703125" style="18" bestFit="1" customWidth="1"/>
    <col min="8264" max="8264" width="18" style="18" customWidth="1"/>
    <col min="8265" max="8265" width="20" style="18" bestFit="1" customWidth="1"/>
    <col min="8266" max="8266" width="35.7109375" style="18" customWidth="1"/>
    <col min="8267" max="8267" width="21.140625" style="18" bestFit="1" customWidth="1"/>
    <col min="8268" max="8268" width="20.5703125" style="18" bestFit="1" customWidth="1"/>
    <col min="8269" max="8269" width="19.42578125" style="18" bestFit="1" customWidth="1"/>
    <col min="8270" max="8270" width="18.5703125" style="18" bestFit="1" customWidth="1"/>
    <col min="8271" max="8271" width="20.5703125" style="18" bestFit="1" customWidth="1"/>
    <col min="8272" max="8272" width="21.28515625" style="18" bestFit="1" customWidth="1"/>
    <col min="8273" max="8273" width="15.42578125" style="18" customWidth="1"/>
    <col min="8274" max="8274" width="20.7109375" style="18" customWidth="1"/>
    <col min="8275" max="8275" width="21.28515625" style="18" customWidth="1"/>
    <col min="8276" max="8276" width="14.85546875" style="18" bestFit="1" customWidth="1"/>
    <col min="8277" max="8277" width="23" style="18" bestFit="1" customWidth="1"/>
    <col min="8278" max="8278" width="21.28515625" style="18" bestFit="1" customWidth="1"/>
    <col min="8279" max="8279" width="20.28515625" style="18" bestFit="1" customWidth="1"/>
    <col min="8280" max="8280" width="21" style="18" bestFit="1" customWidth="1"/>
    <col min="8281" max="8281" width="18.85546875" style="18" bestFit="1" customWidth="1"/>
    <col min="8282" max="8282" width="80.7109375" style="18" customWidth="1"/>
    <col min="8283" max="8470" width="9.140625" style="18"/>
    <col min="8471" max="8471" width="2.5703125" style="18" customWidth="1"/>
    <col min="8472" max="8472" width="17.85546875" style="18" customWidth="1"/>
    <col min="8473" max="8473" width="41.5703125" style="18" customWidth="1"/>
    <col min="8474" max="8475" width="12" style="18" customWidth="1"/>
    <col min="8476" max="8476" width="17" style="18" customWidth="1"/>
    <col min="8477" max="8477" width="9.7109375" style="18" customWidth="1"/>
    <col min="8478" max="8478" width="12.28515625" style="18" customWidth="1"/>
    <col min="8479" max="8479" width="13.7109375" style="18" customWidth="1"/>
    <col min="8480" max="8480" width="13.5703125" style="18" bestFit="1" customWidth="1"/>
    <col min="8481" max="8481" width="13.5703125" style="18" customWidth="1"/>
    <col min="8482" max="8482" width="21" style="18" customWidth="1"/>
    <col min="8483" max="8486" width="13.42578125" style="18" customWidth="1"/>
    <col min="8487" max="8488" width="19" style="18" customWidth="1"/>
    <col min="8489" max="8489" width="34" style="18" customWidth="1"/>
    <col min="8490" max="8490" width="19" style="18" customWidth="1"/>
    <col min="8491" max="8491" width="20" style="18" bestFit="1" customWidth="1"/>
    <col min="8492" max="8492" width="20.28515625" style="18" bestFit="1" customWidth="1"/>
    <col min="8493" max="8493" width="26.7109375" style="18" customWidth="1"/>
    <col min="8494" max="8494" width="20.85546875" style="18" bestFit="1" customWidth="1"/>
    <col min="8495" max="8495" width="20.85546875" style="18" customWidth="1"/>
    <col min="8496" max="8496" width="18.85546875" style="18" customWidth="1"/>
    <col min="8497" max="8497" width="17.5703125" style="18" customWidth="1"/>
    <col min="8498" max="8499" width="19.42578125" style="18" customWidth="1"/>
    <col min="8500" max="8500" width="20.7109375" style="18" bestFit="1" customWidth="1"/>
    <col min="8501" max="8501" width="80.7109375" style="18" customWidth="1"/>
    <col min="8502" max="8502" width="14.7109375" style="18" bestFit="1" customWidth="1"/>
    <col min="8503" max="8503" width="18.140625" style="18" bestFit="1" customWidth="1"/>
    <col min="8504" max="8504" width="16.7109375" style="18" bestFit="1" customWidth="1"/>
    <col min="8505" max="8505" width="18.5703125" style="18" bestFit="1" customWidth="1"/>
    <col min="8506" max="8506" width="21.28515625" style="18" bestFit="1" customWidth="1"/>
    <col min="8507" max="8507" width="16.28515625" style="18" bestFit="1" customWidth="1"/>
    <col min="8508" max="8508" width="21.140625" style="18" bestFit="1" customWidth="1"/>
    <col min="8509" max="8509" width="19" style="18" bestFit="1" customWidth="1"/>
    <col min="8510" max="8510" width="19.140625" style="18" customWidth="1"/>
    <col min="8511" max="8511" width="16.7109375" style="18" customWidth="1"/>
    <col min="8512" max="8512" width="21.140625" style="18" bestFit="1" customWidth="1"/>
    <col min="8513" max="8513" width="20.42578125" style="18" bestFit="1" customWidth="1"/>
    <col min="8514" max="8514" width="21.140625" style="18" customWidth="1"/>
    <col min="8515" max="8515" width="20.5703125" style="18" bestFit="1" customWidth="1"/>
    <col min="8516" max="8516" width="19.7109375" style="18" bestFit="1" customWidth="1"/>
    <col min="8517" max="8517" width="20.28515625" style="18" customWidth="1"/>
    <col min="8518" max="8518" width="20.85546875" style="18" bestFit="1" customWidth="1"/>
    <col min="8519" max="8519" width="19.5703125" style="18" bestFit="1" customWidth="1"/>
    <col min="8520" max="8520" width="18" style="18" customWidth="1"/>
    <col min="8521" max="8521" width="20" style="18" bestFit="1" customWidth="1"/>
    <col min="8522" max="8522" width="35.7109375" style="18" customWidth="1"/>
    <col min="8523" max="8523" width="21.140625" style="18" bestFit="1" customWidth="1"/>
    <col min="8524" max="8524" width="20.5703125" style="18" bestFit="1" customWidth="1"/>
    <col min="8525" max="8525" width="19.42578125" style="18" bestFit="1" customWidth="1"/>
    <col min="8526" max="8526" width="18.5703125" style="18" bestFit="1" customWidth="1"/>
    <col min="8527" max="8527" width="20.5703125" style="18" bestFit="1" customWidth="1"/>
    <col min="8528" max="8528" width="21.28515625" style="18" bestFit="1" customWidth="1"/>
    <col min="8529" max="8529" width="15.42578125" style="18" customWidth="1"/>
    <col min="8530" max="8530" width="20.7109375" style="18" customWidth="1"/>
    <col min="8531" max="8531" width="21.28515625" style="18" customWidth="1"/>
    <col min="8532" max="8532" width="14.85546875" style="18" bestFit="1" customWidth="1"/>
    <col min="8533" max="8533" width="23" style="18" bestFit="1" customWidth="1"/>
    <col min="8534" max="8534" width="21.28515625" style="18" bestFit="1" customWidth="1"/>
    <col min="8535" max="8535" width="20.28515625" style="18" bestFit="1" customWidth="1"/>
    <col min="8536" max="8536" width="21" style="18" bestFit="1" customWidth="1"/>
    <col min="8537" max="8537" width="18.85546875" style="18" bestFit="1" customWidth="1"/>
    <col min="8538" max="8538" width="80.7109375" style="18" customWidth="1"/>
    <col min="8539" max="8726" width="9.140625" style="18"/>
    <col min="8727" max="8727" width="2.5703125" style="18" customWidth="1"/>
    <col min="8728" max="8728" width="17.85546875" style="18" customWidth="1"/>
    <col min="8729" max="8729" width="41.5703125" style="18" customWidth="1"/>
    <col min="8730" max="8731" width="12" style="18" customWidth="1"/>
    <col min="8732" max="8732" width="17" style="18" customWidth="1"/>
    <col min="8733" max="8733" width="9.7109375" style="18" customWidth="1"/>
    <col min="8734" max="8734" width="12.28515625" style="18" customWidth="1"/>
    <col min="8735" max="8735" width="13.7109375" style="18" customWidth="1"/>
    <col min="8736" max="8736" width="13.5703125" style="18" bestFit="1" customWidth="1"/>
    <col min="8737" max="8737" width="13.5703125" style="18" customWidth="1"/>
    <col min="8738" max="8738" width="21" style="18" customWidth="1"/>
    <col min="8739" max="8742" width="13.42578125" style="18" customWidth="1"/>
    <col min="8743" max="8744" width="19" style="18" customWidth="1"/>
    <col min="8745" max="8745" width="34" style="18" customWidth="1"/>
    <col min="8746" max="8746" width="19" style="18" customWidth="1"/>
    <col min="8747" max="8747" width="20" style="18" bestFit="1" customWidth="1"/>
    <col min="8748" max="8748" width="20.28515625" style="18" bestFit="1" customWidth="1"/>
    <col min="8749" max="8749" width="26.7109375" style="18" customWidth="1"/>
    <col min="8750" max="8750" width="20.85546875" style="18" bestFit="1" customWidth="1"/>
    <col min="8751" max="8751" width="20.85546875" style="18" customWidth="1"/>
    <col min="8752" max="8752" width="18.85546875" style="18" customWidth="1"/>
    <col min="8753" max="8753" width="17.5703125" style="18" customWidth="1"/>
    <col min="8754" max="8755" width="19.42578125" style="18" customWidth="1"/>
    <col min="8756" max="8756" width="20.7109375" style="18" bestFit="1" customWidth="1"/>
    <col min="8757" max="8757" width="80.7109375" style="18" customWidth="1"/>
    <col min="8758" max="8758" width="14.7109375" style="18" bestFit="1" customWidth="1"/>
    <col min="8759" max="8759" width="18.140625" style="18" bestFit="1" customWidth="1"/>
    <col min="8760" max="8760" width="16.7109375" style="18" bestFit="1" customWidth="1"/>
    <col min="8761" max="8761" width="18.5703125" style="18" bestFit="1" customWidth="1"/>
    <col min="8762" max="8762" width="21.28515625" style="18" bestFit="1" customWidth="1"/>
    <col min="8763" max="8763" width="16.28515625" style="18" bestFit="1" customWidth="1"/>
    <col min="8764" max="8764" width="21.140625" style="18" bestFit="1" customWidth="1"/>
    <col min="8765" max="8765" width="19" style="18" bestFit="1" customWidth="1"/>
    <col min="8766" max="8766" width="19.140625" style="18" customWidth="1"/>
    <col min="8767" max="8767" width="16.7109375" style="18" customWidth="1"/>
    <col min="8768" max="8768" width="21.140625" style="18" bestFit="1" customWidth="1"/>
    <col min="8769" max="8769" width="20.42578125" style="18" bestFit="1" customWidth="1"/>
    <col min="8770" max="8770" width="21.140625" style="18" customWidth="1"/>
    <col min="8771" max="8771" width="20.5703125" style="18" bestFit="1" customWidth="1"/>
    <col min="8772" max="8772" width="19.7109375" style="18" bestFit="1" customWidth="1"/>
    <col min="8773" max="8773" width="20.28515625" style="18" customWidth="1"/>
    <col min="8774" max="8774" width="20.85546875" style="18" bestFit="1" customWidth="1"/>
    <col min="8775" max="8775" width="19.5703125" style="18" bestFit="1" customWidth="1"/>
    <col min="8776" max="8776" width="18" style="18" customWidth="1"/>
    <col min="8777" max="8777" width="20" style="18" bestFit="1" customWidth="1"/>
    <col min="8778" max="8778" width="35.7109375" style="18" customWidth="1"/>
    <col min="8779" max="8779" width="21.140625" style="18" bestFit="1" customWidth="1"/>
    <col min="8780" max="8780" width="20.5703125" style="18" bestFit="1" customWidth="1"/>
    <col min="8781" max="8781" width="19.42578125" style="18" bestFit="1" customWidth="1"/>
    <col min="8782" max="8782" width="18.5703125" style="18" bestFit="1" customWidth="1"/>
    <col min="8783" max="8783" width="20.5703125" style="18" bestFit="1" customWidth="1"/>
    <col min="8784" max="8784" width="21.28515625" style="18" bestFit="1" customWidth="1"/>
    <col min="8785" max="8785" width="15.42578125" style="18" customWidth="1"/>
    <col min="8786" max="8786" width="20.7109375" style="18" customWidth="1"/>
    <col min="8787" max="8787" width="21.28515625" style="18" customWidth="1"/>
    <col min="8788" max="8788" width="14.85546875" style="18" bestFit="1" customWidth="1"/>
    <col min="8789" max="8789" width="23" style="18" bestFit="1" customWidth="1"/>
    <col min="8790" max="8790" width="21.28515625" style="18" bestFit="1" customWidth="1"/>
    <col min="8791" max="8791" width="20.28515625" style="18" bestFit="1" customWidth="1"/>
    <col min="8792" max="8792" width="21" style="18" bestFit="1" customWidth="1"/>
    <col min="8793" max="8793" width="18.85546875" style="18" bestFit="1" customWidth="1"/>
    <col min="8794" max="8794" width="80.7109375" style="18" customWidth="1"/>
    <col min="8795" max="8982" width="9.140625" style="18"/>
    <col min="8983" max="8983" width="2.5703125" style="18" customWidth="1"/>
    <col min="8984" max="8984" width="17.85546875" style="18" customWidth="1"/>
    <col min="8985" max="8985" width="41.5703125" style="18" customWidth="1"/>
    <col min="8986" max="8987" width="12" style="18" customWidth="1"/>
    <col min="8988" max="8988" width="17" style="18" customWidth="1"/>
    <col min="8989" max="8989" width="9.7109375" style="18" customWidth="1"/>
    <col min="8990" max="8990" width="12.28515625" style="18" customWidth="1"/>
    <col min="8991" max="8991" width="13.7109375" style="18" customWidth="1"/>
    <col min="8992" max="8992" width="13.5703125" style="18" bestFit="1" customWidth="1"/>
    <col min="8993" max="8993" width="13.5703125" style="18" customWidth="1"/>
    <col min="8994" max="8994" width="21" style="18" customWidth="1"/>
    <col min="8995" max="8998" width="13.42578125" style="18" customWidth="1"/>
    <col min="8999" max="9000" width="19" style="18" customWidth="1"/>
    <col min="9001" max="9001" width="34" style="18" customWidth="1"/>
    <col min="9002" max="9002" width="19" style="18" customWidth="1"/>
    <col min="9003" max="9003" width="20" style="18" bestFit="1" customWidth="1"/>
    <col min="9004" max="9004" width="20.28515625" style="18" bestFit="1" customWidth="1"/>
    <col min="9005" max="9005" width="26.7109375" style="18" customWidth="1"/>
    <col min="9006" max="9006" width="20.85546875" style="18" bestFit="1" customWidth="1"/>
    <col min="9007" max="9007" width="20.85546875" style="18" customWidth="1"/>
    <col min="9008" max="9008" width="18.85546875" style="18" customWidth="1"/>
    <col min="9009" max="9009" width="17.5703125" style="18" customWidth="1"/>
    <col min="9010" max="9011" width="19.42578125" style="18" customWidth="1"/>
    <col min="9012" max="9012" width="20.7109375" style="18" bestFit="1" customWidth="1"/>
    <col min="9013" max="9013" width="80.7109375" style="18" customWidth="1"/>
    <col min="9014" max="9014" width="14.7109375" style="18" bestFit="1" customWidth="1"/>
    <col min="9015" max="9015" width="18.140625" style="18" bestFit="1" customWidth="1"/>
    <col min="9016" max="9016" width="16.7109375" style="18" bestFit="1" customWidth="1"/>
    <col min="9017" max="9017" width="18.5703125" style="18" bestFit="1" customWidth="1"/>
    <col min="9018" max="9018" width="21.28515625" style="18" bestFit="1" customWidth="1"/>
    <col min="9019" max="9019" width="16.28515625" style="18" bestFit="1" customWidth="1"/>
    <col min="9020" max="9020" width="21.140625" style="18" bestFit="1" customWidth="1"/>
    <col min="9021" max="9021" width="19" style="18" bestFit="1" customWidth="1"/>
    <col min="9022" max="9022" width="19.140625" style="18" customWidth="1"/>
    <col min="9023" max="9023" width="16.7109375" style="18" customWidth="1"/>
    <col min="9024" max="9024" width="21.140625" style="18" bestFit="1" customWidth="1"/>
    <col min="9025" max="9025" width="20.42578125" style="18" bestFit="1" customWidth="1"/>
    <col min="9026" max="9026" width="21.140625" style="18" customWidth="1"/>
    <col min="9027" max="9027" width="20.5703125" style="18" bestFit="1" customWidth="1"/>
    <col min="9028" max="9028" width="19.7109375" style="18" bestFit="1" customWidth="1"/>
    <col min="9029" max="9029" width="20.28515625" style="18" customWidth="1"/>
    <col min="9030" max="9030" width="20.85546875" style="18" bestFit="1" customWidth="1"/>
    <col min="9031" max="9031" width="19.5703125" style="18" bestFit="1" customWidth="1"/>
    <col min="9032" max="9032" width="18" style="18" customWidth="1"/>
    <col min="9033" max="9033" width="20" style="18" bestFit="1" customWidth="1"/>
    <col min="9034" max="9034" width="35.7109375" style="18" customWidth="1"/>
    <col min="9035" max="9035" width="21.140625" style="18" bestFit="1" customWidth="1"/>
    <col min="9036" max="9036" width="20.5703125" style="18" bestFit="1" customWidth="1"/>
    <col min="9037" max="9037" width="19.42578125" style="18" bestFit="1" customWidth="1"/>
    <col min="9038" max="9038" width="18.5703125" style="18" bestFit="1" customWidth="1"/>
    <col min="9039" max="9039" width="20.5703125" style="18" bestFit="1" customWidth="1"/>
    <col min="9040" max="9040" width="21.28515625" style="18" bestFit="1" customWidth="1"/>
    <col min="9041" max="9041" width="15.42578125" style="18" customWidth="1"/>
    <col min="9042" max="9042" width="20.7109375" style="18" customWidth="1"/>
    <col min="9043" max="9043" width="21.28515625" style="18" customWidth="1"/>
    <col min="9044" max="9044" width="14.85546875" style="18" bestFit="1" customWidth="1"/>
    <col min="9045" max="9045" width="23" style="18" bestFit="1" customWidth="1"/>
    <col min="9046" max="9046" width="21.28515625" style="18" bestFit="1" customWidth="1"/>
    <col min="9047" max="9047" width="20.28515625" style="18" bestFit="1" customWidth="1"/>
    <col min="9048" max="9048" width="21" style="18" bestFit="1" customWidth="1"/>
    <col min="9049" max="9049" width="18.85546875" style="18" bestFit="1" customWidth="1"/>
    <col min="9050" max="9050" width="80.7109375" style="18" customWidth="1"/>
    <col min="9051" max="9238" width="9.140625" style="18"/>
    <col min="9239" max="9239" width="2.5703125" style="18" customWidth="1"/>
    <col min="9240" max="9240" width="17.85546875" style="18" customWidth="1"/>
    <col min="9241" max="9241" width="41.5703125" style="18" customWidth="1"/>
    <col min="9242" max="9243" width="12" style="18" customWidth="1"/>
    <col min="9244" max="9244" width="17" style="18" customWidth="1"/>
    <col min="9245" max="9245" width="9.7109375" style="18" customWidth="1"/>
    <col min="9246" max="9246" width="12.28515625" style="18" customWidth="1"/>
    <col min="9247" max="9247" width="13.7109375" style="18" customWidth="1"/>
    <col min="9248" max="9248" width="13.5703125" style="18" bestFit="1" customWidth="1"/>
    <col min="9249" max="9249" width="13.5703125" style="18" customWidth="1"/>
    <col min="9250" max="9250" width="21" style="18" customWidth="1"/>
    <col min="9251" max="9254" width="13.42578125" style="18" customWidth="1"/>
    <col min="9255" max="9256" width="19" style="18" customWidth="1"/>
    <col min="9257" max="9257" width="34" style="18" customWidth="1"/>
    <col min="9258" max="9258" width="19" style="18" customWidth="1"/>
    <col min="9259" max="9259" width="20" style="18" bestFit="1" customWidth="1"/>
    <col min="9260" max="9260" width="20.28515625" style="18" bestFit="1" customWidth="1"/>
    <col min="9261" max="9261" width="26.7109375" style="18" customWidth="1"/>
    <col min="9262" max="9262" width="20.85546875" style="18" bestFit="1" customWidth="1"/>
    <col min="9263" max="9263" width="20.85546875" style="18" customWidth="1"/>
    <col min="9264" max="9264" width="18.85546875" style="18" customWidth="1"/>
    <col min="9265" max="9265" width="17.5703125" style="18" customWidth="1"/>
    <col min="9266" max="9267" width="19.42578125" style="18" customWidth="1"/>
    <col min="9268" max="9268" width="20.7109375" style="18" bestFit="1" customWidth="1"/>
    <col min="9269" max="9269" width="80.7109375" style="18" customWidth="1"/>
    <col min="9270" max="9270" width="14.7109375" style="18" bestFit="1" customWidth="1"/>
    <col min="9271" max="9271" width="18.140625" style="18" bestFit="1" customWidth="1"/>
    <col min="9272" max="9272" width="16.7109375" style="18" bestFit="1" customWidth="1"/>
    <col min="9273" max="9273" width="18.5703125" style="18" bestFit="1" customWidth="1"/>
    <col min="9274" max="9274" width="21.28515625" style="18" bestFit="1" customWidth="1"/>
    <col min="9275" max="9275" width="16.28515625" style="18" bestFit="1" customWidth="1"/>
    <col min="9276" max="9276" width="21.140625" style="18" bestFit="1" customWidth="1"/>
    <col min="9277" max="9277" width="19" style="18" bestFit="1" customWidth="1"/>
    <col min="9278" max="9278" width="19.140625" style="18" customWidth="1"/>
    <col min="9279" max="9279" width="16.7109375" style="18" customWidth="1"/>
    <col min="9280" max="9280" width="21.140625" style="18" bestFit="1" customWidth="1"/>
    <col min="9281" max="9281" width="20.42578125" style="18" bestFit="1" customWidth="1"/>
    <col min="9282" max="9282" width="21.140625" style="18" customWidth="1"/>
    <col min="9283" max="9283" width="20.5703125" style="18" bestFit="1" customWidth="1"/>
    <col min="9284" max="9284" width="19.7109375" style="18" bestFit="1" customWidth="1"/>
    <col min="9285" max="9285" width="20.28515625" style="18" customWidth="1"/>
    <col min="9286" max="9286" width="20.85546875" style="18" bestFit="1" customWidth="1"/>
    <col min="9287" max="9287" width="19.5703125" style="18" bestFit="1" customWidth="1"/>
    <col min="9288" max="9288" width="18" style="18" customWidth="1"/>
    <col min="9289" max="9289" width="20" style="18" bestFit="1" customWidth="1"/>
    <col min="9290" max="9290" width="35.7109375" style="18" customWidth="1"/>
    <col min="9291" max="9291" width="21.140625" style="18" bestFit="1" customWidth="1"/>
    <col min="9292" max="9292" width="20.5703125" style="18" bestFit="1" customWidth="1"/>
    <col min="9293" max="9293" width="19.42578125" style="18" bestFit="1" customWidth="1"/>
    <col min="9294" max="9294" width="18.5703125" style="18" bestFit="1" customWidth="1"/>
    <col min="9295" max="9295" width="20.5703125" style="18" bestFit="1" customWidth="1"/>
    <col min="9296" max="9296" width="21.28515625" style="18" bestFit="1" customWidth="1"/>
    <col min="9297" max="9297" width="15.42578125" style="18" customWidth="1"/>
    <col min="9298" max="9298" width="20.7109375" style="18" customWidth="1"/>
    <col min="9299" max="9299" width="21.28515625" style="18" customWidth="1"/>
    <col min="9300" max="9300" width="14.85546875" style="18" bestFit="1" customWidth="1"/>
    <col min="9301" max="9301" width="23" style="18" bestFit="1" customWidth="1"/>
    <col min="9302" max="9302" width="21.28515625" style="18" bestFit="1" customWidth="1"/>
    <col min="9303" max="9303" width="20.28515625" style="18" bestFit="1" customWidth="1"/>
    <col min="9304" max="9304" width="21" style="18" bestFit="1" customWidth="1"/>
    <col min="9305" max="9305" width="18.85546875" style="18" bestFit="1" customWidth="1"/>
    <col min="9306" max="9306" width="80.7109375" style="18" customWidth="1"/>
    <col min="9307" max="9494" width="9.140625" style="18"/>
    <col min="9495" max="9495" width="2.5703125" style="18" customWidth="1"/>
    <col min="9496" max="9496" width="17.85546875" style="18" customWidth="1"/>
    <col min="9497" max="9497" width="41.5703125" style="18" customWidth="1"/>
    <col min="9498" max="9499" width="12" style="18" customWidth="1"/>
    <col min="9500" max="9500" width="17" style="18" customWidth="1"/>
    <col min="9501" max="9501" width="9.7109375" style="18" customWidth="1"/>
    <col min="9502" max="9502" width="12.28515625" style="18" customWidth="1"/>
    <col min="9503" max="9503" width="13.7109375" style="18" customWidth="1"/>
    <col min="9504" max="9504" width="13.5703125" style="18" bestFit="1" customWidth="1"/>
    <col min="9505" max="9505" width="13.5703125" style="18" customWidth="1"/>
    <col min="9506" max="9506" width="21" style="18" customWidth="1"/>
    <col min="9507" max="9510" width="13.42578125" style="18" customWidth="1"/>
    <col min="9511" max="9512" width="19" style="18" customWidth="1"/>
    <col min="9513" max="9513" width="34" style="18" customWidth="1"/>
    <col min="9514" max="9514" width="19" style="18" customWidth="1"/>
    <col min="9515" max="9515" width="20" style="18" bestFit="1" customWidth="1"/>
    <col min="9516" max="9516" width="20.28515625" style="18" bestFit="1" customWidth="1"/>
    <col min="9517" max="9517" width="26.7109375" style="18" customWidth="1"/>
    <col min="9518" max="9518" width="20.85546875" style="18" bestFit="1" customWidth="1"/>
    <col min="9519" max="9519" width="20.85546875" style="18" customWidth="1"/>
    <col min="9520" max="9520" width="18.85546875" style="18" customWidth="1"/>
    <col min="9521" max="9521" width="17.5703125" style="18" customWidth="1"/>
    <col min="9522" max="9523" width="19.42578125" style="18" customWidth="1"/>
    <col min="9524" max="9524" width="20.7109375" style="18" bestFit="1" customWidth="1"/>
    <col min="9525" max="9525" width="80.7109375" style="18" customWidth="1"/>
    <col min="9526" max="9526" width="14.7109375" style="18" bestFit="1" customWidth="1"/>
    <col min="9527" max="9527" width="18.140625" style="18" bestFit="1" customWidth="1"/>
    <col min="9528" max="9528" width="16.7109375" style="18" bestFit="1" customWidth="1"/>
    <col min="9529" max="9529" width="18.5703125" style="18" bestFit="1" customWidth="1"/>
    <col min="9530" max="9530" width="21.28515625" style="18" bestFit="1" customWidth="1"/>
    <col min="9531" max="9531" width="16.28515625" style="18" bestFit="1" customWidth="1"/>
    <col min="9532" max="9532" width="21.140625" style="18" bestFit="1" customWidth="1"/>
    <col min="9533" max="9533" width="19" style="18" bestFit="1" customWidth="1"/>
    <col min="9534" max="9534" width="19.140625" style="18" customWidth="1"/>
    <col min="9535" max="9535" width="16.7109375" style="18" customWidth="1"/>
    <col min="9536" max="9536" width="21.140625" style="18" bestFit="1" customWidth="1"/>
    <col min="9537" max="9537" width="20.42578125" style="18" bestFit="1" customWidth="1"/>
    <col min="9538" max="9538" width="21.140625" style="18" customWidth="1"/>
    <col min="9539" max="9539" width="20.5703125" style="18" bestFit="1" customWidth="1"/>
    <col min="9540" max="9540" width="19.7109375" style="18" bestFit="1" customWidth="1"/>
    <col min="9541" max="9541" width="20.28515625" style="18" customWidth="1"/>
    <col min="9542" max="9542" width="20.85546875" style="18" bestFit="1" customWidth="1"/>
    <col min="9543" max="9543" width="19.5703125" style="18" bestFit="1" customWidth="1"/>
    <col min="9544" max="9544" width="18" style="18" customWidth="1"/>
    <col min="9545" max="9545" width="20" style="18" bestFit="1" customWidth="1"/>
    <col min="9546" max="9546" width="35.7109375" style="18" customWidth="1"/>
    <col min="9547" max="9547" width="21.140625" style="18" bestFit="1" customWidth="1"/>
    <col min="9548" max="9548" width="20.5703125" style="18" bestFit="1" customWidth="1"/>
    <col min="9549" max="9549" width="19.42578125" style="18" bestFit="1" customWidth="1"/>
    <col min="9550" max="9550" width="18.5703125" style="18" bestFit="1" customWidth="1"/>
    <col min="9551" max="9551" width="20.5703125" style="18" bestFit="1" customWidth="1"/>
    <col min="9552" max="9552" width="21.28515625" style="18" bestFit="1" customWidth="1"/>
    <col min="9553" max="9553" width="15.42578125" style="18" customWidth="1"/>
    <col min="9554" max="9554" width="20.7109375" style="18" customWidth="1"/>
    <col min="9555" max="9555" width="21.28515625" style="18" customWidth="1"/>
    <col min="9556" max="9556" width="14.85546875" style="18" bestFit="1" customWidth="1"/>
    <col min="9557" max="9557" width="23" style="18" bestFit="1" customWidth="1"/>
    <col min="9558" max="9558" width="21.28515625" style="18" bestFit="1" customWidth="1"/>
    <col min="9559" max="9559" width="20.28515625" style="18" bestFit="1" customWidth="1"/>
    <col min="9560" max="9560" width="21" style="18" bestFit="1" customWidth="1"/>
    <col min="9561" max="9561" width="18.85546875" style="18" bestFit="1" customWidth="1"/>
    <col min="9562" max="9562" width="80.7109375" style="18" customWidth="1"/>
    <col min="9563" max="9750" width="9.140625" style="18"/>
    <col min="9751" max="9751" width="2.5703125" style="18" customWidth="1"/>
    <col min="9752" max="9752" width="17.85546875" style="18" customWidth="1"/>
    <col min="9753" max="9753" width="41.5703125" style="18" customWidth="1"/>
    <col min="9754" max="9755" width="12" style="18" customWidth="1"/>
    <col min="9756" max="9756" width="17" style="18" customWidth="1"/>
    <col min="9757" max="9757" width="9.7109375" style="18" customWidth="1"/>
    <col min="9758" max="9758" width="12.28515625" style="18" customWidth="1"/>
    <col min="9759" max="9759" width="13.7109375" style="18" customWidth="1"/>
    <col min="9760" max="9760" width="13.5703125" style="18" bestFit="1" customWidth="1"/>
    <col min="9761" max="9761" width="13.5703125" style="18" customWidth="1"/>
    <col min="9762" max="9762" width="21" style="18" customWidth="1"/>
    <col min="9763" max="9766" width="13.42578125" style="18" customWidth="1"/>
    <col min="9767" max="9768" width="19" style="18" customWidth="1"/>
    <col min="9769" max="9769" width="34" style="18" customWidth="1"/>
    <col min="9770" max="9770" width="19" style="18" customWidth="1"/>
    <col min="9771" max="9771" width="20" style="18" bestFit="1" customWidth="1"/>
    <col min="9772" max="9772" width="20.28515625" style="18" bestFit="1" customWidth="1"/>
    <col min="9773" max="9773" width="26.7109375" style="18" customWidth="1"/>
    <col min="9774" max="9774" width="20.85546875" style="18" bestFit="1" customWidth="1"/>
    <col min="9775" max="9775" width="20.85546875" style="18" customWidth="1"/>
    <col min="9776" max="9776" width="18.85546875" style="18" customWidth="1"/>
    <col min="9777" max="9777" width="17.5703125" style="18" customWidth="1"/>
    <col min="9778" max="9779" width="19.42578125" style="18" customWidth="1"/>
    <col min="9780" max="9780" width="20.7109375" style="18" bestFit="1" customWidth="1"/>
    <col min="9781" max="9781" width="80.7109375" style="18" customWidth="1"/>
    <col min="9782" max="9782" width="14.7109375" style="18" bestFit="1" customWidth="1"/>
    <col min="9783" max="9783" width="18.140625" style="18" bestFit="1" customWidth="1"/>
    <col min="9784" max="9784" width="16.7109375" style="18" bestFit="1" customWidth="1"/>
    <col min="9785" max="9785" width="18.5703125" style="18" bestFit="1" customWidth="1"/>
    <col min="9786" max="9786" width="21.28515625" style="18" bestFit="1" customWidth="1"/>
    <col min="9787" max="9787" width="16.28515625" style="18" bestFit="1" customWidth="1"/>
    <col min="9788" max="9788" width="21.140625" style="18" bestFit="1" customWidth="1"/>
    <col min="9789" max="9789" width="19" style="18" bestFit="1" customWidth="1"/>
    <col min="9790" max="9790" width="19.140625" style="18" customWidth="1"/>
    <col min="9791" max="9791" width="16.7109375" style="18" customWidth="1"/>
    <col min="9792" max="9792" width="21.140625" style="18" bestFit="1" customWidth="1"/>
    <col min="9793" max="9793" width="20.42578125" style="18" bestFit="1" customWidth="1"/>
    <col min="9794" max="9794" width="21.140625" style="18" customWidth="1"/>
    <col min="9795" max="9795" width="20.5703125" style="18" bestFit="1" customWidth="1"/>
    <col min="9796" max="9796" width="19.7109375" style="18" bestFit="1" customWidth="1"/>
    <col min="9797" max="9797" width="20.28515625" style="18" customWidth="1"/>
    <col min="9798" max="9798" width="20.85546875" style="18" bestFit="1" customWidth="1"/>
    <col min="9799" max="9799" width="19.5703125" style="18" bestFit="1" customWidth="1"/>
    <col min="9800" max="9800" width="18" style="18" customWidth="1"/>
    <col min="9801" max="9801" width="20" style="18" bestFit="1" customWidth="1"/>
    <col min="9802" max="9802" width="35.7109375" style="18" customWidth="1"/>
    <col min="9803" max="9803" width="21.140625" style="18" bestFit="1" customWidth="1"/>
    <col min="9804" max="9804" width="20.5703125" style="18" bestFit="1" customWidth="1"/>
    <col min="9805" max="9805" width="19.42578125" style="18" bestFit="1" customWidth="1"/>
    <col min="9806" max="9806" width="18.5703125" style="18" bestFit="1" customWidth="1"/>
    <col min="9807" max="9807" width="20.5703125" style="18" bestFit="1" customWidth="1"/>
    <col min="9808" max="9808" width="21.28515625" style="18" bestFit="1" customWidth="1"/>
    <col min="9809" max="9809" width="15.42578125" style="18" customWidth="1"/>
    <col min="9810" max="9810" width="20.7109375" style="18" customWidth="1"/>
    <col min="9811" max="9811" width="21.28515625" style="18" customWidth="1"/>
    <col min="9812" max="9812" width="14.85546875" style="18" bestFit="1" customWidth="1"/>
    <col min="9813" max="9813" width="23" style="18" bestFit="1" customWidth="1"/>
    <col min="9814" max="9814" width="21.28515625" style="18" bestFit="1" customWidth="1"/>
    <col min="9815" max="9815" width="20.28515625" style="18" bestFit="1" customWidth="1"/>
    <col min="9816" max="9816" width="21" style="18" bestFit="1" customWidth="1"/>
    <col min="9817" max="9817" width="18.85546875" style="18" bestFit="1" customWidth="1"/>
    <col min="9818" max="9818" width="80.7109375" style="18" customWidth="1"/>
    <col min="9819" max="10006" width="9.140625" style="18"/>
    <col min="10007" max="10007" width="2.5703125" style="18" customWidth="1"/>
    <col min="10008" max="10008" width="17.85546875" style="18" customWidth="1"/>
    <col min="10009" max="10009" width="41.5703125" style="18" customWidth="1"/>
    <col min="10010" max="10011" width="12" style="18" customWidth="1"/>
    <col min="10012" max="10012" width="17" style="18" customWidth="1"/>
    <col min="10013" max="10013" width="9.7109375" style="18" customWidth="1"/>
    <col min="10014" max="10014" width="12.28515625" style="18" customWidth="1"/>
    <col min="10015" max="10015" width="13.7109375" style="18" customWidth="1"/>
    <col min="10016" max="10016" width="13.5703125" style="18" bestFit="1" customWidth="1"/>
    <col min="10017" max="10017" width="13.5703125" style="18" customWidth="1"/>
    <col min="10018" max="10018" width="21" style="18" customWidth="1"/>
    <col min="10019" max="10022" width="13.42578125" style="18" customWidth="1"/>
    <col min="10023" max="10024" width="19" style="18" customWidth="1"/>
    <col min="10025" max="10025" width="34" style="18" customWidth="1"/>
    <col min="10026" max="10026" width="19" style="18" customWidth="1"/>
    <col min="10027" max="10027" width="20" style="18" bestFit="1" customWidth="1"/>
    <col min="10028" max="10028" width="20.28515625" style="18" bestFit="1" customWidth="1"/>
    <col min="10029" max="10029" width="26.7109375" style="18" customWidth="1"/>
    <col min="10030" max="10030" width="20.85546875" style="18" bestFit="1" customWidth="1"/>
    <col min="10031" max="10031" width="20.85546875" style="18" customWidth="1"/>
    <col min="10032" max="10032" width="18.85546875" style="18" customWidth="1"/>
    <col min="10033" max="10033" width="17.5703125" style="18" customWidth="1"/>
    <col min="10034" max="10035" width="19.42578125" style="18" customWidth="1"/>
    <col min="10036" max="10036" width="20.7109375" style="18" bestFit="1" customWidth="1"/>
    <col min="10037" max="10037" width="80.7109375" style="18" customWidth="1"/>
    <col min="10038" max="10038" width="14.7109375" style="18" bestFit="1" customWidth="1"/>
    <col min="10039" max="10039" width="18.140625" style="18" bestFit="1" customWidth="1"/>
    <col min="10040" max="10040" width="16.7109375" style="18" bestFit="1" customWidth="1"/>
    <col min="10041" max="10041" width="18.5703125" style="18" bestFit="1" customWidth="1"/>
    <col min="10042" max="10042" width="21.28515625" style="18" bestFit="1" customWidth="1"/>
    <col min="10043" max="10043" width="16.28515625" style="18" bestFit="1" customWidth="1"/>
    <col min="10044" max="10044" width="21.140625" style="18" bestFit="1" customWidth="1"/>
    <col min="10045" max="10045" width="19" style="18" bestFit="1" customWidth="1"/>
    <col min="10046" max="10046" width="19.140625" style="18" customWidth="1"/>
    <col min="10047" max="10047" width="16.7109375" style="18" customWidth="1"/>
    <col min="10048" max="10048" width="21.140625" style="18" bestFit="1" customWidth="1"/>
    <col min="10049" max="10049" width="20.42578125" style="18" bestFit="1" customWidth="1"/>
    <col min="10050" max="10050" width="21.140625" style="18" customWidth="1"/>
    <col min="10051" max="10051" width="20.5703125" style="18" bestFit="1" customWidth="1"/>
    <col min="10052" max="10052" width="19.7109375" style="18" bestFit="1" customWidth="1"/>
    <col min="10053" max="10053" width="20.28515625" style="18" customWidth="1"/>
    <col min="10054" max="10054" width="20.85546875" style="18" bestFit="1" customWidth="1"/>
    <col min="10055" max="10055" width="19.5703125" style="18" bestFit="1" customWidth="1"/>
    <col min="10056" max="10056" width="18" style="18" customWidth="1"/>
    <col min="10057" max="10057" width="20" style="18" bestFit="1" customWidth="1"/>
    <col min="10058" max="10058" width="35.7109375" style="18" customWidth="1"/>
    <col min="10059" max="10059" width="21.140625" style="18" bestFit="1" customWidth="1"/>
    <col min="10060" max="10060" width="20.5703125" style="18" bestFit="1" customWidth="1"/>
    <col min="10061" max="10061" width="19.42578125" style="18" bestFit="1" customWidth="1"/>
    <col min="10062" max="10062" width="18.5703125" style="18" bestFit="1" customWidth="1"/>
    <col min="10063" max="10063" width="20.5703125" style="18" bestFit="1" customWidth="1"/>
    <col min="10064" max="10064" width="21.28515625" style="18" bestFit="1" customWidth="1"/>
    <col min="10065" max="10065" width="15.42578125" style="18" customWidth="1"/>
    <col min="10066" max="10066" width="20.7109375" style="18" customWidth="1"/>
    <col min="10067" max="10067" width="21.28515625" style="18" customWidth="1"/>
    <col min="10068" max="10068" width="14.85546875" style="18" bestFit="1" customWidth="1"/>
    <col min="10069" max="10069" width="23" style="18" bestFit="1" customWidth="1"/>
    <col min="10070" max="10070" width="21.28515625" style="18" bestFit="1" customWidth="1"/>
    <col min="10071" max="10071" width="20.28515625" style="18" bestFit="1" customWidth="1"/>
    <col min="10072" max="10072" width="21" style="18" bestFit="1" customWidth="1"/>
    <col min="10073" max="10073" width="18.85546875" style="18" bestFit="1" customWidth="1"/>
    <col min="10074" max="10074" width="80.7109375" style="18" customWidth="1"/>
    <col min="10075" max="10262" width="9.140625" style="18"/>
    <col min="10263" max="10263" width="2.5703125" style="18" customWidth="1"/>
    <col min="10264" max="10264" width="17.85546875" style="18" customWidth="1"/>
    <col min="10265" max="10265" width="41.5703125" style="18" customWidth="1"/>
    <col min="10266" max="10267" width="12" style="18" customWidth="1"/>
    <col min="10268" max="10268" width="17" style="18" customWidth="1"/>
    <col min="10269" max="10269" width="9.7109375" style="18" customWidth="1"/>
    <col min="10270" max="10270" width="12.28515625" style="18" customWidth="1"/>
    <col min="10271" max="10271" width="13.7109375" style="18" customWidth="1"/>
    <col min="10272" max="10272" width="13.5703125" style="18" bestFit="1" customWidth="1"/>
    <col min="10273" max="10273" width="13.5703125" style="18" customWidth="1"/>
    <col min="10274" max="10274" width="21" style="18" customWidth="1"/>
    <col min="10275" max="10278" width="13.42578125" style="18" customWidth="1"/>
    <col min="10279" max="10280" width="19" style="18" customWidth="1"/>
    <col min="10281" max="10281" width="34" style="18" customWidth="1"/>
    <col min="10282" max="10282" width="19" style="18" customWidth="1"/>
    <col min="10283" max="10283" width="20" style="18" bestFit="1" customWidth="1"/>
    <col min="10284" max="10284" width="20.28515625" style="18" bestFit="1" customWidth="1"/>
    <col min="10285" max="10285" width="26.7109375" style="18" customWidth="1"/>
    <col min="10286" max="10286" width="20.85546875" style="18" bestFit="1" customWidth="1"/>
    <col min="10287" max="10287" width="20.85546875" style="18" customWidth="1"/>
    <col min="10288" max="10288" width="18.85546875" style="18" customWidth="1"/>
    <col min="10289" max="10289" width="17.5703125" style="18" customWidth="1"/>
    <col min="10290" max="10291" width="19.42578125" style="18" customWidth="1"/>
    <col min="10292" max="10292" width="20.7109375" style="18" bestFit="1" customWidth="1"/>
    <col min="10293" max="10293" width="80.7109375" style="18" customWidth="1"/>
    <col min="10294" max="10294" width="14.7109375" style="18" bestFit="1" customWidth="1"/>
    <col min="10295" max="10295" width="18.140625" style="18" bestFit="1" customWidth="1"/>
    <col min="10296" max="10296" width="16.7109375" style="18" bestFit="1" customWidth="1"/>
    <col min="10297" max="10297" width="18.5703125" style="18" bestFit="1" customWidth="1"/>
    <col min="10298" max="10298" width="21.28515625" style="18" bestFit="1" customWidth="1"/>
    <col min="10299" max="10299" width="16.28515625" style="18" bestFit="1" customWidth="1"/>
    <col min="10300" max="10300" width="21.140625" style="18" bestFit="1" customWidth="1"/>
    <col min="10301" max="10301" width="19" style="18" bestFit="1" customWidth="1"/>
    <col min="10302" max="10302" width="19.140625" style="18" customWidth="1"/>
    <col min="10303" max="10303" width="16.7109375" style="18" customWidth="1"/>
    <col min="10304" max="10304" width="21.140625" style="18" bestFit="1" customWidth="1"/>
    <col min="10305" max="10305" width="20.42578125" style="18" bestFit="1" customWidth="1"/>
    <col min="10306" max="10306" width="21.140625" style="18" customWidth="1"/>
    <col min="10307" max="10307" width="20.5703125" style="18" bestFit="1" customWidth="1"/>
    <col min="10308" max="10308" width="19.7109375" style="18" bestFit="1" customWidth="1"/>
    <col min="10309" max="10309" width="20.28515625" style="18" customWidth="1"/>
    <col min="10310" max="10310" width="20.85546875" style="18" bestFit="1" customWidth="1"/>
    <col min="10311" max="10311" width="19.5703125" style="18" bestFit="1" customWidth="1"/>
    <col min="10312" max="10312" width="18" style="18" customWidth="1"/>
    <col min="10313" max="10313" width="20" style="18" bestFit="1" customWidth="1"/>
    <col min="10314" max="10314" width="35.7109375" style="18" customWidth="1"/>
    <col min="10315" max="10315" width="21.140625" style="18" bestFit="1" customWidth="1"/>
    <col min="10316" max="10316" width="20.5703125" style="18" bestFit="1" customWidth="1"/>
    <col min="10317" max="10317" width="19.42578125" style="18" bestFit="1" customWidth="1"/>
    <col min="10318" max="10318" width="18.5703125" style="18" bestFit="1" customWidth="1"/>
    <col min="10319" max="10319" width="20.5703125" style="18" bestFit="1" customWidth="1"/>
    <col min="10320" max="10320" width="21.28515625" style="18" bestFit="1" customWidth="1"/>
    <col min="10321" max="10321" width="15.42578125" style="18" customWidth="1"/>
    <col min="10322" max="10322" width="20.7109375" style="18" customWidth="1"/>
    <col min="10323" max="10323" width="21.28515625" style="18" customWidth="1"/>
    <col min="10324" max="10324" width="14.85546875" style="18" bestFit="1" customWidth="1"/>
    <col min="10325" max="10325" width="23" style="18" bestFit="1" customWidth="1"/>
    <col min="10326" max="10326" width="21.28515625" style="18" bestFit="1" customWidth="1"/>
    <col min="10327" max="10327" width="20.28515625" style="18" bestFit="1" customWidth="1"/>
    <col min="10328" max="10328" width="21" style="18" bestFit="1" customWidth="1"/>
    <col min="10329" max="10329" width="18.85546875" style="18" bestFit="1" customWidth="1"/>
    <col min="10330" max="10330" width="80.7109375" style="18" customWidth="1"/>
    <col min="10331" max="10518" width="9.140625" style="18"/>
    <col min="10519" max="10519" width="2.5703125" style="18" customWidth="1"/>
    <col min="10520" max="10520" width="17.85546875" style="18" customWidth="1"/>
    <col min="10521" max="10521" width="41.5703125" style="18" customWidth="1"/>
    <col min="10522" max="10523" width="12" style="18" customWidth="1"/>
    <col min="10524" max="10524" width="17" style="18" customWidth="1"/>
    <col min="10525" max="10525" width="9.7109375" style="18" customWidth="1"/>
    <col min="10526" max="10526" width="12.28515625" style="18" customWidth="1"/>
    <col min="10527" max="10527" width="13.7109375" style="18" customWidth="1"/>
    <col min="10528" max="10528" width="13.5703125" style="18" bestFit="1" customWidth="1"/>
    <col min="10529" max="10529" width="13.5703125" style="18" customWidth="1"/>
    <col min="10530" max="10530" width="21" style="18" customWidth="1"/>
    <col min="10531" max="10534" width="13.42578125" style="18" customWidth="1"/>
    <col min="10535" max="10536" width="19" style="18" customWidth="1"/>
    <col min="10537" max="10537" width="34" style="18" customWidth="1"/>
    <col min="10538" max="10538" width="19" style="18" customWidth="1"/>
    <col min="10539" max="10539" width="20" style="18" bestFit="1" customWidth="1"/>
    <col min="10540" max="10540" width="20.28515625" style="18" bestFit="1" customWidth="1"/>
    <col min="10541" max="10541" width="26.7109375" style="18" customWidth="1"/>
    <col min="10542" max="10542" width="20.85546875" style="18" bestFit="1" customWidth="1"/>
    <col min="10543" max="10543" width="20.85546875" style="18" customWidth="1"/>
    <col min="10544" max="10544" width="18.85546875" style="18" customWidth="1"/>
    <col min="10545" max="10545" width="17.5703125" style="18" customWidth="1"/>
    <col min="10546" max="10547" width="19.42578125" style="18" customWidth="1"/>
    <col min="10548" max="10548" width="20.7109375" style="18" bestFit="1" customWidth="1"/>
    <col min="10549" max="10549" width="80.7109375" style="18" customWidth="1"/>
    <col min="10550" max="10550" width="14.7109375" style="18" bestFit="1" customWidth="1"/>
    <col min="10551" max="10551" width="18.140625" style="18" bestFit="1" customWidth="1"/>
    <col min="10552" max="10552" width="16.7109375" style="18" bestFit="1" customWidth="1"/>
    <col min="10553" max="10553" width="18.5703125" style="18" bestFit="1" customWidth="1"/>
    <col min="10554" max="10554" width="21.28515625" style="18" bestFit="1" customWidth="1"/>
    <col min="10555" max="10555" width="16.28515625" style="18" bestFit="1" customWidth="1"/>
    <col min="10556" max="10556" width="21.140625" style="18" bestFit="1" customWidth="1"/>
    <col min="10557" max="10557" width="19" style="18" bestFit="1" customWidth="1"/>
    <col min="10558" max="10558" width="19.140625" style="18" customWidth="1"/>
    <col min="10559" max="10559" width="16.7109375" style="18" customWidth="1"/>
    <col min="10560" max="10560" width="21.140625" style="18" bestFit="1" customWidth="1"/>
    <col min="10561" max="10561" width="20.42578125" style="18" bestFit="1" customWidth="1"/>
    <col min="10562" max="10562" width="21.140625" style="18" customWidth="1"/>
    <col min="10563" max="10563" width="20.5703125" style="18" bestFit="1" customWidth="1"/>
    <col min="10564" max="10564" width="19.7109375" style="18" bestFit="1" customWidth="1"/>
    <col min="10565" max="10565" width="20.28515625" style="18" customWidth="1"/>
    <col min="10566" max="10566" width="20.85546875" style="18" bestFit="1" customWidth="1"/>
    <col min="10567" max="10567" width="19.5703125" style="18" bestFit="1" customWidth="1"/>
    <col min="10568" max="10568" width="18" style="18" customWidth="1"/>
    <col min="10569" max="10569" width="20" style="18" bestFit="1" customWidth="1"/>
    <col min="10570" max="10570" width="35.7109375" style="18" customWidth="1"/>
    <col min="10571" max="10571" width="21.140625" style="18" bestFit="1" customWidth="1"/>
    <col min="10572" max="10572" width="20.5703125" style="18" bestFit="1" customWidth="1"/>
    <col min="10573" max="10573" width="19.42578125" style="18" bestFit="1" customWidth="1"/>
    <col min="10574" max="10574" width="18.5703125" style="18" bestFit="1" customWidth="1"/>
    <col min="10575" max="10575" width="20.5703125" style="18" bestFit="1" customWidth="1"/>
    <col min="10576" max="10576" width="21.28515625" style="18" bestFit="1" customWidth="1"/>
    <col min="10577" max="10577" width="15.42578125" style="18" customWidth="1"/>
    <col min="10578" max="10578" width="20.7109375" style="18" customWidth="1"/>
    <col min="10579" max="10579" width="21.28515625" style="18" customWidth="1"/>
    <col min="10580" max="10580" width="14.85546875" style="18" bestFit="1" customWidth="1"/>
    <col min="10581" max="10581" width="23" style="18" bestFit="1" customWidth="1"/>
    <col min="10582" max="10582" width="21.28515625" style="18" bestFit="1" customWidth="1"/>
    <col min="10583" max="10583" width="20.28515625" style="18" bestFit="1" customWidth="1"/>
    <col min="10584" max="10584" width="21" style="18" bestFit="1" customWidth="1"/>
    <col min="10585" max="10585" width="18.85546875" style="18" bestFit="1" customWidth="1"/>
    <col min="10586" max="10586" width="80.7109375" style="18" customWidth="1"/>
    <col min="10587" max="10774" width="9.140625" style="18"/>
    <col min="10775" max="10775" width="2.5703125" style="18" customWidth="1"/>
    <col min="10776" max="10776" width="17.85546875" style="18" customWidth="1"/>
    <col min="10777" max="10777" width="41.5703125" style="18" customWidth="1"/>
    <col min="10778" max="10779" width="12" style="18" customWidth="1"/>
    <col min="10780" max="10780" width="17" style="18" customWidth="1"/>
    <col min="10781" max="10781" width="9.7109375" style="18" customWidth="1"/>
    <col min="10782" max="10782" width="12.28515625" style="18" customWidth="1"/>
    <col min="10783" max="10783" width="13.7109375" style="18" customWidth="1"/>
    <col min="10784" max="10784" width="13.5703125" style="18" bestFit="1" customWidth="1"/>
    <col min="10785" max="10785" width="13.5703125" style="18" customWidth="1"/>
    <col min="10786" max="10786" width="21" style="18" customWidth="1"/>
    <col min="10787" max="10790" width="13.42578125" style="18" customWidth="1"/>
    <col min="10791" max="10792" width="19" style="18" customWidth="1"/>
    <col min="10793" max="10793" width="34" style="18" customWidth="1"/>
    <col min="10794" max="10794" width="19" style="18" customWidth="1"/>
    <col min="10795" max="10795" width="20" style="18" bestFit="1" customWidth="1"/>
    <col min="10796" max="10796" width="20.28515625" style="18" bestFit="1" customWidth="1"/>
    <col min="10797" max="10797" width="26.7109375" style="18" customWidth="1"/>
    <col min="10798" max="10798" width="20.85546875" style="18" bestFit="1" customWidth="1"/>
    <col min="10799" max="10799" width="20.85546875" style="18" customWidth="1"/>
    <col min="10800" max="10800" width="18.85546875" style="18" customWidth="1"/>
    <col min="10801" max="10801" width="17.5703125" style="18" customWidth="1"/>
    <col min="10802" max="10803" width="19.42578125" style="18" customWidth="1"/>
    <col min="10804" max="10804" width="20.7109375" style="18" bestFit="1" customWidth="1"/>
    <col min="10805" max="10805" width="80.7109375" style="18" customWidth="1"/>
    <col min="10806" max="10806" width="14.7109375" style="18" bestFit="1" customWidth="1"/>
    <col min="10807" max="10807" width="18.140625" style="18" bestFit="1" customWidth="1"/>
    <col min="10808" max="10808" width="16.7109375" style="18" bestFit="1" customWidth="1"/>
    <col min="10809" max="10809" width="18.5703125" style="18" bestFit="1" customWidth="1"/>
    <col min="10810" max="10810" width="21.28515625" style="18" bestFit="1" customWidth="1"/>
    <col min="10811" max="10811" width="16.28515625" style="18" bestFit="1" customWidth="1"/>
    <col min="10812" max="10812" width="21.140625" style="18" bestFit="1" customWidth="1"/>
    <col min="10813" max="10813" width="19" style="18" bestFit="1" customWidth="1"/>
    <col min="10814" max="10814" width="19.140625" style="18" customWidth="1"/>
    <col min="10815" max="10815" width="16.7109375" style="18" customWidth="1"/>
    <col min="10816" max="10816" width="21.140625" style="18" bestFit="1" customWidth="1"/>
    <col min="10817" max="10817" width="20.42578125" style="18" bestFit="1" customWidth="1"/>
    <col min="10818" max="10818" width="21.140625" style="18" customWidth="1"/>
    <col min="10819" max="10819" width="20.5703125" style="18" bestFit="1" customWidth="1"/>
    <col min="10820" max="10820" width="19.7109375" style="18" bestFit="1" customWidth="1"/>
    <col min="10821" max="10821" width="20.28515625" style="18" customWidth="1"/>
    <col min="10822" max="10822" width="20.85546875" style="18" bestFit="1" customWidth="1"/>
    <col min="10823" max="10823" width="19.5703125" style="18" bestFit="1" customWidth="1"/>
    <col min="10824" max="10824" width="18" style="18" customWidth="1"/>
    <col min="10825" max="10825" width="20" style="18" bestFit="1" customWidth="1"/>
    <col min="10826" max="10826" width="35.7109375" style="18" customWidth="1"/>
    <col min="10827" max="10827" width="21.140625" style="18" bestFit="1" customWidth="1"/>
    <col min="10828" max="10828" width="20.5703125" style="18" bestFit="1" customWidth="1"/>
    <col min="10829" max="10829" width="19.42578125" style="18" bestFit="1" customWidth="1"/>
    <col min="10830" max="10830" width="18.5703125" style="18" bestFit="1" customWidth="1"/>
    <col min="10831" max="10831" width="20.5703125" style="18" bestFit="1" customWidth="1"/>
    <col min="10832" max="10832" width="21.28515625" style="18" bestFit="1" customWidth="1"/>
    <col min="10833" max="10833" width="15.42578125" style="18" customWidth="1"/>
    <col min="10834" max="10834" width="20.7109375" style="18" customWidth="1"/>
    <col min="10835" max="10835" width="21.28515625" style="18" customWidth="1"/>
    <col min="10836" max="10836" width="14.85546875" style="18" bestFit="1" customWidth="1"/>
    <col min="10837" max="10837" width="23" style="18" bestFit="1" customWidth="1"/>
    <col min="10838" max="10838" width="21.28515625" style="18" bestFit="1" customWidth="1"/>
    <col min="10839" max="10839" width="20.28515625" style="18" bestFit="1" customWidth="1"/>
    <col min="10840" max="10840" width="21" style="18" bestFit="1" customWidth="1"/>
    <col min="10841" max="10841" width="18.85546875" style="18" bestFit="1" customWidth="1"/>
    <col min="10842" max="10842" width="80.7109375" style="18" customWidth="1"/>
    <col min="10843" max="11030" width="9.140625" style="18"/>
    <col min="11031" max="11031" width="2.5703125" style="18" customWidth="1"/>
    <col min="11032" max="11032" width="17.85546875" style="18" customWidth="1"/>
    <col min="11033" max="11033" width="41.5703125" style="18" customWidth="1"/>
    <col min="11034" max="11035" width="12" style="18" customWidth="1"/>
    <col min="11036" max="11036" width="17" style="18" customWidth="1"/>
    <col min="11037" max="11037" width="9.7109375" style="18" customWidth="1"/>
    <col min="11038" max="11038" width="12.28515625" style="18" customWidth="1"/>
    <col min="11039" max="11039" width="13.7109375" style="18" customWidth="1"/>
    <col min="11040" max="11040" width="13.5703125" style="18" bestFit="1" customWidth="1"/>
    <col min="11041" max="11041" width="13.5703125" style="18" customWidth="1"/>
    <col min="11042" max="11042" width="21" style="18" customWidth="1"/>
    <col min="11043" max="11046" width="13.42578125" style="18" customWidth="1"/>
    <col min="11047" max="11048" width="19" style="18" customWidth="1"/>
    <col min="11049" max="11049" width="34" style="18" customWidth="1"/>
    <col min="11050" max="11050" width="19" style="18" customWidth="1"/>
    <col min="11051" max="11051" width="20" style="18" bestFit="1" customWidth="1"/>
    <col min="11052" max="11052" width="20.28515625" style="18" bestFit="1" customWidth="1"/>
    <col min="11053" max="11053" width="26.7109375" style="18" customWidth="1"/>
    <col min="11054" max="11054" width="20.85546875" style="18" bestFit="1" customWidth="1"/>
    <col min="11055" max="11055" width="20.85546875" style="18" customWidth="1"/>
    <col min="11056" max="11056" width="18.85546875" style="18" customWidth="1"/>
    <col min="11057" max="11057" width="17.5703125" style="18" customWidth="1"/>
    <col min="11058" max="11059" width="19.42578125" style="18" customWidth="1"/>
    <col min="11060" max="11060" width="20.7109375" style="18" bestFit="1" customWidth="1"/>
    <col min="11061" max="11061" width="80.7109375" style="18" customWidth="1"/>
    <col min="11062" max="11062" width="14.7109375" style="18" bestFit="1" customWidth="1"/>
    <col min="11063" max="11063" width="18.140625" style="18" bestFit="1" customWidth="1"/>
    <col min="11064" max="11064" width="16.7109375" style="18" bestFit="1" customWidth="1"/>
    <col min="11065" max="11065" width="18.5703125" style="18" bestFit="1" customWidth="1"/>
    <col min="11066" max="11066" width="21.28515625" style="18" bestFit="1" customWidth="1"/>
    <col min="11067" max="11067" width="16.28515625" style="18" bestFit="1" customWidth="1"/>
    <col min="11068" max="11068" width="21.140625" style="18" bestFit="1" customWidth="1"/>
    <col min="11069" max="11069" width="19" style="18" bestFit="1" customWidth="1"/>
    <col min="11070" max="11070" width="19.140625" style="18" customWidth="1"/>
    <col min="11071" max="11071" width="16.7109375" style="18" customWidth="1"/>
    <col min="11072" max="11072" width="21.140625" style="18" bestFit="1" customWidth="1"/>
    <col min="11073" max="11073" width="20.42578125" style="18" bestFit="1" customWidth="1"/>
    <col min="11074" max="11074" width="21.140625" style="18" customWidth="1"/>
    <col min="11075" max="11075" width="20.5703125" style="18" bestFit="1" customWidth="1"/>
    <col min="11076" max="11076" width="19.7109375" style="18" bestFit="1" customWidth="1"/>
    <col min="11077" max="11077" width="20.28515625" style="18" customWidth="1"/>
    <col min="11078" max="11078" width="20.85546875" style="18" bestFit="1" customWidth="1"/>
    <col min="11079" max="11079" width="19.5703125" style="18" bestFit="1" customWidth="1"/>
    <col min="11080" max="11080" width="18" style="18" customWidth="1"/>
    <col min="11081" max="11081" width="20" style="18" bestFit="1" customWidth="1"/>
    <col min="11082" max="11082" width="35.7109375" style="18" customWidth="1"/>
    <col min="11083" max="11083" width="21.140625" style="18" bestFit="1" customWidth="1"/>
    <col min="11084" max="11084" width="20.5703125" style="18" bestFit="1" customWidth="1"/>
    <col min="11085" max="11085" width="19.42578125" style="18" bestFit="1" customWidth="1"/>
    <col min="11086" max="11086" width="18.5703125" style="18" bestFit="1" customWidth="1"/>
    <col min="11087" max="11087" width="20.5703125" style="18" bestFit="1" customWidth="1"/>
    <col min="11088" max="11088" width="21.28515625" style="18" bestFit="1" customWidth="1"/>
    <col min="11089" max="11089" width="15.42578125" style="18" customWidth="1"/>
    <col min="11090" max="11090" width="20.7109375" style="18" customWidth="1"/>
    <col min="11091" max="11091" width="21.28515625" style="18" customWidth="1"/>
    <col min="11092" max="11092" width="14.85546875" style="18" bestFit="1" customWidth="1"/>
    <col min="11093" max="11093" width="23" style="18" bestFit="1" customWidth="1"/>
    <col min="11094" max="11094" width="21.28515625" style="18" bestFit="1" customWidth="1"/>
    <col min="11095" max="11095" width="20.28515625" style="18" bestFit="1" customWidth="1"/>
    <col min="11096" max="11096" width="21" style="18" bestFit="1" customWidth="1"/>
    <col min="11097" max="11097" width="18.85546875" style="18" bestFit="1" customWidth="1"/>
    <col min="11098" max="11098" width="80.7109375" style="18" customWidth="1"/>
    <col min="11099" max="11286" width="9.140625" style="18"/>
    <col min="11287" max="11287" width="2.5703125" style="18" customWidth="1"/>
    <col min="11288" max="11288" width="17.85546875" style="18" customWidth="1"/>
    <col min="11289" max="11289" width="41.5703125" style="18" customWidth="1"/>
    <col min="11290" max="11291" width="12" style="18" customWidth="1"/>
    <col min="11292" max="11292" width="17" style="18" customWidth="1"/>
    <col min="11293" max="11293" width="9.7109375" style="18" customWidth="1"/>
    <col min="11294" max="11294" width="12.28515625" style="18" customWidth="1"/>
    <col min="11295" max="11295" width="13.7109375" style="18" customWidth="1"/>
    <col min="11296" max="11296" width="13.5703125" style="18" bestFit="1" customWidth="1"/>
    <col min="11297" max="11297" width="13.5703125" style="18" customWidth="1"/>
    <col min="11298" max="11298" width="21" style="18" customWidth="1"/>
    <col min="11299" max="11302" width="13.42578125" style="18" customWidth="1"/>
    <col min="11303" max="11304" width="19" style="18" customWidth="1"/>
    <col min="11305" max="11305" width="34" style="18" customWidth="1"/>
    <col min="11306" max="11306" width="19" style="18" customWidth="1"/>
    <col min="11307" max="11307" width="20" style="18" bestFit="1" customWidth="1"/>
    <col min="11308" max="11308" width="20.28515625" style="18" bestFit="1" customWidth="1"/>
    <col min="11309" max="11309" width="26.7109375" style="18" customWidth="1"/>
    <col min="11310" max="11310" width="20.85546875" style="18" bestFit="1" customWidth="1"/>
    <col min="11311" max="11311" width="20.85546875" style="18" customWidth="1"/>
    <col min="11312" max="11312" width="18.85546875" style="18" customWidth="1"/>
    <col min="11313" max="11313" width="17.5703125" style="18" customWidth="1"/>
    <col min="11314" max="11315" width="19.42578125" style="18" customWidth="1"/>
    <col min="11316" max="11316" width="20.7109375" style="18" bestFit="1" customWidth="1"/>
    <col min="11317" max="11317" width="80.7109375" style="18" customWidth="1"/>
    <col min="11318" max="11318" width="14.7109375" style="18" bestFit="1" customWidth="1"/>
    <col min="11319" max="11319" width="18.140625" style="18" bestFit="1" customWidth="1"/>
    <col min="11320" max="11320" width="16.7109375" style="18" bestFit="1" customWidth="1"/>
    <col min="11321" max="11321" width="18.5703125" style="18" bestFit="1" customWidth="1"/>
    <col min="11322" max="11322" width="21.28515625" style="18" bestFit="1" customWidth="1"/>
    <col min="11323" max="11323" width="16.28515625" style="18" bestFit="1" customWidth="1"/>
    <col min="11324" max="11324" width="21.140625" style="18" bestFit="1" customWidth="1"/>
    <col min="11325" max="11325" width="19" style="18" bestFit="1" customWidth="1"/>
    <col min="11326" max="11326" width="19.140625" style="18" customWidth="1"/>
    <col min="11327" max="11327" width="16.7109375" style="18" customWidth="1"/>
    <col min="11328" max="11328" width="21.140625" style="18" bestFit="1" customWidth="1"/>
    <col min="11329" max="11329" width="20.42578125" style="18" bestFit="1" customWidth="1"/>
    <col min="11330" max="11330" width="21.140625" style="18" customWidth="1"/>
    <col min="11331" max="11331" width="20.5703125" style="18" bestFit="1" customWidth="1"/>
    <col min="11332" max="11332" width="19.7109375" style="18" bestFit="1" customWidth="1"/>
    <col min="11333" max="11333" width="20.28515625" style="18" customWidth="1"/>
    <col min="11334" max="11334" width="20.85546875" style="18" bestFit="1" customWidth="1"/>
    <col min="11335" max="11335" width="19.5703125" style="18" bestFit="1" customWidth="1"/>
    <col min="11336" max="11336" width="18" style="18" customWidth="1"/>
    <col min="11337" max="11337" width="20" style="18" bestFit="1" customWidth="1"/>
    <col min="11338" max="11338" width="35.7109375" style="18" customWidth="1"/>
    <col min="11339" max="11339" width="21.140625" style="18" bestFit="1" customWidth="1"/>
    <col min="11340" max="11340" width="20.5703125" style="18" bestFit="1" customWidth="1"/>
    <col min="11341" max="11341" width="19.42578125" style="18" bestFit="1" customWidth="1"/>
    <col min="11342" max="11342" width="18.5703125" style="18" bestFit="1" customWidth="1"/>
    <col min="11343" max="11343" width="20.5703125" style="18" bestFit="1" customWidth="1"/>
    <col min="11344" max="11344" width="21.28515625" style="18" bestFit="1" customWidth="1"/>
    <col min="11345" max="11345" width="15.42578125" style="18" customWidth="1"/>
    <col min="11346" max="11346" width="20.7109375" style="18" customWidth="1"/>
    <col min="11347" max="11347" width="21.28515625" style="18" customWidth="1"/>
    <col min="11348" max="11348" width="14.85546875" style="18" bestFit="1" customWidth="1"/>
    <col min="11349" max="11349" width="23" style="18" bestFit="1" customWidth="1"/>
    <col min="11350" max="11350" width="21.28515625" style="18" bestFit="1" customWidth="1"/>
    <col min="11351" max="11351" width="20.28515625" style="18" bestFit="1" customWidth="1"/>
    <col min="11352" max="11352" width="21" style="18" bestFit="1" customWidth="1"/>
    <col min="11353" max="11353" width="18.85546875" style="18" bestFit="1" customWidth="1"/>
    <col min="11354" max="11354" width="80.7109375" style="18" customWidth="1"/>
    <col min="11355" max="11542" width="9.140625" style="18"/>
    <col min="11543" max="11543" width="2.5703125" style="18" customWidth="1"/>
    <col min="11544" max="11544" width="17.85546875" style="18" customWidth="1"/>
    <col min="11545" max="11545" width="41.5703125" style="18" customWidth="1"/>
    <col min="11546" max="11547" width="12" style="18" customWidth="1"/>
    <col min="11548" max="11548" width="17" style="18" customWidth="1"/>
    <col min="11549" max="11549" width="9.7109375" style="18" customWidth="1"/>
    <col min="11550" max="11550" width="12.28515625" style="18" customWidth="1"/>
    <col min="11551" max="11551" width="13.7109375" style="18" customWidth="1"/>
    <col min="11552" max="11552" width="13.5703125" style="18" bestFit="1" customWidth="1"/>
    <col min="11553" max="11553" width="13.5703125" style="18" customWidth="1"/>
    <col min="11554" max="11554" width="21" style="18" customWidth="1"/>
    <col min="11555" max="11558" width="13.42578125" style="18" customWidth="1"/>
    <col min="11559" max="11560" width="19" style="18" customWidth="1"/>
    <col min="11561" max="11561" width="34" style="18" customWidth="1"/>
    <col min="11562" max="11562" width="19" style="18" customWidth="1"/>
    <col min="11563" max="11563" width="20" style="18" bestFit="1" customWidth="1"/>
    <col min="11564" max="11564" width="20.28515625" style="18" bestFit="1" customWidth="1"/>
    <col min="11565" max="11565" width="26.7109375" style="18" customWidth="1"/>
    <col min="11566" max="11566" width="20.85546875" style="18" bestFit="1" customWidth="1"/>
    <col min="11567" max="11567" width="20.85546875" style="18" customWidth="1"/>
    <col min="11568" max="11568" width="18.85546875" style="18" customWidth="1"/>
    <col min="11569" max="11569" width="17.5703125" style="18" customWidth="1"/>
    <col min="11570" max="11571" width="19.42578125" style="18" customWidth="1"/>
    <col min="11572" max="11572" width="20.7109375" style="18" bestFit="1" customWidth="1"/>
    <col min="11573" max="11573" width="80.7109375" style="18" customWidth="1"/>
    <col min="11574" max="11574" width="14.7109375" style="18" bestFit="1" customWidth="1"/>
    <col min="11575" max="11575" width="18.140625" style="18" bestFit="1" customWidth="1"/>
    <col min="11576" max="11576" width="16.7109375" style="18" bestFit="1" customWidth="1"/>
    <col min="11577" max="11577" width="18.5703125" style="18" bestFit="1" customWidth="1"/>
    <col min="11578" max="11578" width="21.28515625" style="18" bestFit="1" customWidth="1"/>
    <col min="11579" max="11579" width="16.28515625" style="18" bestFit="1" customWidth="1"/>
    <col min="11580" max="11580" width="21.140625" style="18" bestFit="1" customWidth="1"/>
    <col min="11581" max="11581" width="19" style="18" bestFit="1" customWidth="1"/>
    <col min="11582" max="11582" width="19.140625" style="18" customWidth="1"/>
    <col min="11583" max="11583" width="16.7109375" style="18" customWidth="1"/>
    <col min="11584" max="11584" width="21.140625" style="18" bestFit="1" customWidth="1"/>
    <col min="11585" max="11585" width="20.42578125" style="18" bestFit="1" customWidth="1"/>
    <col min="11586" max="11586" width="21.140625" style="18" customWidth="1"/>
    <col min="11587" max="11587" width="20.5703125" style="18" bestFit="1" customWidth="1"/>
    <col min="11588" max="11588" width="19.7109375" style="18" bestFit="1" customWidth="1"/>
    <col min="11589" max="11589" width="20.28515625" style="18" customWidth="1"/>
    <col min="11590" max="11590" width="20.85546875" style="18" bestFit="1" customWidth="1"/>
    <col min="11591" max="11591" width="19.5703125" style="18" bestFit="1" customWidth="1"/>
    <col min="11592" max="11592" width="18" style="18" customWidth="1"/>
    <col min="11593" max="11593" width="20" style="18" bestFit="1" customWidth="1"/>
    <col min="11594" max="11594" width="35.7109375" style="18" customWidth="1"/>
    <col min="11595" max="11595" width="21.140625" style="18" bestFit="1" customWidth="1"/>
    <col min="11596" max="11596" width="20.5703125" style="18" bestFit="1" customWidth="1"/>
    <col min="11597" max="11597" width="19.42578125" style="18" bestFit="1" customWidth="1"/>
    <col min="11598" max="11598" width="18.5703125" style="18" bestFit="1" customWidth="1"/>
    <col min="11599" max="11599" width="20.5703125" style="18" bestFit="1" customWidth="1"/>
    <col min="11600" max="11600" width="21.28515625" style="18" bestFit="1" customWidth="1"/>
    <col min="11601" max="11601" width="15.42578125" style="18" customWidth="1"/>
    <col min="11602" max="11602" width="20.7109375" style="18" customWidth="1"/>
    <col min="11603" max="11603" width="21.28515625" style="18" customWidth="1"/>
    <col min="11604" max="11604" width="14.85546875" style="18" bestFit="1" customWidth="1"/>
    <col min="11605" max="11605" width="23" style="18" bestFit="1" customWidth="1"/>
    <col min="11606" max="11606" width="21.28515625" style="18" bestFit="1" customWidth="1"/>
    <col min="11607" max="11607" width="20.28515625" style="18" bestFit="1" customWidth="1"/>
    <col min="11608" max="11608" width="21" style="18" bestFit="1" customWidth="1"/>
    <col min="11609" max="11609" width="18.85546875" style="18" bestFit="1" customWidth="1"/>
    <col min="11610" max="11610" width="80.7109375" style="18" customWidth="1"/>
    <col min="11611" max="11798" width="9.140625" style="18"/>
    <col min="11799" max="11799" width="2.5703125" style="18" customWidth="1"/>
    <col min="11800" max="11800" width="17.85546875" style="18" customWidth="1"/>
    <col min="11801" max="11801" width="41.5703125" style="18" customWidth="1"/>
    <col min="11802" max="11803" width="12" style="18" customWidth="1"/>
    <col min="11804" max="11804" width="17" style="18" customWidth="1"/>
    <col min="11805" max="11805" width="9.7109375" style="18" customWidth="1"/>
    <col min="11806" max="11806" width="12.28515625" style="18" customWidth="1"/>
    <col min="11807" max="11807" width="13.7109375" style="18" customWidth="1"/>
    <col min="11808" max="11808" width="13.5703125" style="18" bestFit="1" customWidth="1"/>
    <col min="11809" max="11809" width="13.5703125" style="18" customWidth="1"/>
    <col min="11810" max="11810" width="21" style="18" customWidth="1"/>
    <col min="11811" max="11814" width="13.42578125" style="18" customWidth="1"/>
    <col min="11815" max="11816" width="19" style="18" customWidth="1"/>
    <col min="11817" max="11817" width="34" style="18" customWidth="1"/>
    <col min="11818" max="11818" width="19" style="18" customWidth="1"/>
    <col min="11819" max="11819" width="20" style="18" bestFit="1" customWidth="1"/>
    <col min="11820" max="11820" width="20.28515625" style="18" bestFit="1" customWidth="1"/>
    <col min="11821" max="11821" width="26.7109375" style="18" customWidth="1"/>
    <col min="11822" max="11822" width="20.85546875" style="18" bestFit="1" customWidth="1"/>
    <col min="11823" max="11823" width="20.85546875" style="18" customWidth="1"/>
    <col min="11824" max="11824" width="18.85546875" style="18" customWidth="1"/>
    <col min="11825" max="11825" width="17.5703125" style="18" customWidth="1"/>
    <col min="11826" max="11827" width="19.42578125" style="18" customWidth="1"/>
    <col min="11828" max="11828" width="20.7109375" style="18" bestFit="1" customWidth="1"/>
    <col min="11829" max="11829" width="80.7109375" style="18" customWidth="1"/>
    <col min="11830" max="11830" width="14.7109375" style="18" bestFit="1" customWidth="1"/>
    <col min="11831" max="11831" width="18.140625" style="18" bestFit="1" customWidth="1"/>
    <col min="11832" max="11832" width="16.7109375" style="18" bestFit="1" customWidth="1"/>
    <col min="11833" max="11833" width="18.5703125" style="18" bestFit="1" customWidth="1"/>
    <col min="11834" max="11834" width="21.28515625" style="18" bestFit="1" customWidth="1"/>
    <col min="11835" max="11835" width="16.28515625" style="18" bestFit="1" customWidth="1"/>
    <col min="11836" max="11836" width="21.140625" style="18" bestFit="1" customWidth="1"/>
    <col min="11837" max="11837" width="19" style="18" bestFit="1" customWidth="1"/>
    <col min="11838" max="11838" width="19.140625" style="18" customWidth="1"/>
    <col min="11839" max="11839" width="16.7109375" style="18" customWidth="1"/>
    <col min="11840" max="11840" width="21.140625" style="18" bestFit="1" customWidth="1"/>
    <col min="11841" max="11841" width="20.42578125" style="18" bestFit="1" customWidth="1"/>
    <col min="11842" max="11842" width="21.140625" style="18" customWidth="1"/>
    <col min="11843" max="11843" width="20.5703125" style="18" bestFit="1" customWidth="1"/>
    <col min="11844" max="11844" width="19.7109375" style="18" bestFit="1" customWidth="1"/>
    <col min="11845" max="11845" width="20.28515625" style="18" customWidth="1"/>
    <col min="11846" max="11846" width="20.85546875" style="18" bestFit="1" customWidth="1"/>
    <col min="11847" max="11847" width="19.5703125" style="18" bestFit="1" customWidth="1"/>
    <col min="11848" max="11848" width="18" style="18" customWidth="1"/>
    <col min="11849" max="11849" width="20" style="18" bestFit="1" customWidth="1"/>
    <col min="11850" max="11850" width="35.7109375" style="18" customWidth="1"/>
    <col min="11851" max="11851" width="21.140625" style="18" bestFit="1" customWidth="1"/>
    <col min="11852" max="11852" width="20.5703125" style="18" bestFit="1" customWidth="1"/>
    <col min="11853" max="11853" width="19.42578125" style="18" bestFit="1" customWidth="1"/>
    <col min="11854" max="11854" width="18.5703125" style="18" bestFit="1" customWidth="1"/>
    <col min="11855" max="11855" width="20.5703125" style="18" bestFit="1" customWidth="1"/>
    <col min="11856" max="11856" width="21.28515625" style="18" bestFit="1" customWidth="1"/>
    <col min="11857" max="11857" width="15.42578125" style="18" customWidth="1"/>
    <col min="11858" max="11858" width="20.7109375" style="18" customWidth="1"/>
    <col min="11859" max="11859" width="21.28515625" style="18" customWidth="1"/>
    <col min="11860" max="11860" width="14.85546875" style="18" bestFit="1" customWidth="1"/>
    <col min="11861" max="11861" width="23" style="18" bestFit="1" customWidth="1"/>
    <col min="11862" max="11862" width="21.28515625" style="18" bestFit="1" customWidth="1"/>
    <col min="11863" max="11863" width="20.28515625" style="18" bestFit="1" customWidth="1"/>
    <col min="11864" max="11864" width="21" style="18" bestFit="1" customWidth="1"/>
    <col min="11865" max="11865" width="18.85546875" style="18" bestFit="1" customWidth="1"/>
    <col min="11866" max="11866" width="80.7109375" style="18" customWidth="1"/>
    <col min="11867" max="12054" width="9.140625" style="18"/>
    <col min="12055" max="12055" width="2.5703125" style="18" customWidth="1"/>
    <col min="12056" max="12056" width="17.85546875" style="18" customWidth="1"/>
    <col min="12057" max="12057" width="41.5703125" style="18" customWidth="1"/>
    <col min="12058" max="12059" width="12" style="18" customWidth="1"/>
    <col min="12060" max="12060" width="17" style="18" customWidth="1"/>
    <col min="12061" max="12061" width="9.7109375" style="18" customWidth="1"/>
    <col min="12062" max="12062" width="12.28515625" style="18" customWidth="1"/>
    <col min="12063" max="12063" width="13.7109375" style="18" customWidth="1"/>
    <col min="12064" max="12064" width="13.5703125" style="18" bestFit="1" customWidth="1"/>
    <col min="12065" max="12065" width="13.5703125" style="18" customWidth="1"/>
    <col min="12066" max="12066" width="21" style="18" customWidth="1"/>
    <col min="12067" max="12070" width="13.42578125" style="18" customWidth="1"/>
    <col min="12071" max="12072" width="19" style="18" customWidth="1"/>
    <col min="12073" max="12073" width="34" style="18" customWidth="1"/>
    <col min="12074" max="12074" width="19" style="18" customWidth="1"/>
    <col min="12075" max="12075" width="20" style="18" bestFit="1" customWidth="1"/>
    <col min="12076" max="12076" width="20.28515625" style="18" bestFit="1" customWidth="1"/>
    <col min="12077" max="12077" width="26.7109375" style="18" customWidth="1"/>
    <col min="12078" max="12078" width="20.85546875" style="18" bestFit="1" customWidth="1"/>
    <col min="12079" max="12079" width="20.85546875" style="18" customWidth="1"/>
    <col min="12080" max="12080" width="18.85546875" style="18" customWidth="1"/>
    <col min="12081" max="12081" width="17.5703125" style="18" customWidth="1"/>
    <col min="12082" max="12083" width="19.42578125" style="18" customWidth="1"/>
    <col min="12084" max="12084" width="20.7109375" style="18" bestFit="1" customWidth="1"/>
    <col min="12085" max="12085" width="80.7109375" style="18" customWidth="1"/>
    <col min="12086" max="12086" width="14.7109375" style="18" bestFit="1" customWidth="1"/>
    <col min="12087" max="12087" width="18.140625" style="18" bestFit="1" customWidth="1"/>
    <col min="12088" max="12088" width="16.7109375" style="18" bestFit="1" customWidth="1"/>
    <col min="12089" max="12089" width="18.5703125" style="18" bestFit="1" customWidth="1"/>
    <col min="12090" max="12090" width="21.28515625" style="18" bestFit="1" customWidth="1"/>
    <col min="12091" max="12091" width="16.28515625" style="18" bestFit="1" customWidth="1"/>
    <col min="12092" max="12092" width="21.140625" style="18" bestFit="1" customWidth="1"/>
    <col min="12093" max="12093" width="19" style="18" bestFit="1" customWidth="1"/>
    <col min="12094" max="12094" width="19.140625" style="18" customWidth="1"/>
    <col min="12095" max="12095" width="16.7109375" style="18" customWidth="1"/>
    <col min="12096" max="12096" width="21.140625" style="18" bestFit="1" customWidth="1"/>
    <col min="12097" max="12097" width="20.42578125" style="18" bestFit="1" customWidth="1"/>
    <col min="12098" max="12098" width="21.140625" style="18" customWidth="1"/>
    <col min="12099" max="12099" width="20.5703125" style="18" bestFit="1" customWidth="1"/>
    <col min="12100" max="12100" width="19.7109375" style="18" bestFit="1" customWidth="1"/>
    <col min="12101" max="12101" width="20.28515625" style="18" customWidth="1"/>
    <col min="12102" max="12102" width="20.85546875" style="18" bestFit="1" customWidth="1"/>
    <col min="12103" max="12103" width="19.5703125" style="18" bestFit="1" customWidth="1"/>
    <col min="12104" max="12104" width="18" style="18" customWidth="1"/>
    <col min="12105" max="12105" width="20" style="18" bestFit="1" customWidth="1"/>
    <col min="12106" max="12106" width="35.7109375" style="18" customWidth="1"/>
    <col min="12107" max="12107" width="21.140625" style="18" bestFit="1" customWidth="1"/>
    <col min="12108" max="12108" width="20.5703125" style="18" bestFit="1" customWidth="1"/>
    <col min="12109" max="12109" width="19.42578125" style="18" bestFit="1" customWidth="1"/>
    <col min="12110" max="12110" width="18.5703125" style="18" bestFit="1" customWidth="1"/>
    <col min="12111" max="12111" width="20.5703125" style="18" bestFit="1" customWidth="1"/>
    <col min="12112" max="12112" width="21.28515625" style="18" bestFit="1" customWidth="1"/>
    <col min="12113" max="12113" width="15.42578125" style="18" customWidth="1"/>
    <col min="12114" max="12114" width="20.7109375" style="18" customWidth="1"/>
    <col min="12115" max="12115" width="21.28515625" style="18" customWidth="1"/>
    <col min="12116" max="12116" width="14.85546875" style="18" bestFit="1" customWidth="1"/>
    <col min="12117" max="12117" width="23" style="18" bestFit="1" customWidth="1"/>
    <col min="12118" max="12118" width="21.28515625" style="18" bestFit="1" customWidth="1"/>
    <col min="12119" max="12119" width="20.28515625" style="18" bestFit="1" customWidth="1"/>
    <col min="12120" max="12120" width="21" style="18" bestFit="1" customWidth="1"/>
    <col min="12121" max="12121" width="18.85546875" style="18" bestFit="1" customWidth="1"/>
    <col min="12122" max="12122" width="80.7109375" style="18" customWidth="1"/>
    <col min="12123" max="12310" width="9.140625" style="18"/>
    <col min="12311" max="12311" width="2.5703125" style="18" customWidth="1"/>
    <col min="12312" max="12312" width="17.85546875" style="18" customWidth="1"/>
    <col min="12313" max="12313" width="41.5703125" style="18" customWidth="1"/>
    <col min="12314" max="12315" width="12" style="18" customWidth="1"/>
    <col min="12316" max="12316" width="17" style="18" customWidth="1"/>
    <col min="12317" max="12317" width="9.7109375" style="18" customWidth="1"/>
    <col min="12318" max="12318" width="12.28515625" style="18" customWidth="1"/>
    <col min="12319" max="12319" width="13.7109375" style="18" customWidth="1"/>
    <col min="12320" max="12320" width="13.5703125" style="18" bestFit="1" customWidth="1"/>
    <col min="12321" max="12321" width="13.5703125" style="18" customWidth="1"/>
    <col min="12322" max="12322" width="21" style="18" customWidth="1"/>
    <col min="12323" max="12326" width="13.42578125" style="18" customWidth="1"/>
    <col min="12327" max="12328" width="19" style="18" customWidth="1"/>
    <col min="12329" max="12329" width="34" style="18" customWidth="1"/>
    <col min="12330" max="12330" width="19" style="18" customWidth="1"/>
    <col min="12331" max="12331" width="20" style="18" bestFit="1" customWidth="1"/>
    <col min="12332" max="12332" width="20.28515625" style="18" bestFit="1" customWidth="1"/>
    <col min="12333" max="12333" width="26.7109375" style="18" customWidth="1"/>
    <col min="12334" max="12334" width="20.85546875" style="18" bestFit="1" customWidth="1"/>
    <col min="12335" max="12335" width="20.85546875" style="18" customWidth="1"/>
    <col min="12336" max="12336" width="18.85546875" style="18" customWidth="1"/>
    <col min="12337" max="12337" width="17.5703125" style="18" customWidth="1"/>
    <col min="12338" max="12339" width="19.42578125" style="18" customWidth="1"/>
    <col min="12340" max="12340" width="20.7109375" style="18" bestFit="1" customWidth="1"/>
    <col min="12341" max="12341" width="80.7109375" style="18" customWidth="1"/>
    <col min="12342" max="12342" width="14.7109375" style="18" bestFit="1" customWidth="1"/>
    <col min="12343" max="12343" width="18.140625" style="18" bestFit="1" customWidth="1"/>
    <col min="12344" max="12344" width="16.7109375" style="18" bestFit="1" customWidth="1"/>
    <col min="12345" max="12345" width="18.5703125" style="18" bestFit="1" customWidth="1"/>
    <col min="12346" max="12346" width="21.28515625" style="18" bestFit="1" customWidth="1"/>
    <col min="12347" max="12347" width="16.28515625" style="18" bestFit="1" customWidth="1"/>
    <col min="12348" max="12348" width="21.140625" style="18" bestFit="1" customWidth="1"/>
    <col min="12349" max="12349" width="19" style="18" bestFit="1" customWidth="1"/>
    <col min="12350" max="12350" width="19.140625" style="18" customWidth="1"/>
    <col min="12351" max="12351" width="16.7109375" style="18" customWidth="1"/>
    <col min="12352" max="12352" width="21.140625" style="18" bestFit="1" customWidth="1"/>
    <col min="12353" max="12353" width="20.42578125" style="18" bestFit="1" customWidth="1"/>
    <col min="12354" max="12354" width="21.140625" style="18" customWidth="1"/>
    <col min="12355" max="12355" width="20.5703125" style="18" bestFit="1" customWidth="1"/>
    <col min="12356" max="12356" width="19.7109375" style="18" bestFit="1" customWidth="1"/>
    <col min="12357" max="12357" width="20.28515625" style="18" customWidth="1"/>
    <col min="12358" max="12358" width="20.85546875" style="18" bestFit="1" customWidth="1"/>
    <col min="12359" max="12359" width="19.5703125" style="18" bestFit="1" customWidth="1"/>
    <col min="12360" max="12360" width="18" style="18" customWidth="1"/>
    <col min="12361" max="12361" width="20" style="18" bestFit="1" customWidth="1"/>
    <col min="12362" max="12362" width="35.7109375" style="18" customWidth="1"/>
    <col min="12363" max="12363" width="21.140625" style="18" bestFit="1" customWidth="1"/>
    <col min="12364" max="12364" width="20.5703125" style="18" bestFit="1" customWidth="1"/>
    <col min="12365" max="12365" width="19.42578125" style="18" bestFit="1" customWidth="1"/>
    <col min="12366" max="12366" width="18.5703125" style="18" bestFit="1" customWidth="1"/>
    <col min="12367" max="12367" width="20.5703125" style="18" bestFit="1" customWidth="1"/>
    <col min="12368" max="12368" width="21.28515625" style="18" bestFit="1" customWidth="1"/>
    <col min="12369" max="12369" width="15.42578125" style="18" customWidth="1"/>
    <col min="12370" max="12370" width="20.7109375" style="18" customWidth="1"/>
    <col min="12371" max="12371" width="21.28515625" style="18" customWidth="1"/>
    <col min="12372" max="12372" width="14.85546875" style="18" bestFit="1" customWidth="1"/>
    <col min="12373" max="12373" width="23" style="18" bestFit="1" customWidth="1"/>
    <col min="12374" max="12374" width="21.28515625" style="18" bestFit="1" customWidth="1"/>
    <col min="12375" max="12375" width="20.28515625" style="18" bestFit="1" customWidth="1"/>
    <col min="12376" max="12376" width="21" style="18" bestFit="1" customWidth="1"/>
    <col min="12377" max="12377" width="18.85546875" style="18" bestFit="1" customWidth="1"/>
    <col min="12378" max="12378" width="80.7109375" style="18" customWidth="1"/>
    <col min="12379" max="12566" width="9.140625" style="18"/>
    <col min="12567" max="12567" width="2.5703125" style="18" customWidth="1"/>
    <col min="12568" max="12568" width="17.85546875" style="18" customWidth="1"/>
    <col min="12569" max="12569" width="41.5703125" style="18" customWidth="1"/>
    <col min="12570" max="12571" width="12" style="18" customWidth="1"/>
    <col min="12572" max="12572" width="17" style="18" customWidth="1"/>
    <col min="12573" max="12573" width="9.7109375" style="18" customWidth="1"/>
    <col min="12574" max="12574" width="12.28515625" style="18" customWidth="1"/>
    <col min="12575" max="12575" width="13.7109375" style="18" customWidth="1"/>
    <col min="12576" max="12576" width="13.5703125" style="18" bestFit="1" customWidth="1"/>
    <col min="12577" max="12577" width="13.5703125" style="18" customWidth="1"/>
    <col min="12578" max="12578" width="21" style="18" customWidth="1"/>
    <col min="12579" max="12582" width="13.42578125" style="18" customWidth="1"/>
    <col min="12583" max="12584" width="19" style="18" customWidth="1"/>
    <col min="12585" max="12585" width="34" style="18" customWidth="1"/>
    <col min="12586" max="12586" width="19" style="18" customWidth="1"/>
    <col min="12587" max="12587" width="20" style="18" bestFit="1" customWidth="1"/>
    <col min="12588" max="12588" width="20.28515625" style="18" bestFit="1" customWidth="1"/>
    <col min="12589" max="12589" width="26.7109375" style="18" customWidth="1"/>
    <col min="12590" max="12590" width="20.85546875" style="18" bestFit="1" customWidth="1"/>
    <col min="12591" max="12591" width="20.85546875" style="18" customWidth="1"/>
    <col min="12592" max="12592" width="18.85546875" style="18" customWidth="1"/>
    <col min="12593" max="12593" width="17.5703125" style="18" customWidth="1"/>
    <col min="12594" max="12595" width="19.42578125" style="18" customWidth="1"/>
    <col min="12596" max="12596" width="20.7109375" style="18" bestFit="1" customWidth="1"/>
    <col min="12597" max="12597" width="80.7109375" style="18" customWidth="1"/>
    <col min="12598" max="12598" width="14.7109375" style="18" bestFit="1" customWidth="1"/>
    <col min="12599" max="12599" width="18.140625" style="18" bestFit="1" customWidth="1"/>
    <col min="12600" max="12600" width="16.7109375" style="18" bestFit="1" customWidth="1"/>
    <col min="12601" max="12601" width="18.5703125" style="18" bestFit="1" customWidth="1"/>
    <col min="12602" max="12602" width="21.28515625" style="18" bestFit="1" customWidth="1"/>
    <col min="12603" max="12603" width="16.28515625" style="18" bestFit="1" customWidth="1"/>
    <col min="12604" max="12604" width="21.140625" style="18" bestFit="1" customWidth="1"/>
    <col min="12605" max="12605" width="19" style="18" bestFit="1" customWidth="1"/>
    <col min="12606" max="12606" width="19.140625" style="18" customWidth="1"/>
    <col min="12607" max="12607" width="16.7109375" style="18" customWidth="1"/>
    <col min="12608" max="12608" width="21.140625" style="18" bestFit="1" customWidth="1"/>
    <col min="12609" max="12609" width="20.42578125" style="18" bestFit="1" customWidth="1"/>
    <col min="12610" max="12610" width="21.140625" style="18" customWidth="1"/>
    <col min="12611" max="12611" width="20.5703125" style="18" bestFit="1" customWidth="1"/>
    <col min="12612" max="12612" width="19.7109375" style="18" bestFit="1" customWidth="1"/>
    <col min="12613" max="12613" width="20.28515625" style="18" customWidth="1"/>
    <col min="12614" max="12614" width="20.85546875" style="18" bestFit="1" customWidth="1"/>
    <col min="12615" max="12615" width="19.5703125" style="18" bestFit="1" customWidth="1"/>
    <col min="12616" max="12616" width="18" style="18" customWidth="1"/>
    <col min="12617" max="12617" width="20" style="18" bestFit="1" customWidth="1"/>
    <col min="12618" max="12618" width="35.7109375" style="18" customWidth="1"/>
    <col min="12619" max="12619" width="21.140625" style="18" bestFit="1" customWidth="1"/>
    <col min="12620" max="12620" width="20.5703125" style="18" bestFit="1" customWidth="1"/>
    <col min="12621" max="12621" width="19.42578125" style="18" bestFit="1" customWidth="1"/>
    <col min="12622" max="12622" width="18.5703125" style="18" bestFit="1" customWidth="1"/>
    <col min="12623" max="12623" width="20.5703125" style="18" bestFit="1" customWidth="1"/>
    <col min="12624" max="12624" width="21.28515625" style="18" bestFit="1" customWidth="1"/>
    <col min="12625" max="12625" width="15.42578125" style="18" customWidth="1"/>
    <col min="12626" max="12626" width="20.7109375" style="18" customWidth="1"/>
    <col min="12627" max="12627" width="21.28515625" style="18" customWidth="1"/>
    <col min="12628" max="12628" width="14.85546875" style="18" bestFit="1" customWidth="1"/>
    <col min="12629" max="12629" width="23" style="18" bestFit="1" customWidth="1"/>
    <col min="12630" max="12630" width="21.28515625" style="18" bestFit="1" customWidth="1"/>
    <col min="12631" max="12631" width="20.28515625" style="18" bestFit="1" customWidth="1"/>
    <col min="12632" max="12632" width="21" style="18" bestFit="1" customWidth="1"/>
    <col min="12633" max="12633" width="18.85546875" style="18" bestFit="1" customWidth="1"/>
    <col min="12634" max="12634" width="80.7109375" style="18" customWidth="1"/>
    <col min="12635" max="12822" width="9.140625" style="18"/>
    <col min="12823" max="12823" width="2.5703125" style="18" customWidth="1"/>
    <col min="12824" max="12824" width="17.85546875" style="18" customWidth="1"/>
    <col min="12825" max="12825" width="41.5703125" style="18" customWidth="1"/>
    <col min="12826" max="12827" width="12" style="18" customWidth="1"/>
    <col min="12828" max="12828" width="17" style="18" customWidth="1"/>
    <col min="12829" max="12829" width="9.7109375" style="18" customWidth="1"/>
    <col min="12830" max="12830" width="12.28515625" style="18" customWidth="1"/>
    <col min="12831" max="12831" width="13.7109375" style="18" customWidth="1"/>
    <col min="12832" max="12832" width="13.5703125" style="18" bestFit="1" customWidth="1"/>
    <col min="12833" max="12833" width="13.5703125" style="18" customWidth="1"/>
    <col min="12834" max="12834" width="21" style="18" customWidth="1"/>
    <col min="12835" max="12838" width="13.42578125" style="18" customWidth="1"/>
    <col min="12839" max="12840" width="19" style="18" customWidth="1"/>
    <col min="12841" max="12841" width="34" style="18" customWidth="1"/>
    <col min="12842" max="12842" width="19" style="18" customWidth="1"/>
    <col min="12843" max="12843" width="20" style="18" bestFit="1" customWidth="1"/>
    <col min="12844" max="12844" width="20.28515625" style="18" bestFit="1" customWidth="1"/>
    <col min="12845" max="12845" width="26.7109375" style="18" customWidth="1"/>
    <col min="12846" max="12846" width="20.85546875" style="18" bestFit="1" customWidth="1"/>
    <col min="12847" max="12847" width="20.85546875" style="18" customWidth="1"/>
    <col min="12848" max="12848" width="18.85546875" style="18" customWidth="1"/>
    <col min="12849" max="12849" width="17.5703125" style="18" customWidth="1"/>
    <col min="12850" max="12851" width="19.42578125" style="18" customWidth="1"/>
    <col min="12852" max="12852" width="20.7109375" style="18" bestFit="1" customWidth="1"/>
    <col min="12853" max="12853" width="80.7109375" style="18" customWidth="1"/>
    <col min="12854" max="12854" width="14.7109375" style="18" bestFit="1" customWidth="1"/>
    <col min="12855" max="12855" width="18.140625" style="18" bestFit="1" customWidth="1"/>
    <col min="12856" max="12856" width="16.7109375" style="18" bestFit="1" customWidth="1"/>
    <col min="12857" max="12857" width="18.5703125" style="18" bestFit="1" customWidth="1"/>
    <col min="12858" max="12858" width="21.28515625" style="18" bestFit="1" customWidth="1"/>
    <col min="12859" max="12859" width="16.28515625" style="18" bestFit="1" customWidth="1"/>
    <col min="12860" max="12860" width="21.140625" style="18" bestFit="1" customWidth="1"/>
    <col min="12861" max="12861" width="19" style="18" bestFit="1" customWidth="1"/>
    <col min="12862" max="12862" width="19.140625" style="18" customWidth="1"/>
    <col min="12863" max="12863" width="16.7109375" style="18" customWidth="1"/>
    <col min="12864" max="12864" width="21.140625" style="18" bestFit="1" customWidth="1"/>
    <col min="12865" max="12865" width="20.42578125" style="18" bestFit="1" customWidth="1"/>
    <col min="12866" max="12866" width="21.140625" style="18" customWidth="1"/>
    <col min="12867" max="12867" width="20.5703125" style="18" bestFit="1" customWidth="1"/>
    <col min="12868" max="12868" width="19.7109375" style="18" bestFit="1" customWidth="1"/>
    <col min="12869" max="12869" width="20.28515625" style="18" customWidth="1"/>
    <col min="12870" max="12870" width="20.85546875" style="18" bestFit="1" customWidth="1"/>
    <col min="12871" max="12871" width="19.5703125" style="18" bestFit="1" customWidth="1"/>
    <col min="12872" max="12872" width="18" style="18" customWidth="1"/>
    <col min="12873" max="12873" width="20" style="18" bestFit="1" customWidth="1"/>
    <col min="12874" max="12874" width="35.7109375" style="18" customWidth="1"/>
    <col min="12875" max="12875" width="21.140625" style="18" bestFit="1" customWidth="1"/>
    <col min="12876" max="12876" width="20.5703125" style="18" bestFit="1" customWidth="1"/>
    <col min="12877" max="12877" width="19.42578125" style="18" bestFit="1" customWidth="1"/>
    <col min="12878" max="12878" width="18.5703125" style="18" bestFit="1" customWidth="1"/>
    <col min="12879" max="12879" width="20.5703125" style="18" bestFit="1" customWidth="1"/>
    <col min="12880" max="12880" width="21.28515625" style="18" bestFit="1" customWidth="1"/>
    <col min="12881" max="12881" width="15.42578125" style="18" customWidth="1"/>
    <col min="12882" max="12882" width="20.7109375" style="18" customWidth="1"/>
    <col min="12883" max="12883" width="21.28515625" style="18" customWidth="1"/>
    <col min="12884" max="12884" width="14.85546875" style="18" bestFit="1" customWidth="1"/>
    <col min="12885" max="12885" width="23" style="18" bestFit="1" customWidth="1"/>
    <col min="12886" max="12886" width="21.28515625" style="18" bestFit="1" customWidth="1"/>
    <col min="12887" max="12887" width="20.28515625" style="18" bestFit="1" customWidth="1"/>
    <col min="12888" max="12888" width="21" style="18" bestFit="1" customWidth="1"/>
    <col min="12889" max="12889" width="18.85546875" style="18" bestFit="1" customWidth="1"/>
    <col min="12890" max="12890" width="80.7109375" style="18" customWidth="1"/>
    <col min="12891" max="13078" width="9.140625" style="18"/>
    <col min="13079" max="13079" width="2.5703125" style="18" customWidth="1"/>
    <col min="13080" max="13080" width="17.85546875" style="18" customWidth="1"/>
    <col min="13081" max="13081" width="41.5703125" style="18" customWidth="1"/>
    <col min="13082" max="13083" width="12" style="18" customWidth="1"/>
    <col min="13084" max="13084" width="17" style="18" customWidth="1"/>
    <col min="13085" max="13085" width="9.7109375" style="18" customWidth="1"/>
    <col min="13086" max="13086" width="12.28515625" style="18" customWidth="1"/>
    <col min="13087" max="13087" width="13.7109375" style="18" customWidth="1"/>
    <col min="13088" max="13088" width="13.5703125" style="18" bestFit="1" customWidth="1"/>
    <col min="13089" max="13089" width="13.5703125" style="18" customWidth="1"/>
    <col min="13090" max="13090" width="21" style="18" customWidth="1"/>
    <col min="13091" max="13094" width="13.42578125" style="18" customWidth="1"/>
    <col min="13095" max="13096" width="19" style="18" customWidth="1"/>
    <col min="13097" max="13097" width="34" style="18" customWidth="1"/>
    <col min="13098" max="13098" width="19" style="18" customWidth="1"/>
    <col min="13099" max="13099" width="20" style="18" bestFit="1" customWidth="1"/>
    <col min="13100" max="13100" width="20.28515625" style="18" bestFit="1" customWidth="1"/>
    <col min="13101" max="13101" width="26.7109375" style="18" customWidth="1"/>
    <col min="13102" max="13102" width="20.85546875" style="18" bestFit="1" customWidth="1"/>
    <col min="13103" max="13103" width="20.85546875" style="18" customWidth="1"/>
    <col min="13104" max="13104" width="18.85546875" style="18" customWidth="1"/>
    <col min="13105" max="13105" width="17.5703125" style="18" customWidth="1"/>
    <col min="13106" max="13107" width="19.42578125" style="18" customWidth="1"/>
    <col min="13108" max="13108" width="20.7109375" style="18" bestFit="1" customWidth="1"/>
    <col min="13109" max="13109" width="80.7109375" style="18" customWidth="1"/>
    <col min="13110" max="13110" width="14.7109375" style="18" bestFit="1" customWidth="1"/>
    <col min="13111" max="13111" width="18.140625" style="18" bestFit="1" customWidth="1"/>
    <col min="13112" max="13112" width="16.7109375" style="18" bestFit="1" customWidth="1"/>
    <col min="13113" max="13113" width="18.5703125" style="18" bestFit="1" customWidth="1"/>
    <col min="13114" max="13114" width="21.28515625" style="18" bestFit="1" customWidth="1"/>
    <col min="13115" max="13115" width="16.28515625" style="18" bestFit="1" customWidth="1"/>
    <col min="13116" max="13116" width="21.140625" style="18" bestFit="1" customWidth="1"/>
    <col min="13117" max="13117" width="19" style="18" bestFit="1" customWidth="1"/>
    <col min="13118" max="13118" width="19.140625" style="18" customWidth="1"/>
    <col min="13119" max="13119" width="16.7109375" style="18" customWidth="1"/>
    <col min="13120" max="13120" width="21.140625" style="18" bestFit="1" customWidth="1"/>
    <col min="13121" max="13121" width="20.42578125" style="18" bestFit="1" customWidth="1"/>
    <col min="13122" max="13122" width="21.140625" style="18" customWidth="1"/>
    <col min="13123" max="13123" width="20.5703125" style="18" bestFit="1" customWidth="1"/>
    <col min="13124" max="13124" width="19.7109375" style="18" bestFit="1" customWidth="1"/>
    <col min="13125" max="13125" width="20.28515625" style="18" customWidth="1"/>
    <col min="13126" max="13126" width="20.85546875" style="18" bestFit="1" customWidth="1"/>
    <col min="13127" max="13127" width="19.5703125" style="18" bestFit="1" customWidth="1"/>
    <col min="13128" max="13128" width="18" style="18" customWidth="1"/>
    <col min="13129" max="13129" width="20" style="18" bestFit="1" customWidth="1"/>
    <col min="13130" max="13130" width="35.7109375" style="18" customWidth="1"/>
    <col min="13131" max="13131" width="21.140625" style="18" bestFit="1" customWidth="1"/>
    <col min="13132" max="13132" width="20.5703125" style="18" bestFit="1" customWidth="1"/>
    <col min="13133" max="13133" width="19.42578125" style="18" bestFit="1" customWidth="1"/>
    <col min="13134" max="13134" width="18.5703125" style="18" bestFit="1" customWidth="1"/>
    <col min="13135" max="13135" width="20.5703125" style="18" bestFit="1" customWidth="1"/>
    <col min="13136" max="13136" width="21.28515625" style="18" bestFit="1" customWidth="1"/>
    <col min="13137" max="13137" width="15.42578125" style="18" customWidth="1"/>
    <col min="13138" max="13138" width="20.7109375" style="18" customWidth="1"/>
    <col min="13139" max="13139" width="21.28515625" style="18" customWidth="1"/>
    <col min="13140" max="13140" width="14.85546875" style="18" bestFit="1" customWidth="1"/>
    <col min="13141" max="13141" width="23" style="18" bestFit="1" customWidth="1"/>
    <col min="13142" max="13142" width="21.28515625" style="18" bestFit="1" customWidth="1"/>
    <col min="13143" max="13143" width="20.28515625" style="18" bestFit="1" customWidth="1"/>
    <col min="13144" max="13144" width="21" style="18" bestFit="1" customWidth="1"/>
    <col min="13145" max="13145" width="18.85546875" style="18" bestFit="1" customWidth="1"/>
    <col min="13146" max="13146" width="80.7109375" style="18" customWidth="1"/>
    <col min="13147" max="13334" width="9.140625" style="18"/>
    <col min="13335" max="13335" width="2.5703125" style="18" customWidth="1"/>
    <col min="13336" max="13336" width="17.85546875" style="18" customWidth="1"/>
    <col min="13337" max="13337" width="41.5703125" style="18" customWidth="1"/>
    <col min="13338" max="13339" width="12" style="18" customWidth="1"/>
    <col min="13340" max="13340" width="17" style="18" customWidth="1"/>
    <col min="13341" max="13341" width="9.7109375" style="18" customWidth="1"/>
    <col min="13342" max="13342" width="12.28515625" style="18" customWidth="1"/>
    <col min="13343" max="13343" width="13.7109375" style="18" customWidth="1"/>
    <col min="13344" max="13344" width="13.5703125" style="18" bestFit="1" customWidth="1"/>
    <col min="13345" max="13345" width="13.5703125" style="18" customWidth="1"/>
    <col min="13346" max="13346" width="21" style="18" customWidth="1"/>
    <col min="13347" max="13350" width="13.42578125" style="18" customWidth="1"/>
    <col min="13351" max="13352" width="19" style="18" customWidth="1"/>
    <col min="13353" max="13353" width="34" style="18" customWidth="1"/>
    <col min="13354" max="13354" width="19" style="18" customWidth="1"/>
    <col min="13355" max="13355" width="20" style="18" bestFit="1" customWidth="1"/>
    <col min="13356" max="13356" width="20.28515625" style="18" bestFit="1" customWidth="1"/>
    <col min="13357" max="13357" width="26.7109375" style="18" customWidth="1"/>
    <col min="13358" max="13358" width="20.85546875" style="18" bestFit="1" customWidth="1"/>
    <col min="13359" max="13359" width="20.85546875" style="18" customWidth="1"/>
    <col min="13360" max="13360" width="18.85546875" style="18" customWidth="1"/>
    <col min="13361" max="13361" width="17.5703125" style="18" customWidth="1"/>
    <col min="13362" max="13363" width="19.42578125" style="18" customWidth="1"/>
    <col min="13364" max="13364" width="20.7109375" style="18" bestFit="1" customWidth="1"/>
    <col min="13365" max="13365" width="80.7109375" style="18" customWidth="1"/>
    <col min="13366" max="13366" width="14.7109375" style="18" bestFit="1" customWidth="1"/>
    <col min="13367" max="13367" width="18.140625" style="18" bestFit="1" customWidth="1"/>
    <col min="13368" max="13368" width="16.7109375" style="18" bestFit="1" customWidth="1"/>
    <col min="13369" max="13369" width="18.5703125" style="18" bestFit="1" customWidth="1"/>
    <col min="13370" max="13370" width="21.28515625" style="18" bestFit="1" customWidth="1"/>
    <col min="13371" max="13371" width="16.28515625" style="18" bestFit="1" customWidth="1"/>
    <col min="13372" max="13372" width="21.140625" style="18" bestFit="1" customWidth="1"/>
    <col min="13373" max="13373" width="19" style="18" bestFit="1" customWidth="1"/>
    <col min="13374" max="13374" width="19.140625" style="18" customWidth="1"/>
    <col min="13375" max="13375" width="16.7109375" style="18" customWidth="1"/>
    <col min="13376" max="13376" width="21.140625" style="18" bestFit="1" customWidth="1"/>
    <col min="13377" max="13377" width="20.42578125" style="18" bestFit="1" customWidth="1"/>
    <col min="13378" max="13378" width="21.140625" style="18" customWidth="1"/>
    <col min="13379" max="13379" width="20.5703125" style="18" bestFit="1" customWidth="1"/>
    <col min="13380" max="13380" width="19.7109375" style="18" bestFit="1" customWidth="1"/>
    <col min="13381" max="13381" width="20.28515625" style="18" customWidth="1"/>
    <col min="13382" max="13382" width="20.85546875" style="18" bestFit="1" customWidth="1"/>
    <col min="13383" max="13383" width="19.5703125" style="18" bestFit="1" customWidth="1"/>
    <col min="13384" max="13384" width="18" style="18" customWidth="1"/>
    <col min="13385" max="13385" width="20" style="18" bestFit="1" customWidth="1"/>
    <col min="13386" max="13386" width="35.7109375" style="18" customWidth="1"/>
    <col min="13387" max="13387" width="21.140625" style="18" bestFit="1" customWidth="1"/>
    <col min="13388" max="13388" width="20.5703125" style="18" bestFit="1" customWidth="1"/>
    <col min="13389" max="13389" width="19.42578125" style="18" bestFit="1" customWidth="1"/>
    <col min="13390" max="13390" width="18.5703125" style="18" bestFit="1" customWidth="1"/>
    <col min="13391" max="13391" width="20.5703125" style="18" bestFit="1" customWidth="1"/>
    <col min="13392" max="13392" width="21.28515625" style="18" bestFit="1" customWidth="1"/>
    <col min="13393" max="13393" width="15.42578125" style="18" customWidth="1"/>
    <col min="13394" max="13394" width="20.7109375" style="18" customWidth="1"/>
    <col min="13395" max="13395" width="21.28515625" style="18" customWidth="1"/>
    <col min="13396" max="13396" width="14.85546875" style="18" bestFit="1" customWidth="1"/>
    <col min="13397" max="13397" width="23" style="18" bestFit="1" customWidth="1"/>
    <col min="13398" max="13398" width="21.28515625" style="18" bestFit="1" customWidth="1"/>
    <col min="13399" max="13399" width="20.28515625" style="18" bestFit="1" customWidth="1"/>
    <col min="13400" max="13400" width="21" style="18" bestFit="1" customWidth="1"/>
    <col min="13401" max="13401" width="18.85546875" style="18" bestFit="1" customWidth="1"/>
    <col min="13402" max="13402" width="80.7109375" style="18" customWidth="1"/>
    <col min="13403" max="13590" width="9.140625" style="18"/>
    <col min="13591" max="13591" width="2.5703125" style="18" customWidth="1"/>
    <col min="13592" max="13592" width="17.85546875" style="18" customWidth="1"/>
    <col min="13593" max="13593" width="41.5703125" style="18" customWidth="1"/>
    <col min="13594" max="13595" width="12" style="18" customWidth="1"/>
    <col min="13596" max="13596" width="17" style="18" customWidth="1"/>
    <col min="13597" max="13597" width="9.7109375" style="18" customWidth="1"/>
    <col min="13598" max="13598" width="12.28515625" style="18" customWidth="1"/>
    <col min="13599" max="13599" width="13.7109375" style="18" customWidth="1"/>
    <col min="13600" max="13600" width="13.5703125" style="18" bestFit="1" customWidth="1"/>
    <col min="13601" max="13601" width="13.5703125" style="18" customWidth="1"/>
    <col min="13602" max="13602" width="21" style="18" customWidth="1"/>
    <col min="13603" max="13606" width="13.42578125" style="18" customWidth="1"/>
    <col min="13607" max="13608" width="19" style="18" customWidth="1"/>
    <col min="13609" max="13609" width="34" style="18" customWidth="1"/>
    <col min="13610" max="13610" width="19" style="18" customWidth="1"/>
    <col min="13611" max="13611" width="20" style="18" bestFit="1" customWidth="1"/>
    <col min="13612" max="13612" width="20.28515625" style="18" bestFit="1" customWidth="1"/>
    <col min="13613" max="13613" width="26.7109375" style="18" customWidth="1"/>
    <col min="13614" max="13614" width="20.85546875" style="18" bestFit="1" customWidth="1"/>
    <col min="13615" max="13615" width="20.85546875" style="18" customWidth="1"/>
    <col min="13616" max="13616" width="18.85546875" style="18" customWidth="1"/>
    <col min="13617" max="13617" width="17.5703125" style="18" customWidth="1"/>
    <col min="13618" max="13619" width="19.42578125" style="18" customWidth="1"/>
    <col min="13620" max="13620" width="20.7109375" style="18" bestFit="1" customWidth="1"/>
    <col min="13621" max="13621" width="80.7109375" style="18" customWidth="1"/>
    <col min="13622" max="13622" width="14.7109375" style="18" bestFit="1" customWidth="1"/>
    <col min="13623" max="13623" width="18.140625" style="18" bestFit="1" customWidth="1"/>
    <col min="13624" max="13624" width="16.7109375" style="18" bestFit="1" customWidth="1"/>
    <col min="13625" max="13625" width="18.5703125" style="18" bestFit="1" customWidth="1"/>
    <col min="13626" max="13626" width="21.28515625" style="18" bestFit="1" customWidth="1"/>
    <col min="13627" max="13627" width="16.28515625" style="18" bestFit="1" customWidth="1"/>
    <col min="13628" max="13628" width="21.140625" style="18" bestFit="1" customWidth="1"/>
    <col min="13629" max="13629" width="19" style="18" bestFit="1" customWidth="1"/>
    <col min="13630" max="13630" width="19.140625" style="18" customWidth="1"/>
    <col min="13631" max="13631" width="16.7109375" style="18" customWidth="1"/>
    <col min="13632" max="13632" width="21.140625" style="18" bestFit="1" customWidth="1"/>
    <col min="13633" max="13633" width="20.42578125" style="18" bestFit="1" customWidth="1"/>
    <col min="13634" max="13634" width="21.140625" style="18" customWidth="1"/>
    <col min="13635" max="13635" width="20.5703125" style="18" bestFit="1" customWidth="1"/>
    <col min="13636" max="13636" width="19.7109375" style="18" bestFit="1" customWidth="1"/>
    <col min="13637" max="13637" width="20.28515625" style="18" customWidth="1"/>
    <col min="13638" max="13638" width="20.85546875" style="18" bestFit="1" customWidth="1"/>
    <col min="13639" max="13639" width="19.5703125" style="18" bestFit="1" customWidth="1"/>
    <col min="13640" max="13640" width="18" style="18" customWidth="1"/>
    <col min="13641" max="13641" width="20" style="18" bestFit="1" customWidth="1"/>
    <col min="13642" max="13642" width="35.7109375" style="18" customWidth="1"/>
    <col min="13643" max="13643" width="21.140625" style="18" bestFit="1" customWidth="1"/>
    <col min="13644" max="13644" width="20.5703125" style="18" bestFit="1" customWidth="1"/>
    <col min="13645" max="13645" width="19.42578125" style="18" bestFit="1" customWidth="1"/>
    <col min="13646" max="13646" width="18.5703125" style="18" bestFit="1" customWidth="1"/>
    <col min="13647" max="13647" width="20.5703125" style="18" bestFit="1" customWidth="1"/>
    <col min="13648" max="13648" width="21.28515625" style="18" bestFit="1" customWidth="1"/>
    <col min="13649" max="13649" width="15.42578125" style="18" customWidth="1"/>
    <col min="13650" max="13650" width="20.7109375" style="18" customWidth="1"/>
    <col min="13651" max="13651" width="21.28515625" style="18" customWidth="1"/>
    <col min="13652" max="13652" width="14.85546875" style="18" bestFit="1" customWidth="1"/>
    <col min="13653" max="13653" width="23" style="18" bestFit="1" customWidth="1"/>
    <col min="13654" max="13654" width="21.28515625" style="18" bestFit="1" customWidth="1"/>
    <col min="13655" max="13655" width="20.28515625" style="18" bestFit="1" customWidth="1"/>
    <col min="13656" max="13656" width="21" style="18" bestFit="1" customWidth="1"/>
    <col min="13657" max="13657" width="18.85546875" style="18" bestFit="1" customWidth="1"/>
    <col min="13658" max="13658" width="80.7109375" style="18" customWidth="1"/>
    <col min="13659" max="13846" width="9.140625" style="18"/>
    <col min="13847" max="13847" width="2.5703125" style="18" customWidth="1"/>
    <col min="13848" max="13848" width="17.85546875" style="18" customWidth="1"/>
    <col min="13849" max="13849" width="41.5703125" style="18" customWidth="1"/>
    <col min="13850" max="13851" width="12" style="18" customWidth="1"/>
    <col min="13852" max="13852" width="17" style="18" customWidth="1"/>
    <col min="13853" max="13853" width="9.7109375" style="18" customWidth="1"/>
    <col min="13854" max="13854" width="12.28515625" style="18" customWidth="1"/>
    <col min="13855" max="13855" width="13.7109375" style="18" customWidth="1"/>
    <col min="13856" max="13856" width="13.5703125" style="18" bestFit="1" customWidth="1"/>
    <col min="13857" max="13857" width="13.5703125" style="18" customWidth="1"/>
    <col min="13858" max="13858" width="21" style="18" customWidth="1"/>
    <col min="13859" max="13862" width="13.42578125" style="18" customWidth="1"/>
    <col min="13863" max="13864" width="19" style="18" customWidth="1"/>
    <col min="13865" max="13865" width="34" style="18" customWidth="1"/>
    <col min="13866" max="13866" width="19" style="18" customWidth="1"/>
    <col min="13867" max="13867" width="20" style="18" bestFit="1" customWidth="1"/>
    <col min="13868" max="13868" width="20.28515625" style="18" bestFit="1" customWidth="1"/>
    <col min="13869" max="13869" width="26.7109375" style="18" customWidth="1"/>
    <col min="13870" max="13870" width="20.85546875" style="18" bestFit="1" customWidth="1"/>
    <col min="13871" max="13871" width="20.85546875" style="18" customWidth="1"/>
    <col min="13872" max="13872" width="18.85546875" style="18" customWidth="1"/>
    <col min="13873" max="13873" width="17.5703125" style="18" customWidth="1"/>
    <col min="13874" max="13875" width="19.42578125" style="18" customWidth="1"/>
    <col min="13876" max="13876" width="20.7109375" style="18" bestFit="1" customWidth="1"/>
    <col min="13877" max="13877" width="80.7109375" style="18" customWidth="1"/>
    <col min="13878" max="13878" width="14.7109375" style="18" bestFit="1" customWidth="1"/>
    <col min="13879" max="13879" width="18.140625" style="18" bestFit="1" customWidth="1"/>
    <col min="13880" max="13880" width="16.7109375" style="18" bestFit="1" customWidth="1"/>
    <col min="13881" max="13881" width="18.5703125" style="18" bestFit="1" customWidth="1"/>
    <col min="13882" max="13882" width="21.28515625" style="18" bestFit="1" customWidth="1"/>
    <col min="13883" max="13883" width="16.28515625" style="18" bestFit="1" customWidth="1"/>
    <col min="13884" max="13884" width="21.140625" style="18" bestFit="1" customWidth="1"/>
    <col min="13885" max="13885" width="19" style="18" bestFit="1" customWidth="1"/>
    <col min="13886" max="13886" width="19.140625" style="18" customWidth="1"/>
    <col min="13887" max="13887" width="16.7109375" style="18" customWidth="1"/>
    <col min="13888" max="13888" width="21.140625" style="18" bestFit="1" customWidth="1"/>
    <col min="13889" max="13889" width="20.42578125" style="18" bestFit="1" customWidth="1"/>
    <col min="13890" max="13890" width="21.140625" style="18" customWidth="1"/>
    <col min="13891" max="13891" width="20.5703125" style="18" bestFit="1" customWidth="1"/>
    <col min="13892" max="13892" width="19.7109375" style="18" bestFit="1" customWidth="1"/>
    <col min="13893" max="13893" width="20.28515625" style="18" customWidth="1"/>
    <col min="13894" max="13894" width="20.85546875" style="18" bestFit="1" customWidth="1"/>
    <col min="13895" max="13895" width="19.5703125" style="18" bestFit="1" customWidth="1"/>
    <col min="13896" max="13896" width="18" style="18" customWidth="1"/>
    <col min="13897" max="13897" width="20" style="18" bestFit="1" customWidth="1"/>
    <col min="13898" max="13898" width="35.7109375" style="18" customWidth="1"/>
    <col min="13899" max="13899" width="21.140625" style="18" bestFit="1" customWidth="1"/>
    <col min="13900" max="13900" width="20.5703125" style="18" bestFit="1" customWidth="1"/>
    <col min="13901" max="13901" width="19.42578125" style="18" bestFit="1" customWidth="1"/>
    <col min="13902" max="13902" width="18.5703125" style="18" bestFit="1" customWidth="1"/>
    <col min="13903" max="13903" width="20.5703125" style="18" bestFit="1" customWidth="1"/>
    <col min="13904" max="13904" width="21.28515625" style="18" bestFit="1" customWidth="1"/>
    <col min="13905" max="13905" width="15.42578125" style="18" customWidth="1"/>
    <col min="13906" max="13906" width="20.7109375" style="18" customWidth="1"/>
    <col min="13907" max="13907" width="21.28515625" style="18" customWidth="1"/>
    <col min="13908" max="13908" width="14.85546875" style="18" bestFit="1" customWidth="1"/>
    <col min="13909" max="13909" width="23" style="18" bestFit="1" customWidth="1"/>
    <col min="13910" max="13910" width="21.28515625" style="18" bestFit="1" customWidth="1"/>
    <col min="13911" max="13911" width="20.28515625" style="18" bestFit="1" customWidth="1"/>
    <col min="13912" max="13912" width="21" style="18" bestFit="1" customWidth="1"/>
    <col min="13913" max="13913" width="18.85546875" style="18" bestFit="1" customWidth="1"/>
    <col min="13914" max="13914" width="80.7109375" style="18" customWidth="1"/>
    <col min="13915" max="14102" width="9.140625" style="18"/>
    <col min="14103" max="14103" width="2.5703125" style="18" customWidth="1"/>
    <col min="14104" max="14104" width="17.85546875" style="18" customWidth="1"/>
    <col min="14105" max="14105" width="41.5703125" style="18" customWidth="1"/>
    <col min="14106" max="14107" width="12" style="18" customWidth="1"/>
    <col min="14108" max="14108" width="17" style="18" customWidth="1"/>
    <col min="14109" max="14109" width="9.7109375" style="18" customWidth="1"/>
    <col min="14110" max="14110" width="12.28515625" style="18" customWidth="1"/>
    <col min="14111" max="14111" width="13.7109375" style="18" customWidth="1"/>
    <col min="14112" max="14112" width="13.5703125" style="18" bestFit="1" customWidth="1"/>
    <col min="14113" max="14113" width="13.5703125" style="18" customWidth="1"/>
    <col min="14114" max="14114" width="21" style="18" customWidth="1"/>
    <col min="14115" max="14118" width="13.42578125" style="18" customWidth="1"/>
    <col min="14119" max="14120" width="19" style="18" customWidth="1"/>
    <col min="14121" max="14121" width="34" style="18" customWidth="1"/>
    <col min="14122" max="14122" width="19" style="18" customWidth="1"/>
    <col min="14123" max="14123" width="20" style="18" bestFit="1" customWidth="1"/>
    <col min="14124" max="14124" width="20.28515625" style="18" bestFit="1" customWidth="1"/>
    <col min="14125" max="14125" width="26.7109375" style="18" customWidth="1"/>
    <col min="14126" max="14126" width="20.85546875" style="18" bestFit="1" customWidth="1"/>
    <col min="14127" max="14127" width="20.85546875" style="18" customWidth="1"/>
    <col min="14128" max="14128" width="18.85546875" style="18" customWidth="1"/>
    <col min="14129" max="14129" width="17.5703125" style="18" customWidth="1"/>
    <col min="14130" max="14131" width="19.42578125" style="18" customWidth="1"/>
    <col min="14132" max="14132" width="20.7109375" style="18" bestFit="1" customWidth="1"/>
    <col min="14133" max="14133" width="80.7109375" style="18" customWidth="1"/>
    <col min="14134" max="14134" width="14.7109375" style="18" bestFit="1" customWidth="1"/>
    <col min="14135" max="14135" width="18.140625" style="18" bestFit="1" customWidth="1"/>
    <col min="14136" max="14136" width="16.7109375" style="18" bestFit="1" customWidth="1"/>
    <col min="14137" max="14137" width="18.5703125" style="18" bestFit="1" customWidth="1"/>
    <col min="14138" max="14138" width="21.28515625" style="18" bestFit="1" customWidth="1"/>
    <col min="14139" max="14139" width="16.28515625" style="18" bestFit="1" customWidth="1"/>
    <col min="14140" max="14140" width="21.140625" style="18" bestFit="1" customWidth="1"/>
    <col min="14141" max="14141" width="19" style="18" bestFit="1" customWidth="1"/>
    <col min="14142" max="14142" width="19.140625" style="18" customWidth="1"/>
    <col min="14143" max="14143" width="16.7109375" style="18" customWidth="1"/>
    <col min="14144" max="14144" width="21.140625" style="18" bestFit="1" customWidth="1"/>
    <col min="14145" max="14145" width="20.42578125" style="18" bestFit="1" customWidth="1"/>
    <col min="14146" max="14146" width="21.140625" style="18" customWidth="1"/>
    <col min="14147" max="14147" width="20.5703125" style="18" bestFit="1" customWidth="1"/>
    <col min="14148" max="14148" width="19.7109375" style="18" bestFit="1" customWidth="1"/>
    <col min="14149" max="14149" width="20.28515625" style="18" customWidth="1"/>
    <col min="14150" max="14150" width="20.85546875" style="18" bestFit="1" customWidth="1"/>
    <col min="14151" max="14151" width="19.5703125" style="18" bestFit="1" customWidth="1"/>
    <col min="14152" max="14152" width="18" style="18" customWidth="1"/>
    <col min="14153" max="14153" width="20" style="18" bestFit="1" customWidth="1"/>
    <col min="14154" max="14154" width="35.7109375" style="18" customWidth="1"/>
    <col min="14155" max="14155" width="21.140625" style="18" bestFit="1" customWidth="1"/>
    <col min="14156" max="14156" width="20.5703125" style="18" bestFit="1" customWidth="1"/>
    <col min="14157" max="14157" width="19.42578125" style="18" bestFit="1" customWidth="1"/>
    <col min="14158" max="14158" width="18.5703125" style="18" bestFit="1" customWidth="1"/>
    <col min="14159" max="14159" width="20.5703125" style="18" bestFit="1" customWidth="1"/>
    <col min="14160" max="14160" width="21.28515625" style="18" bestFit="1" customWidth="1"/>
    <col min="14161" max="14161" width="15.42578125" style="18" customWidth="1"/>
    <col min="14162" max="14162" width="20.7109375" style="18" customWidth="1"/>
    <col min="14163" max="14163" width="21.28515625" style="18" customWidth="1"/>
    <col min="14164" max="14164" width="14.85546875" style="18" bestFit="1" customWidth="1"/>
    <col min="14165" max="14165" width="23" style="18" bestFit="1" customWidth="1"/>
    <col min="14166" max="14166" width="21.28515625" style="18" bestFit="1" customWidth="1"/>
    <col min="14167" max="14167" width="20.28515625" style="18" bestFit="1" customWidth="1"/>
    <col min="14168" max="14168" width="21" style="18" bestFit="1" customWidth="1"/>
    <col min="14169" max="14169" width="18.85546875" style="18" bestFit="1" customWidth="1"/>
    <col min="14170" max="14170" width="80.7109375" style="18" customWidth="1"/>
    <col min="14171" max="14358" width="9.140625" style="18"/>
    <col min="14359" max="14359" width="2.5703125" style="18" customWidth="1"/>
    <col min="14360" max="14360" width="17.85546875" style="18" customWidth="1"/>
    <col min="14361" max="14361" width="41.5703125" style="18" customWidth="1"/>
    <col min="14362" max="14363" width="12" style="18" customWidth="1"/>
    <col min="14364" max="14364" width="17" style="18" customWidth="1"/>
    <col min="14365" max="14365" width="9.7109375" style="18" customWidth="1"/>
    <col min="14366" max="14366" width="12.28515625" style="18" customWidth="1"/>
    <col min="14367" max="14367" width="13.7109375" style="18" customWidth="1"/>
    <col min="14368" max="14368" width="13.5703125" style="18" bestFit="1" customWidth="1"/>
    <col min="14369" max="14369" width="13.5703125" style="18" customWidth="1"/>
    <col min="14370" max="14370" width="21" style="18" customWidth="1"/>
    <col min="14371" max="14374" width="13.42578125" style="18" customWidth="1"/>
    <col min="14375" max="14376" width="19" style="18" customWidth="1"/>
    <col min="14377" max="14377" width="34" style="18" customWidth="1"/>
    <col min="14378" max="14378" width="19" style="18" customWidth="1"/>
    <col min="14379" max="14379" width="20" style="18" bestFit="1" customWidth="1"/>
    <col min="14380" max="14380" width="20.28515625" style="18" bestFit="1" customWidth="1"/>
    <col min="14381" max="14381" width="26.7109375" style="18" customWidth="1"/>
    <col min="14382" max="14382" width="20.85546875" style="18" bestFit="1" customWidth="1"/>
    <col min="14383" max="14383" width="20.85546875" style="18" customWidth="1"/>
    <col min="14384" max="14384" width="18.85546875" style="18" customWidth="1"/>
    <col min="14385" max="14385" width="17.5703125" style="18" customWidth="1"/>
    <col min="14386" max="14387" width="19.42578125" style="18" customWidth="1"/>
    <col min="14388" max="14388" width="20.7109375" style="18" bestFit="1" customWidth="1"/>
    <col min="14389" max="14389" width="80.7109375" style="18" customWidth="1"/>
    <col min="14390" max="14390" width="14.7109375" style="18" bestFit="1" customWidth="1"/>
    <col min="14391" max="14391" width="18.140625" style="18" bestFit="1" customWidth="1"/>
    <col min="14392" max="14392" width="16.7109375" style="18" bestFit="1" customWidth="1"/>
    <col min="14393" max="14393" width="18.5703125" style="18" bestFit="1" customWidth="1"/>
    <col min="14394" max="14394" width="21.28515625" style="18" bestFit="1" customWidth="1"/>
    <col min="14395" max="14395" width="16.28515625" style="18" bestFit="1" customWidth="1"/>
    <col min="14396" max="14396" width="21.140625" style="18" bestFit="1" customWidth="1"/>
    <col min="14397" max="14397" width="19" style="18" bestFit="1" customWidth="1"/>
    <col min="14398" max="14398" width="19.140625" style="18" customWidth="1"/>
    <col min="14399" max="14399" width="16.7109375" style="18" customWidth="1"/>
    <col min="14400" max="14400" width="21.140625" style="18" bestFit="1" customWidth="1"/>
    <col min="14401" max="14401" width="20.42578125" style="18" bestFit="1" customWidth="1"/>
    <col min="14402" max="14402" width="21.140625" style="18" customWidth="1"/>
    <col min="14403" max="14403" width="20.5703125" style="18" bestFit="1" customWidth="1"/>
    <col min="14404" max="14404" width="19.7109375" style="18" bestFit="1" customWidth="1"/>
    <col min="14405" max="14405" width="20.28515625" style="18" customWidth="1"/>
    <col min="14406" max="14406" width="20.85546875" style="18" bestFit="1" customWidth="1"/>
    <col min="14407" max="14407" width="19.5703125" style="18" bestFit="1" customWidth="1"/>
    <col min="14408" max="14408" width="18" style="18" customWidth="1"/>
    <col min="14409" max="14409" width="20" style="18" bestFit="1" customWidth="1"/>
    <col min="14410" max="14410" width="35.7109375" style="18" customWidth="1"/>
    <col min="14411" max="14411" width="21.140625" style="18" bestFit="1" customWidth="1"/>
    <col min="14412" max="14412" width="20.5703125" style="18" bestFit="1" customWidth="1"/>
    <col min="14413" max="14413" width="19.42578125" style="18" bestFit="1" customWidth="1"/>
    <col min="14414" max="14414" width="18.5703125" style="18" bestFit="1" customWidth="1"/>
    <col min="14415" max="14415" width="20.5703125" style="18" bestFit="1" customWidth="1"/>
    <col min="14416" max="14416" width="21.28515625" style="18" bestFit="1" customWidth="1"/>
    <col min="14417" max="14417" width="15.42578125" style="18" customWidth="1"/>
    <col min="14418" max="14418" width="20.7109375" style="18" customWidth="1"/>
    <col min="14419" max="14419" width="21.28515625" style="18" customWidth="1"/>
    <col min="14420" max="14420" width="14.85546875" style="18" bestFit="1" customWidth="1"/>
    <col min="14421" max="14421" width="23" style="18" bestFit="1" customWidth="1"/>
    <col min="14422" max="14422" width="21.28515625" style="18" bestFit="1" customWidth="1"/>
    <col min="14423" max="14423" width="20.28515625" style="18" bestFit="1" customWidth="1"/>
    <col min="14424" max="14424" width="21" style="18" bestFit="1" customWidth="1"/>
    <col min="14425" max="14425" width="18.85546875" style="18" bestFit="1" customWidth="1"/>
    <col min="14426" max="14426" width="80.7109375" style="18" customWidth="1"/>
    <col min="14427" max="14614" width="9.140625" style="18"/>
    <col min="14615" max="14615" width="2.5703125" style="18" customWidth="1"/>
    <col min="14616" max="14616" width="17.85546875" style="18" customWidth="1"/>
    <col min="14617" max="14617" width="41.5703125" style="18" customWidth="1"/>
    <col min="14618" max="14619" width="12" style="18" customWidth="1"/>
    <col min="14620" max="14620" width="17" style="18" customWidth="1"/>
    <col min="14621" max="14621" width="9.7109375" style="18" customWidth="1"/>
    <col min="14622" max="14622" width="12.28515625" style="18" customWidth="1"/>
    <col min="14623" max="14623" width="13.7109375" style="18" customWidth="1"/>
    <col min="14624" max="14624" width="13.5703125" style="18" bestFit="1" customWidth="1"/>
    <col min="14625" max="14625" width="13.5703125" style="18" customWidth="1"/>
    <col min="14626" max="14626" width="21" style="18" customWidth="1"/>
    <col min="14627" max="14630" width="13.42578125" style="18" customWidth="1"/>
    <col min="14631" max="14632" width="19" style="18" customWidth="1"/>
    <col min="14633" max="14633" width="34" style="18" customWidth="1"/>
    <col min="14634" max="14634" width="19" style="18" customWidth="1"/>
    <col min="14635" max="14635" width="20" style="18" bestFit="1" customWidth="1"/>
    <col min="14636" max="14636" width="20.28515625" style="18" bestFit="1" customWidth="1"/>
    <col min="14637" max="14637" width="26.7109375" style="18" customWidth="1"/>
    <col min="14638" max="14638" width="20.85546875" style="18" bestFit="1" customWidth="1"/>
    <col min="14639" max="14639" width="20.85546875" style="18" customWidth="1"/>
    <col min="14640" max="14640" width="18.85546875" style="18" customWidth="1"/>
    <col min="14641" max="14641" width="17.5703125" style="18" customWidth="1"/>
    <col min="14642" max="14643" width="19.42578125" style="18" customWidth="1"/>
    <col min="14644" max="14644" width="20.7109375" style="18" bestFit="1" customWidth="1"/>
    <col min="14645" max="14645" width="80.7109375" style="18" customWidth="1"/>
    <col min="14646" max="14646" width="14.7109375" style="18" bestFit="1" customWidth="1"/>
    <col min="14647" max="14647" width="18.140625" style="18" bestFit="1" customWidth="1"/>
    <col min="14648" max="14648" width="16.7109375" style="18" bestFit="1" customWidth="1"/>
    <col min="14649" max="14649" width="18.5703125" style="18" bestFit="1" customWidth="1"/>
    <col min="14650" max="14650" width="21.28515625" style="18" bestFit="1" customWidth="1"/>
    <col min="14651" max="14651" width="16.28515625" style="18" bestFit="1" customWidth="1"/>
    <col min="14652" max="14652" width="21.140625" style="18" bestFit="1" customWidth="1"/>
    <col min="14653" max="14653" width="19" style="18" bestFit="1" customWidth="1"/>
    <col min="14654" max="14654" width="19.140625" style="18" customWidth="1"/>
    <col min="14655" max="14655" width="16.7109375" style="18" customWidth="1"/>
    <col min="14656" max="14656" width="21.140625" style="18" bestFit="1" customWidth="1"/>
    <col min="14657" max="14657" width="20.42578125" style="18" bestFit="1" customWidth="1"/>
    <col min="14658" max="14658" width="21.140625" style="18" customWidth="1"/>
    <col min="14659" max="14659" width="20.5703125" style="18" bestFit="1" customWidth="1"/>
    <col min="14660" max="14660" width="19.7109375" style="18" bestFit="1" customWidth="1"/>
    <col min="14661" max="14661" width="20.28515625" style="18" customWidth="1"/>
    <col min="14662" max="14662" width="20.85546875" style="18" bestFit="1" customWidth="1"/>
    <col min="14663" max="14663" width="19.5703125" style="18" bestFit="1" customWidth="1"/>
    <col min="14664" max="14664" width="18" style="18" customWidth="1"/>
    <col min="14665" max="14665" width="20" style="18" bestFit="1" customWidth="1"/>
    <col min="14666" max="14666" width="35.7109375" style="18" customWidth="1"/>
    <col min="14667" max="14667" width="21.140625" style="18" bestFit="1" customWidth="1"/>
    <col min="14668" max="14668" width="20.5703125" style="18" bestFit="1" customWidth="1"/>
    <col min="14669" max="14669" width="19.42578125" style="18" bestFit="1" customWidth="1"/>
    <col min="14670" max="14670" width="18.5703125" style="18" bestFit="1" customWidth="1"/>
    <col min="14671" max="14671" width="20.5703125" style="18" bestFit="1" customWidth="1"/>
    <col min="14672" max="14672" width="21.28515625" style="18" bestFit="1" customWidth="1"/>
    <col min="14673" max="14673" width="15.42578125" style="18" customWidth="1"/>
    <col min="14674" max="14674" width="20.7109375" style="18" customWidth="1"/>
    <col min="14675" max="14675" width="21.28515625" style="18" customWidth="1"/>
    <col min="14676" max="14676" width="14.85546875" style="18" bestFit="1" customWidth="1"/>
    <col min="14677" max="14677" width="23" style="18" bestFit="1" customWidth="1"/>
    <col min="14678" max="14678" width="21.28515625" style="18" bestFit="1" customWidth="1"/>
    <col min="14679" max="14679" width="20.28515625" style="18" bestFit="1" customWidth="1"/>
    <col min="14680" max="14680" width="21" style="18" bestFit="1" customWidth="1"/>
    <col min="14681" max="14681" width="18.85546875" style="18" bestFit="1" customWidth="1"/>
    <col min="14682" max="14682" width="80.7109375" style="18" customWidth="1"/>
    <col min="14683" max="14870" width="9.140625" style="18"/>
    <col min="14871" max="14871" width="2.5703125" style="18" customWidth="1"/>
    <col min="14872" max="14872" width="17.85546875" style="18" customWidth="1"/>
    <col min="14873" max="14873" width="41.5703125" style="18" customWidth="1"/>
    <col min="14874" max="14875" width="12" style="18" customWidth="1"/>
    <col min="14876" max="14876" width="17" style="18" customWidth="1"/>
    <col min="14877" max="14877" width="9.7109375" style="18" customWidth="1"/>
    <col min="14878" max="14878" width="12.28515625" style="18" customWidth="1"/>
    <col min="14879" max="14879" width="13.7109375" style="18" customWidth="1"/>
    <col min="14880" max="14880" width="13.5703125" style="18" bestFit="1" customWidth="1"/>
    <col min="14881" max="14881" width="13.5703125" style="18" customWidth="1"/>
    <col min="14882" max="14882" width="21" style="18" customWidth="1"/>
    <col min="14883" max="14886" width="13.42578125" style="18" customWidth="1"/>
    <col min="14887" max="14888" width="19" style="18" customWidth="1"/>
    <col min="14889" max="14889" width="34" style="18" customWidth="1"/>
    <col min="14890" max="14890" width="19" style="18" customWidth="1"/>
    <col min="14891" max="14891" width="20" style="18" bestFit="1" customWidth="1"/>
    <col min="14892" max="14892" width="20.28515625" style="18" bestFit="1" customWidth="1"/>
    <col min="14893" max="14893" width="26.7109375" style="18" customWidth="1"/>
    <col min="14894" max="14894" width="20.85546875" style="18" bestFit="1" customWidth="1"/>
    <col min="14895" max="14895" width="20.85546875" style="18" customWidth="1"/>
    <col min="14896" max="14896" width="18.85546875" style="18" customWidth="1"/>
    <col min="14897" max="14897" width="17.5703125" style="18" customWidth="1"/>
    <col min="14898" max="14899" width="19.42578125" style="18" customWidth="1"/>
    <col min="14900" max="14900" width="20.7109375" style="18" bestFit="1" customWidth="1"/>
    <col min="14901" max="14901" width="80.7109375" style="18" customWidth="1"/>
    <col min="14902" max="14902" width="14.7109375" style="18" bestFit="1" customWidth="1"/>
    <col min="14903" max="14903" width="18.140625" style="18" bestFit="1" customWidth="1"/>
    <col min="14904" max="14904" width="16.7109375" style="18" bestFit="1" customWidth="1"/>
    <col min="14905" max="14905" width="18.5703125" style="18" bestFit="1" customWidth="1"/>
    <col min="14906" max="14906" width="21.28515625" style="18" bestFit="1" customWidth="1"/>
    <col min="14907" max="14907" width="16.28515625" style="18" bestFit="1" customWidth="1"/>
    <col min="14908" max="14908" width="21.140625" style="18" bestFit="1" customWidth="1"/>
    <col min="14909" max="14909" width="19" style="18" bestFit="1" customWidth="1"/>
    <col min="14910" max="14910" width="19.140625" style="18" customWidth="1"/>
    <col min="14911" max="14911" width="16.7109375" style="18" customWidth="1"/>
    <col min="14912" max="14912" width="21.140625" style="18" bestFit="1" customWidth="1"/>
    <col min="14913" max="14913" width="20.42578125" style="18" bestFit="1" customWidth="1"/>
    <col min="14914" max="14914" width="21.140625" style="18" customWidth="1"/>
    <col min="14915" max="14915" width="20.5703125" style="18" bestFit="1" customWidth="1"/>
    <col min="14916" max="14916" width="19.7109375" style="18" bestFit="1" customWidth="1"/>
    <col min="14917" max="14917" width="20.28515625" style="18" customWidth="1"/>
    <col min="14918" max="14918" width="20.85546875" style="18" bestFit="1" customWidth="1"/>
    <col min="14919" max="14919" width="19.5703125" style="18" bestFit="1" customWidth="1"/>
    <col min="14920" max="14920" width="18" style="18" customWidth="1"/>
    <col min="14921" max="14921" width="20" style="18" bestFit="1" customWidth="1"/>
    <col min="14922" max="14922" width="35.7109375" style="18" customWidth="1"/>
    <col min="14923" max="14923" width="21.140625" style="18" bestFit="1" customWidth="1"/>
    <col min="14924" max="14924" width="20.5703125" style="18" bestFit="1" customWidth="1"/>
    <col min="14925" max="14925" width="19.42578125" style="18" bestFit="1" customWidth="1"/>
    <col min="14926" max="14926" width="18.5703125" style="18" bestFit="1" customWidth="1"/>
    <col min="14927" max="14927" width="20.5703125" style="18" bestFit="1" customWidth="1"/>
    <col min="14928" max="14928" width="21.28515625" style="18" bestFit="1" customWidth="1"/>
    <col min="14929" max="14929" width="15.42578125" style="18" customWidth="1"/>
    <col min="14930" max="14930" width="20.7109375" style="18" customWidth="1"/>
    <col min="14931" max="14931" width="21.28515625" style="18" customWidth="1"/>
    <col min="14932" max="14932" width="14.85546875" style="18" bestFit="1" customWidth="1"/>
    <col min="14933" max="14933" width="23" style="18" bestFit="1" customWidth="1"/>
    <col min="14934" max="14934" width="21.28515625" style="18" bestFit="1" customWidth="1"/>
    <col min="14935" max="14935" width="20.28515625" style="18" bestFit="1" customWidth="1"/>
    <col min="14936" max="14936" width="21" style="18" bestFit="1" customWidth="1"/>
    <col min="14937" max="14937" width="18.85546875" style="18" bestFit="1" customWidth="1"/>
    <col min="14938" max="14938" width="80.7109375" style="18" customWidth="1"/>
    <col min="14939" max="15126" width="9.140625" style="18"/>
    <col min="15127" max="15127" width="2.5703125" style="18" customWidth="1"/>
    <col min="15128" max="15128" width="17.85546875" style="18" customWidth="1"/>
    <col min="15129" max="15129" width="41.5703125" style="18" customWidth="1"/>
    <col min="15130" max="15131" width="12" style="18" customWidth="1"/>
    <col min="15132" max="15132" width="17" style="18" customWidth="1"/>
    <col min="15133" max="15133" width="9.7109375" style="18" customWidth="1"/>
    <col min="15134" max="15134" width="12.28515625" style="18" customWidth="1"/>
    <col min="15135" max="15135" width="13.7109375" style="18" customWidth="1"/>
    <col min="15136" max="15136" width="13.5703125" style="18" bestFit="1" customWidth="1"/>
    <col min="15137" max="15137" width="13.5703125" style="18" customWidth="1"/>
    <col min="15138" max="15138" width="21" style="18" customWidth="1"/>
    <col min="15139" max="15142" width="13.42578125" style="18" customWidth="1"/>
    <col min="15143" max="15144" width="19" style="18" customWidth="1"/>
    <col min="15145" max="15145" width="34" style="18" customWidth="1"/>
    <col min="15146" max="15146" width="19" style="18" customWidth="1"/>
    <col min="15147" max="15147" width="20" style="18" bestFit="1" customWidth="1"/>
    <col min="15148" max="15148" width="20.28515625" style="18" bestFit="1" customWidth="1"/>
    <col min="15149" max="15149" width="26.7109375" style="18" customWidth="1"/>
    <col min="15150" max="15150" width="20.85546875" style="18" bestFit="1" customWidth="1"/>
    <col min="15151" max="15151" width="20.85546875" style="18" customWidth="1"/>
    <col min="15152" max="15152" width="18.85546875" style="18" customWidth="1"/>
    <col min="15153" max="15153" width="17.5703125" style="18" customWidth="1"/>
    <col min="15154" max="15155" width="19.42578125" style="18" customWidth="1"/>
    <col min="15156" max="15156" width="20.7109375" style="18" bestFit="1" customWidth="1"/>
    <col min="15157" max="15157" width="80.7109375" style="18" customWidth="1"/>
    <col min="15158" max="15158" width="14.7109375" style="18" bestFit="1" customWidth="1"/>
    <col min="15159" max="15159" width="18.140625" style="18" bestFit="1" customWidth="1"/>
    <col min="15160" max="15160" width="16.7109375" style="18" bestFit="1" customWidth="1"/>
    <col min="15161" max="15161" width="18.5703125" style="18" bestFit="1" customWidth="1"/>
    <col min="15162" max="15162" width="21.28515625" style="18" bestFit="1" customWidth="1"/>
    <col min="15163" max="15163" width="16.28515625" style="18" bestFit="1" customWidth="1"/>
    <col min="15164" max="15164" width="21.140625" style="18" bestFit="1" customWidth="1"/>
    <col min="15165" max="15165" width="19" style="18" bestFit="1" customWidth="1"/>
    <col min="15166" max="15166" width="19.140625" style="18" customWidth="1"/>
    <col min="15167" max="15167" width="16.7109375" style="18" customWidth="1"/>
    <col min="15168" max="15168" width="21.140625" style="18" bestFit="1" customWidth="1"/>
    <col min="15169" max="15169" width="20.42578125" style="18" bestFit="1" customWidth="1"/>
    <col min="15170" max="15170" width="21.140625" style="18" customWidth="1"/>
    <col min="15171" max="15171" width="20.5703125" style="18" bestFit="1" customWidth="1"/>
    <col min="15172" max="15172" width="19.7109375" style="18" bestFit="1" customWidth="1"/>
    <col min="15173" max="15173" width="20.28515625" style="18" customWidth="1"/>
    <col min="15174" max="15174" width="20.85546875" style="18" bestFit="1" customWidth="1"/>
    <col min="15175" max="15175" width="19.5703125" style="18" bestFit="1" customWidth="1"/>
    <col min="15176" max="15176" width="18" style="18" customWidth="1"/>
    <col min="15177" max="15177" width="20" style="18" bestFit="1" customWidth="1"/>
    <col min="15178" max="15178" width="35.7109375" style="18" customWidth="1"/>
    <col min="15179" max="15179" width="21.140625" style="18" bestFit="1" customWidth="1"/>
    <col min="15180" max="15180" width="20.5703125" style="18" bestFit="1" customWidth="1"/>
    <col min="15181" max="15181" width="19.42578125" style="18" bestFit="1" customWidth="1"/>
    <col min="15182" max="15182" width="18.5703125" style="18" bestFit="1" customWidth="1"/>
    <col min="15183" max="15183" width="20.5703125" style="18" bestFit="1" customWidth="1"/>
    <col min="15184" max="15184" width="21.28515625" style="18" bestFit="1" customWidth="1"/>
    <col min="15185" max="15185" width="15.42578125" style="18" customWidth="1"/>
    <col min="15186" max="15186" width="20.7109375" style="18" customWidth="1"/>
    <col min="15187" max="15187" width="21.28515625" style="18" customWidth="1"/>
    <col min="15188" max="15188" width="14.85546875" style="18" bestFit="1" customWidth="1"/>
    <col min="15189" max="15189" width="23" style="18" bestFit="1" customWidth="1"/>
    <col min="15190" max="15190" width="21.28515625" style="18" bestFit="1" customWidth="1"/>
    <col min="15191" max="15191" width="20.28515625" style="18" bestFit="1" customWidth="1"/>
    <col min="15192" max="15192" width="21" style="18" bestFit="1" customWidth="1"/>
    <col min="15193" max="15193" width="18.85546875" style="18" bestFit="1" customWidth="1"/>
    <col min="15194" max="15194" width="80.7109375" style="18" customWidth="1"/>
    <col min="15195" max="15382" width="9.140625" style="18"/>
    <col min="15383" max="15383" width="2.5703125" style="18" customWidth="1"/>
    <col min="15384" max="15384" width="17.85546875" style="18" customWidth="1"/>
    <col min="15385" max="15385" width="41.5703125" style="18" customWidth="1"/>
    <col min="15386" max="15387" width="12" style="18" customWidth="1"/>
    <col min="15388" max="15388" width="17" style="18" customWidth="1"/>
    <col min="15389" max="15389" width="9.7109375" style="18" customWidth="1"/>
    <col min="15390" max="15390" width="12.28515625" style="18" customWidth="1"/>
    <col min="15391" max="15391" width="13.7109375" style="18" customWidth="1"/>
    <col min="15392" max="15392" width="13.5703125" style="18" bestFit="1" customWidth="1"/>
    <col min="15393" max="15393" width="13.5703125" style="18" customWidth="1"/>
    <col min="15394" max="15394" width="21" style="18" customWidth="1"/>
    <col min="15395" max="15398" width="13.42578125" style="18" customWidth="1"/>
    <col min="15399" max="15400" width="19" style="18" customWidth="1"/>
    <col min="15401" max="15401" width="34" style="18" customWidth="1"/>
    <col min="15402" max="15402" width="19" style="18" customWidth="1"/>
    <col min="15403" max="15403" width="20" style="18" bestFit="1" customWidth="1"/>
    <col min="15404" max="15404" width="20.28515625" style="18" bestFit="1" customWidth="1"/>
    <col min="15405" max="15405" width="26.7109375" style="18" customWidth="1"/>
    <col min="15406" max="15406" width="20.85546875" style="18" bestFit="1" customWidth="1"/>
    <col min="15407" max="15407" width="20.85546875" style="18" customWidth="1"/>
    <col min="15408" max="15408" width="18.85546875" style="18" customWidth="1"/>
    <col min="15409" max="15409" width="17.5703125" style="18" customWidth="1"/>
    <col min="15410" max="15411" width="19.42578125" style="18" customWidth="1"/>
    <col min="15412" max="15412" width="20.7109375" style="18" bestFit="1" customWidth="1"/>
    <col min="15413" max="15413" width="80.7109375" style="18" customWidth="1"/>
    <col min="15414" max="15414" width="14.7109375" style="18" bestFit="1" customWidth="1"/>
    <col min="15415" max="15415" width="18.140625" style="18" bestFit="1" customWidth="1"/>
    <col min="15416" max="15416" width="16.7109375" style="18" bestFit="1" customWidth="1"/>
    <col min="15417" max="15417" width="18.5703125" style="18" bestFit="1" customWidth="1"/>
    <col min="15418" max="15418" width="21.28515625" style="18" bestFit="1" customWidth="1"/>
    <col min="15419" max="15419" width="16.28515625" style="18" bestFit="1" customWidth="1"/>
    <col min="15420" max="15420" width="21.140625" style="18" bestFit="1" customWidth="1"/>
    <col min="15421" max="15421" width="19" style="18" bestFit="1" customWidth="1"/>
    <col min="15422" max="15422" width="19.140625" style="18" customWidth="1"/>
    <col min="15423" max="15423" width="16.7109375" style="18" customWidth="1"/>
    <col min="15424" max="15424" width="21.140625" style="18" bestFit="1" customWidth="1"/>
    <col min="15425" max="15425" width="20.42578125" style="18" bestFit="1" customWidth="1"/>
    <col min="15426" max="15426" width="21.140625" style="18" customWidth="1"/>
    <col min="15427" max="15427" width="20.5703125" style="18" bestFit="1" customWidth="1"/>
    <col min="15428" max="15428" width="19.7109375" style="18" bestFit="1" customWidth="1"/>
    <col min="15429" max="15429" width="20.28515625" style="18" customWidth="1"/>
    <col min="15430" max="15430" width="20.85546875" style="18" bestFit="1" customWidth="1"/>
    <col min="15431" max="15431" width="19.5703125" style="18" bestFit="1" customWidth="1"/>
    <col min="15432" max="15432" width="18" style="18" customWidth="1"/>
    <col min="15433" max="15433" width="20" style="18" bestFit="1" customWidth="1"/>
    <col min="15434" max="15434" width="35.7109375" style="18" customWidth="1"/>
    <col min="15435" max="15435" width="21.140625" style="18" bestFit="1" customWidth="1"/>
    <col min="15436" max="15436" width="20.5703125" style="18" bestFit="1" customWidth="1"/>
    <col min="15437" max="15437" width="19.42578125" style="18" bestFit="1" customWidth="1"/>
    <col min="15438" max="15438" width="18.5703125" style="18" bestFit="1" customWidth="1"/>
    <col min="15439" max="15439" width="20.5703125" style="18" bestFit="1" customWidth="1"/>
    <col min="15440" max="15440" width="21.28515625" style="18" bestFit="1" customWidth="1"/>
    <col min="15441" max="15441" width="15.42578125" style="18" customWidth="1"/>
    <col min="15442" max="15442" width="20.7109375" style="18" customWidth="1"/>
    <col min="15443" max="15443" width="21.28515625" style="18" customWidth="1"/>
    <col min="15444" max="15444" width="14.85546875" style="18" bestFit="1" customWidth="1"/>
    <col min="15445" max="15445" width="23" style="18" bestFit="1" customWidth="1"/>
    <col min="15446" max="15446" width="21.28515625" style="18" bestFit="1" customWidth="1"/>
    <col min="15447" max="15447" width="20.28515625" style="18" bestFit="1" customWidth="1"/>
    <col min="15448" max="15448" width="21" style="18" bestFit="1" customWidth="1"/>
    <col min="15449" max="15449" width="18.85546875" style="18" bestFit="1" customWidth="1"/>
    <col min="15450" max="15450" width="80.7109375" style="18" customWidth="1"/>
    <col min="15451" max="15638" width="9.140625" style="18"/>
    <col min="15639" max="15639" width="2.5703125" style="18" customWidth="1"/>
    <col min="15640" max="15640" width="17.85546875" style="18" customWidth="1"/>
    <col min="15641" max="15641" width="41.5703125" style="18" customWidth="1"/>
    <col min="15642" max="15643" width="12" style="18" customWidth="1"/>
    <col min="15644" max="15644" width="17" style="18" customWidth="1"/>
    <col min="15645" max="15645" width="9.7109375" style="18" customWidth="1"/>
    <col min="15646" max="15646" width="12.28515625" style="18" customWidth="1"/>
    <col min="15647" max="15647" width="13.7109375" style="18" customWidth="1"/>
    <col min="15648" max="15648" width="13.5703125" style="18" bestFit="1" customWidth="1"/>
    <col min="15649" max="15649" width="13.5703125" style="18" customWidth="1"/>
    <col min="15650" max="15650" width="21" style="18" customWidth="1"/>
    <col min="15651" max="15654" width="13.42578125" style="18" customWidth="1"/>
    <col min="15655" max="15656" width="19" style="18" customWidth="1"/>
    <col min="15657" max="15657" width="34" style="18" customWidth="1"/>
    <col min="15658" max="15658" width="19" style="18" customWidth="1"/>
    <col min="15659" max="15659" width="20" style="18" bestFit="1" customWidth="1"/>
    <col min="15660" max="15660" width="20.28515625" style="18" bestFit="1" customWidth="1"/>
    <col min="15661" max="15661" width="26.7109375" style="18" customWidth="1"/>
    <col min="15662" max="15662" width="20.85546875" style="18" bestFit="1" customWidth="1"/>
    <col min="15663" max="15663" width="20.85546875" style="18" customWidth="1"/>
    <col min="15664" max="15664" width="18.85546875" style="18" customWidth="1"/>
    <col min="15665" max="15665" width="17.5703125" style="18" customWidth="1"/>
    <col min="15666" max="15667" width="19.42578125" style="18" customWidth="1"/>
    <col min="15668" max="15668" width="20.7109375" style="18" bestFit="1" customWidth="1"/>
    <col min="15669" max="15669" width="80.7109375" style="18" customWidth="1"/>
    <col min="15670" max="15670" width="14.7109375" style="18" bestFit="1" customWidth="1"/>
    <col min="15671" max="15671" width="18.140625" style="18" bestFit="1" customWidth="1"/>
    <col min="15672" max="15672" width="16.7109375" style="18" bestFit="1" customWidth="1"/>
    <col min="15673" max="15673" width="18.5703125" style="18" bestFit="1" customWidth="1"/>
    <col min="15674" max="15674" width="21.28515625" style="18" bestFit="1" customWidth="1"/>
    <col min="15675" max="15675" width="16.28515625" style="18" bestFit="1" customWidth="1"/>
    <col min="15676" max="15676" width="21.140625" style="18" bestFit="1" customWidth="1"/>
    <col min="15677" max="15677" width="19" style="18" bestFit="1" customWidth="1"/>
    <col min="15678" max="15678" width="19.140625" style="18" customWidth="1"/>
    <col min="15679" max="15679" width="16.7109375" style="18" customWidth="1"/>
    <col min="15680" max="15680" width="21.140625" style="18" bestFit="1" customWidth="1"/>
    <col min="15681" max="15681" width="20.42578125" style="18" bestFit="1" customWidth="1"/>
    <col min="15682" max="15682" width="21.140625" style="18" customWidth="1"/>
    <col min="15683" max="15683" width="20.5703125" style="18" bestFit="1" customWidth="1"/>
    <col min="15684" max="15684" width="19.7109375" style="18" bestFit="1" customWidth="1"/>
    <col min="15685" max="15685" width="20.28515625" style="18" customWidth="1"/>
    <col min="15686" max="15686" width="20.85546875" style="18" bestFit="1" customWidth="1"/>
    <col min="15687" max="15687" width="19.5703125" style="18" bestFit="1" customWidth="1"/>
    <col min="15688" max="15688" width="18" style="18" customWidth="1"/>
    <col min="15689" max="15689" width="20" style="18" bestFit="1" customWidth="1"/>
    <col min="15690" max="15690" width="35.7109375" style="18" customWidth="1"/>
    <col min="15691" max="15691" width="21.140625" style="18" bestFit="1" customWidth="1"/>
    <col min="15692" max="15692" width="20.5703125" style="18" bestFit="1" customWidth="1"/>
    <col min="15693" max="15693" width="19.42578125" style="18" bestFit="1" customWidth="1"/>
    <col min="15694" max="15694" width="18.5703125" style="18" bestFit="1" customWidth="1"/>
    <col min="15695" max="15695" width="20.5703125" style="18" bestFit="1" customWidth="1"/>
    <col min="15696" max="15696" width="21.28515625" style="18" bestFit="1" customWidth="1"/>
    <col min="15697" max="15697" width="15.42578125" style="18" customWidth="1"/>
    <col min="15698" max="15698" width="20.7109375" style="18" customWidth="1"/>
    <col min="15699" max="15699" width="21.28515625" style="18" customWidth="1"/>
    <col min="15700" max="15700" width="14.85546875" style="18" bestFit="1" customWidth="1"/>
    <col min="15701" max="15701" width="23" style="18" bestFit="1" customWidth="1"/>
    <col min="15702" max="15702" width="21.28515625" style="18" bestFit="1" customWidth="1"/>
    <col min="15703" max="15703" width="20.28515625" style="18" bestFit="1" customWidth="1"/>
    <col min="15704" max="15704" width="21" style="18" bestFit="1" customWidth="1"/>
    <col min="15705" max="15705" width="18.85546875" style="18" bestFit="1" customWidth="1"/>
    <col min="15706" max="15706" width="80.7109375" style="18" customWidth="1"/>
    <col min="15707" max="15894" width="9.140625" style="18"/>
    <col min="15895" max="15895" width="2.5703125" style="18" customWidth="1"/>
    <col min="15896" max="15896" width="17.85546875" style="18" customWidth="1"/>
    <col min="15897" max="15897" width="41.5703125" style="18" customWidth="1"/>
    <col min="15898" max="15899" width="12" style="18" customWidth="1"/>
    <col min="15900" max="15900" width="17" style="18" customWidth="1"/>
    <col min="15901" max="15901" width="9.7109375" style="18" customWidth="1"/>
    <col min="15902" max="15902" width="12.28515625" style="18" customWidth="1"/>
    <col min="15903" max="15903" width="13.7109375" style="18" customWidth="1"/>
    <col min="15904" max="15904" width="13.5703125" style="18" bestFit="1" customWidth="1"/>
    <col min="15905" max="15905" width="13.5703125" style="18" customWidth="1"/>
    <col min="15906" max="15906" width="21" style="18" customWidth="1"/>
    <col min="15907" max="15910" width="13.42578125" style="18" customWidth="1"/>
    <col min="15911" max="15912" width="19" style="18" customWidth="1"/>
    <col min="15913" max="15913" width="34" style="18" customWidth="1"/>
    <col min="15914" max="15914" width="19" style="18" customWidth="1"/>
    <col min="15915" max="15915" width="20" style="18" bestFit="1" customWidth="1"/>
    <col min="15916" max="15916" width="20.28515625" style="18" bestFit="1" customWidth="1"/>
    <col min="15917" max="15917" width="26.7109375" style="18" customWidth="1"/>
    <col min="15918" max="15918" width="20.85546875" style="18" bestFit="1" customWidth="1"/>
    <col min="15919" max="15919" width="20.85546875" style="18" customWidth="1"/>
    <col min="15920" max="15920" width="18.85546875" style="18" customWidth="1"/>
    <col min="15921" max="15921" width="17.5703125" style="18" customWidth="1"/>
    <col min="15922" max="15923" width="19.42578125" style="18" customWidth="1"/>
    <col min="15924" max="15924" width="20.7109375" style="18" bestFit="1" customWidth="1"/>
    <col min="15925" max="15925" width="80.7109375" style="18" customWidth="1"/>
    <col min="15926" max="15926" width="14.7109375" style="18" bestFit="1" customWidth="1"/>
    <col min="15927" max="15927" width="18.140625" style="18" bestFit="1" customWidth="1"/>
    <col min="15928" max="15928" width="16.7109375" style="18" bestFit="1" customWidth="1"/>
    <col min="15929" max="15929" width="18.5703125" style="18" bestFit="1" customWidth="1"/>
    <col min="15930" max="15930" width="21.28515625" style="18" bestFit="1" customWidth="1"/>
    <col min="15931" max="15931" width="16.28515625" style="18" bestFit="1" customWidth="1"/>
    <col min="15932" max="15932" width="21.140625" style="18" bestFit="1" customWidth="1"/>
    <col min="15933" max="15933" width="19" style="18" bestFit="1" customWidth="1"/>
    <col min="15934" max="15934" width="19.140625" style="18" customWidth="1"/>
    <col min="15935" max="15935" width="16.7109375" style="18" customWidth="1"/>
    <col min="15936" max="15936" width="21.140625" style="18" bestFit="1" customWidth="1"/>
    <col min="15937" max="15937" width="20.42578125" style="18" bestFit="1" customWidth="1"/>
    <col min="15938" max="15938" width="21.140625" style="18" customWidth="1"/>
    <col min="15939" max="15939" width="20.5703125" style="18" bestFit="1" customWidth="1"/>
    <col min="15940" max="15940" width="19.7109375" style="18" bestFit="1" customWidth="1"/>
    <col min="15941" max="15941" width="20.28515625" style="18" customWidth="1"/>
    <col min="15942" max="15942" width="20.85546875" style="18" bestFit="1" customWidth="1"/>
    <col min="15943" max="15943" width="19.5703125" style="18" bestFit="1" customWidth="1"/>
    <col min="15944" max="15944" width="18" style="18" customWidth="1"/>
    <col min="15945" max="15945" width="20" style="18" bestFit="1" customWidth="1"/>
    <col min="15946" max="15946" width="35.7109375" style="18" customWidth="1"/>
    <col min="15947" max="15947" width="21.140625" style="18" bestFit="1" customWidth="1"/>
    <col min="15948" max="15948" width="20.5703125" style="18" bestFit="1" customWidth="1"/>
    <col min="15949" max="15949" width="19.42578125" style="18" bestFit="1" customWidth="1"/>
    <col min="15950" max="15950" width="18.5703125" style="18" bestFit="1" customWidth="1"/>
    <col min="15951" max="15951" width="20.5703125" style="18" bestFit="1" customWidth="1"/>
    <col min="15952" max="15952" width="21.28515625" style="18" bestFit="1" customWidth="1"/>
    <col min="15953" max="15953" width="15.42578125" style="18" customWidth="1"/>
    <col min="15954" max="15954" width="20.7109375" style="18" customWidth="1"/>
    <col min="15955" max="15955" width="21.28515625" style="18" customWidth="1"/>
    <col min="15956" max="15956" width="14.85546875" style="18" bestFit="1" customWidth="1"/>
    <col min="15957" max="15957" width="23" style="18" bestFit="1" customWidth="1"/>
    <col min="15958" max="15958" width="21.28515625" style="18" bestFit="1" customWidth="1"/>
    <col min="15959" max="15959" width="20.28515625" style="18" bestFit="1" customWidth="1"/>
    <col min="15960" max="15960" width="21" style="18" bestFit="1" customWidth="1"/>
    <col min="15961" max="15961" width="18.85546875" style="18" bestFit="1" customWidth="1"/>
    <col min="15962" max="15962" width="80.7109375" style="18" customWidth="1"/>
    <col min="15963" max="16150" width="9.140625" style="18"/>
    <col min="16151" max="16151" width="2.5703125" style="18" customWidth="1"/>
    <col min="16152" max="16152" width="17.85546875" style="18" customWidth="1"/>
    <col min="16153" max="16153" width="41.5703125" style="18" customWidth="1"/>
    <col min="16154" max="16155" width="12" style="18" customWidth="1"/>
    <col min="16156" max="16156" width="17" style="18" customWidth="1"/>
    <col min="16157" max="16157" width="9.7109375" style="18" customWidth="1"/>
    <col min="16158" max="16158" width="12.28515625" style="18" customWidth="1"/>
    <col min="16159" max="16159" width="13.7109375" style="18" customWidth="1"/>
    <col min="16160" max="16160" width="13.5703125" style="18" bestFit="1" customWidth="1"/>
    <col min="16161" max="16161" width="13.5703125" style="18" customWidth="1"/>
    <col min="16162" max="16162" width="21" style="18" customWidth="1"/>
    <col min="16163" max="16166" width="13.42578125" style="18" customWidth="1"/>
    <col min="16167" max="16168" width="19" style="18" customWidth="1"/>
    <col min="16169" max="16169" width="34" style="18" customWidth="1"/>
    <col min="16170" max="16170" width="19" style="18" customWidth="1"/>
    <col min="16171" max="16171" width="20" style="18" bestFit="1" customWidth="1"/>
    <col min="16172" max="16172" width="20.28515625" style="18" bestFit="1" customWidth="1"/>
    <col min="16173" max="16173" width="26.7109375" style="18" customWidth="1"/>
    <col min="16174" max="16174" width="20.85546875" style="18" bestFit="1" customWidth="1"/>
    <col min="16175" max="16175" width="20.85546875" style="18" customWidth="1"/>
    <col min="16176" max="16176" width="18.85546875" style="18" customWidth="1"/>
    <col min="16177" max="16177" width="17.5703125" style="18" customWidth="1"/>
    <col min="16178" max="16179" width="19.42578125" style="18" customWidth="1"/>
    <col min="16180" max="16180" width="20.7109375" style="18" bestFit="1" customWidth="1"/>
    <col min="16181" max="16181" width="80.7109375" style="18" customWidth="1"/>
    <col min="16182" max="16182" width="14.7109375" style="18" bestFit="1" customWidth="1"/>
    <col min="16183" max="16183" width="18.140625" style="18" bestFit="1" customWidth="1"/>
    <col min="16184" max="16184" width="16.7109375" style="18" bestFit="1" customWidth="1"/>
    <col min="16185" max="16185" width="18.5703125" style="18" bestFit="1" customWidth="1"/>
    <col min="16186" max="16186" width="21.28515625" style="18" bestFit="1" customWidth="1"/>
    <col min="16187" max="16187" width="16.28515625" style="18" bestFit="1" customWidth="1"/>
    <col min="16188" max="16188" width="21.140625" style="18" bestFit="1" customWidth="1"/>
    <col min="16189" max="16189" width="19" style="18" bestFit="1" customWidth="1"/>
    <col min="16190" max="16190" width="19.140625" style="18" customWidth="1"/>
    <col min="16191" max="16191" width="16.7109375" style="18" customWidth="1"/>
    <col min="16192" max="16192" width="21.140625" style="18" bestFit="1" customWidth="1"/>
    <col min="16193" max="16193" width="20.42578125" style="18" bestFit="1" customWidth="1"/>
    <col min="16194" max="16194" width="21.140625" style="18" customWidth="1"/>
    <col min="16195" max="16195" width="20.5703125" style="18" bestFit="1" customWidth="1"/>
    <col min="16196" max="16196" width="19.7109375" style="18" bestFit="1" customWidth="1"/>
    <col min="16197" max="16197" width="20.28515625" style="18" customWidth="1"/>
    <col min="16198" max="16198" width="20.85546875" style="18" bestFit="1" customWidth="1"/>
    <col min="16199" max="16199" width="19.5703125" style="18" bestFit="1" customWidth="1"/>
    <col min="16200" max="16200" width="18" style="18" customWidth="1"/>
    <col min="16201" max="16201" width="20" style="18" bestFit="1" customWidth="1"/>
    <col min="16202" max="16202" width="35.7109375" style="18" customWidth="1"/>
    <col min="16203" max="16203" width="21.140625" style="18" bestFit="1" customWidth="1"/>
    <col min="16204" max="16204" width="20.5703125" style="18" bestFit="1" customWidth="1"/>
    <col min="16205" max="16205" width="19.42578125" style="18" bestFit="1" customWidth="1"/>
    <col min="16206" max="16206" width="18.5703125" style="18" bestFit="1" customWidth="1"/>
    <col min="16207" max="16207" width="20.5703125" style="18" bestFit="1" customWidth="1"/>
    <col min="16208" max="16208" width="21.28515625" style="18" bestFit="1" customWidth="1"/>
    <col min="16209" max="16209" width="15.42578125" style="18" customWidth="1"/>
    <col min="16210" max="16210" width="20.7109375" style="18" customWidth="1"/>
    <col min="16211" max="16211" width="21.28515625" style="18" customWidth="1"/>
    <col min="16212" max="16212" width="14.85546875" style="18" bestFit="1" customWidth="1"/>
    <col min="16213" max="16213" width="23" style="18" bestFit="1" customWidth="1"/>
    <col min="16214" max="16214" width="21.28515625" style="18" bestFit="1" customWidth="1"/>
    <col min="16215" max="16215" width="20.28515625" style="18" bestFit="1" customWidth="1"/>
    <col min="16216" max="16216" width="21" style="18" bestFit="1" customWidth="1"/>
    <col min="16217" max="16217" width="18.85546875" style="18" bestFit="1" customWidth="1"/>
    <col min="16218" max="16218" width="80.7109375" style="18" customWidth="1"/>
    <col min="16219" max="16384" width="9.140625" style="18"/>
  </cols>
  <sheetData>
    <row r="1" spans="2:94" ht="38.450000000000003" customHeight="1" thickBot="1" x14ac:dyDescent="0.25"/>
    <row r="2" spans="2:94" s="25" customFormat="1" ht="33.6" customHeight="1" thickTop="1" thickBot="1" x14ac:dyDescent="0.3">
      <c r="B2" s="20" t="s">
        <v>25</v>
      </c>
      <c r="C2" s="34"/>
      <c r="D2" s="34"/>
      <c r="E2" s="21">
        <v>42277</v>
      </c>
      <c r="F2" s="836" t="s">
        <v>456</v>
      </c>
      <c r="G2" s="837"/>
      <c r="H2" s="837"/>
      <c r="I2" s="837"/>
      <c r="J2" s="837"/>
      <c r="K2" s="837"/>
      <c r="L2" s="838"/>
      <c r="M2" s="838"/>
      <c r="N2" s="838"/>
      <c r="O2" s="839"/>
      <c r="P2" s="22"/>
      <c r="Q2" s="743"/>
      <c r="R2" s="335"/>
      <c r="X2" s="851" t="s">
        <v>242</v>
      </c>
      <c r="Y2" s="852"/>
      <c r="Z2" s="852"/>
      <c r="AA2" s="852"/>
      <c r="AB2" s="852"/>
      <c r="AC2" s="852"/>
      <c r="AD2" s="852"/>
      <c r="AE2" s="852"/>
      <c r="AF2" s="852"/>
      <c r="AG2" s="852"/>
      <c r="AH2" s="852"/>
      <c r="AI2" s="852"/>
      <c r="AJ2" s="852"/>
      <c r="AK2" s="852"/>
      <c r="AL2" s="852"/>
      <c r="AM2" s="852"/>
      <c r="AN2" s="852"/>
      <c r="AO2" s="852"/>
      <c r="AP2" s="852"/>
      <c r="AQ2" s="852"/>
      <c r="AR2" s="852"/>
      <c r="AS2" s="852"/>
      <c r="AT2" s="852"/>
      <c r="AU2" s="852"/>
      <c r="AV2" s="853"/>
      <c r="AW2" s="854" t="s">
        <v>704</v>
      </c>
      <c r="AX2" s="855"/>
      <c r="AY2" s="855"/>
      <c r="AZ2" s="855"/>
      <c r="BA2" s="855"/>
      <c r="BB2" s="855"/>
      <c r="BC2" s="855"/>
      <c r="BD2" s="855"/>
      <c r="BE2" s="855"/>
      <c r="BF2" s="855"/>
      <c r="BG2" s="855"/>
      <c r="BH2" s="855"/>
      <c r="BI2" s="855"/>
      <c r="BJ2" s="855"/>
      <c r="BK2" s="855"/>
      <c r="BL2" s="855"/>
      <c r="BM2" s="855"/>
      <c r="BN2" s="855"/>
      <c r="BO2" s="855"/>
      <c r="BP2" s="855"/>
      <c r="BQ2" s="855"/>
      <c r="BR2" s="855"/>
      <c r="BS2" s="855"/>
      <c r="BT2" s="855"/>
      <c r="BU2" s="855"/>
      <c r="BV2" s="855"/>
      <c r="BW2" s="855"/>
      <c r="BX2" s="856"/>
      <c r="BY2" s="282"/>
      <c r="BZ2" s="282"/>
      <c r="CA2" s="282"/>
      <c r="CB2" s="33"/>
      <c r="CC2" s="33"/>
      <c r="CD2" s="33"/>
      <c r="CE2" s="33"/>
      <c r="CF2" s="33"/>
      <c r="CG2" s="33"/>
      <c r="CH2" s="33"/>
      <c r="CI2" s="33"/>
      <c r="CJ2" s="33"/>
      <c r="CK2" s="282"/>
      <c r="CL2" s="33"/>
      <c r="CM2" s="33"/>
      <c r="CN2" s="33"/>
      <c r="CO2" s="33"/>
      <c r="CP2" s="344"/>
    </row>
    <row r="3" spans="2:94" s="25" customFormat="1" ht="28.15" customHeight="1" thickBot="1" x14ac:dyDescent="0.3">
      <c r="B3" s="31" t="s">
        <v>6</v>
      </c>
      <c r="C3" s="35"/>
      <c r="D3" s="35"/>
      <c r="E3" s="32">
        <f>COUNTA(Database!E5:E713)</f>
        <v>175</v>
      </c>
      <c r="F3" s="840"/>
      <c r="G3" s="841"/>
      <c r="H3" s="841"/>
      <c r="I3" s="842"/>
      <c r="J3" s="792"/>
      <c r="K3" s="792"/>
      <c r="L3" s="339">
        <f>SUM(Database!L5:L179)</f>
        <v>17725</v>
      </c>
      <c r="M3" s="339">
        <f>SUM(Database!M5:M179)</f>
        <v>85805</v>
      </c>
      <c r="N3" s="794"/>
      <c r="O3" s="340">
        <f>SUM(Database!O5:O179)</f>
        <v>84638</v>
      </c>
      <c r="P3" s="23"/>
      <c r="Q3" s="23"/>
      <c r="R3" s="336"/>
      <c r="S3" s="843" t="s">
        <v>83</v>
      </c>
      <c r="T3" s="844"/>
      <c r="U3" s="844"/>
      <c r="V3" s="845"/>
      <c r="W3" s="392"/>
      <c r="X3" s="846" t="s">
        <v>85</v>
      </c>
      <c r="Y3" s="847"/>
      <c r="Z3" s="847"/>
      <c r="AA3" s="848"/>
      <c r="AB3" s="846" t="s">
        <v>86</v>
      </c>
      <c r="AC3" s="847"/>
      <c r="AD3" s="847"/>
      <c r="AE3" s="857" t="s">
        <v>240</v>
      </c>
      <c r="AF3" s="858"/>
      <c r="AG3" s="859"/>
      <c r="AH3" s="846" t="s">
        <v>10</v>
      </c>
      <c r="AI3" s="847"/>
      <c r="AJ3" s="847"/>
      <c r="AK3" s="847"/>
      <c r="AL3" s="847"/>
      <c r="AM3" s="847"/>
      <c r="AN3" s="847"/>
      <c r="AO3" s="847"/>
      <c r="AP3" s="847"/>
      <c r="AQ3" s="847"/>
      <c r="AR3" s="847"/>
      <c r="AS3" s="847"/>
      <c r="AT3" s="847"/>
      <c r="AU3" s="847"/>
      <c r="AV3" s="848"/>
      <c r="AW3" s="849" t="s">
        <v>13</v>
      </c>
      <c r="AX3" s="850"/>
      <c r="AY3" s="850"/>
      <c r="AZ3" s="850"/>
      <c r="BA3" s="850"/>
      <c r="BB3" s="850"/>
      <c r="BC3" s="850"/>
      <c r="BD3" s="850"/>
      <c r="BE3" s="850"/>
      <c r="BF3" s="850"/>
      <c r="BG3" s="850"/>
      <c r="BH3" s="850"/>
      <c r="BI3" s="850"/>
      <c r="BJ3" s="850"/>
      <c r="BK3" s="850"/>
      <c r="BL3" s="850"/>
      <c r="BM3" s="850"/>
      <c r="BN3" s="850"/>
      <c r="BO3" s="850"/>
      <c r="BP3" s="850"/>
      <c r="BQ3" s="850"/>
      <c r="BR3" s="850"/>
      <c r="BS3" s="850"/>
      <c r="BT3" s="850"/>
      <c r="BU3" s="850"/>
      <c r="BV3" s="850"/>
      <c r="BW3" s="850"/>
      <c r="BX3" s="346"/>
      <c r="BY3" s="832" t="s">
        <v>705</v>
      </c>
      <c r="BZ3" s="832"/>
      <c r="CA3" s="832"/>
      <c r="CB3" s="833"/>
      <c r="CC3" s="833"/>
      <c r="CD3" s="833"/>
      <c r="CE3" s="833"/>
      <c r="CF3" s="833"/>
      <c r="CG3" s="833"/>
      <c r="CH3" s="834"/>
      <c r="CI3" s="835" t="s">
        <v>99</v>
      </c>
      <c r="CJ3" s="833"/>
      <c r="CK3" s="834"/>
      <c r="CL3" s="835" t="s">
        <v>102</v>
      </c>
      <c r="CM3" s="833"/>
      <c r="CN3" s="833"/>
      <c r="CO3" s="833"/>
      <c r="CP3" s="347"/>
    </row>
    <row r="4" spans="2:94" s="19" customFormat="1" ht="117.75" customHeight="1" thickBot="1" x14ac:dyDescent="0.25">
      <c r="B4" s="348" t="s">
        <v>0</v>
      </c>
      <c r="C4" s="348" t="s">
        <v>481</v>
      </c>
      <c r="D4" s="348" t="s">
        <v>255</v>
      </c>
      <c r="E4" s="348" t="s">
        <v>1</v>
      </c>
      <c r="F4" s="348" t="s">
        <v>100</v>
      </c>
      <c r="G4" s="348" t="s">
        <v>101</v>
      </c>
      <c r="H4" s="349" t="s">
        <v>3</v>
      </c>
      <c r="I4" s="348" t="s">
        <v>4</v>
      </c>
      <c r="J4" s="798" t="s">
        <v>3</v>
      </c>
      <c r="K4" s="793" t="s">
        <v>911</v>
      </c>
      <c r="L4" s="348" t="s">
        <v>724</v>
      </c>
      <c r="M4" s="348" t="s">
        <v>8</v>
      </c>
      <c r="N4" s="348" t="s">
        <v>920</v>
      </c>
      <c r="O4" s="348" t="s">
        <v>9</v>
      </c>
      <c r="P4" s="348" t="s">
        <v>77</v>
      </c>
      <c r="Q4" s="348" t="s">
        <v>321</v>
      </c>
      <c r="R4" s="348" t="s">
        <v>17</v>
      </c>
      <c r="S4" s="348" t="s">
        <v>7</v>
      </c>
      <c r="T4" s="350" t="s">
        <v>643</v>
      </c>
      <c r="U4" s="348" t="s">
        <v>787</v>
      </c>
      <c r="V4" s="348" t="s">
        <v>251</v>
      </c>
      <c r="W4" s="393" t="s">
        <v>285</v>
      </c>
      <c r="X4" s="351" t="s">
        <v>228</v>
      </c>
      <c r="Y4" s="351" t="s">
        <v>229</v>
      </c>
      <c r="Z4" s="351" t="s">
        <v>928</v>
      </c>
      <c r="AA4" s="352" t="s">
        <v>84</v>
      </c>
      <c r="AB4" s="351" t="s">
        <v>294</v>
      </c>
      <c r="AC4" s="351" t="s">
        <v>97</v>
      </c>
      <c r="AD4" s="353" t="s">
        <v>243</v>
      </c>
      <c r="AE4" s="356" t="s">
        <v>244</v>
      </c>
      <c r="AF4" s="354" t="s">
        <v>627</v>
      </c>
      <c r="AG4" s="354" t="s">
        <v>921</v>
      </c>
      <c r="AH4" s="352" t="s">
        <v>87</v>
      </c>
      <c r="AI4" s="355" t="s">
        <v>300</v>
      </c>
      <c r="AJ4" s="352" t="s">
        <v>264</v>
      </c>
      <c r="AK4" s="355" t="s">
        <v>304</v>
      </c>
      <c r="AL4" s="352" t="s">
        <v>241</v>
      </c>
      <c r="AM4" s="350" t="s">
        <v>303</v>
      </c>
      <c r="AN4" s="352" t="s">
        <v>76</v>
      </c>
      <c r="AO4" s="352" t="s">
        <v>96</v>
      </c>
      <c r="AP4" s="350" t="s">
        <v>302</v>
      </c>
      <c r="AQ4" s="350" t="s">
        <v>450</v>
      </c>
      <c r="AR4" s="350" t="s">
        <v>451</v>
      </c>
      <c r="AS4" s="350" t="s">
        <v>452</v>
      </c>
      <c r="AT4" s="356" t="s">
        <v>272</v>
      </c>
      <c r="AU4" s="357" t="s">
        <v>301</v>
      </c>
      <c r="AV4" s="352" t="s">
        <v>15</v>
      </c>
      <c r="AW4" s="745" t="s">
        <v>98</v>
      </c>
      <c r="AX4" s="358" t="s">
        <v>245</v>
      </c>
      <c r="AY4" s="358" t="s">
        <v>923</v>
      </c>
      <c r="AZ4" s="358" t="s">
        <v>246</v>
      </c>
      <c r="BA4" s="358" t="s">
        <v>922</v>
      </c>
      <c r="BB4" s="63" t="s">
        <v>90</v>
      </c>
      <c r="BC4" s="63" t="s">
        <v>23</v>
      </c>
      <c r="BD4" s="350" t="s">
        <v>306</v>
      </c>
      <c r="BE4" s="63" t="s">
        <v>88</v>
      </c>
      <c r="BF4" s="350" t="s">
        <v>305</v>
      </c>
      <c r="BG4" s="63" t="s">
        <v>263</v>
      </c>
      <c r="BH4" s="350" t="s">
        <v>307</v>
      </c>
      <c r="BI4" s="63" t="s">
        <v>26</v>
      </c>
      <c r="BJ4" s="358" t="s">
        <v>270</v>
      </c>
      <c r="BK4" s="357" t="s">
        <v>308</v>
      </c>
      <c r="BL4" s="63" t="s">
        <v>24</v>
      </c>
      <c r="BM4" s="63" t="s">
        <v>663</v>
      </c>
      <c r="BN4" s="63" t="s">
        <v>819</v>
      </c>
      <c r="BO4" s="63" t="s">
        <v>22</v>
      </c>
      <c r="BP4" s="350" t="s">
        <v>309</v>
      </c>
      <c r="BQ4" s="63" t="s">
        <v>453</v>
      </c>
      <c r="BR4" s="63" t="s">
        <v>269</v>
      </c>
      <c r="BS4" s="350" t="s">
        <v>310</v>
      </c>
      <c r="BT4" s="63" t="s">
        <v>247</v>
      </c>
      <c r="BU4" s="63" t="s">
        <v>12</v>
      </c>
      <c r="BV4" s="63" t="s">
        <v>454</v>
      </c>
      <c r="BW4" s="63" t="s">
        <v>271</v>
      </c>
      <c r="BX4" s="63" t="s">
        <v>15</v>
      </c>
      <c r="BY4" s="397" t="s">
        <v>295</v>
      </c>
      <c r="BZ4" s="397" t="s">
        <v>929</v>
      </c>
      <c r="CA4" s="397" t="s">
        <v>930</v>
      </c>
      <c r="CB4" s="359" t="s">
        <v>298</v>
      </c>
      <c r="CC4" s="359" t="s">
        <v>296</v>
      </c>
      <c r="CD4" s="359" t="s">
        <v>297</v>
      </c>
      <c r="CE4" s="360" t="s">
        <v>5</v>
      </c>
      <c r="CF4" s="360" t="s">
        <v>91</v>
      </c>
      <c r="CG4" s="350" t="s">
        <v>235</v>
      </c>
      <c r="CH4" s="360" t="s">
        <v>14</v>
      </c>
      <c r="CI4" s="360" t="s">
        <v>15</v>
      </c>
      <c r="CJ4" s="360" t="s">
        <v>16</v>
      </c>
      <c r="CK4" s="350" t="s">
        <v>641</v>
      </c>
      <c r="CL4" s="360" t="s">
        <v>103</v>
      </c>
      <c r="CM4" s="361" t="s">
        <v>262</v>
      </c>
      <c r="CN4" s="361" t="s">
        <v>628</v>
      </c>
      <c r="CO4" s="360" t="s">
        <v>286</v>
      </c>
      <c r="CP4" s="360" t="s">
        <v>11</v>
      </c>
    </row>
    <row r="5" spans="2:94" ht="30.75" customHeight="1" x14ac:dyDescent="0.2">
      <c r="B5" s="460" t="s">
        <v>175</v>
      </c>
      <c r="C5" s="461" t="s">
        <v>506</v>
      </c>
      <c r="D5" s="462" t="s">
        <v>259</v>
      </c>
      <c r="E5" s="461" t="s">
        <v>632</v>
      </c>
      <c r="F5" s="462">
        <v>97.243579999999994</v>
      </c>
      <c r="G5" s="462">
        <v>24.260120000000001</v>
      </c>
      <c r="H5" s="462" t="s">
        <v>448</v>
      </c>
      <c r="I5" s="462" t="s">
        <v>213</v>
      </c>
      <c r="J5" s="462"/>
      <c r="K5" s="462"/>
      <c r="L5" s="463">
        <v>83</v>
      </c>
      <c r="M5" s="463">
        <v>434</v>
      </c>
      <c r="N5" s="463"/>
      <c r="O5" s="463">
        <v>434</v>
      </c>
      <c r="P5" s="362" t="str">
        <f t="shared" ref="P5:P36" si="0">IF(L5&gt;50,IF(L5&gt;250,IF(L5&gt;500,IF(L5&gt;1000,"5. Massive","4. Big"),"3. Large"),"2. Medium"),"1. Small")</f>
        <v>2. Medium</v>
      </c>
      <c r="Q5" s="716" t="s">
        <v>253</v>
      </c>
      <c r="R5" s="464" t="s">
        <v>230</v>
      </c>
      <c r="S5" s="475" t="s">
        <v>299</v>
      </c>
      <c r="T5" s="399" t="str">
        <f t="shared" ref="T5:T36" si="1">IF(S5="None","Not covered","Covered")</f>
        <v>Not covered</v>
      </c>
      <c r="U5" s="476" t="s">
        <v>626</v>
      </c>
      <c r="V5" s="464" t="s">
        <v>252</v>
      </c>
      <c r="W5" s="394" t="str">
        <f t="shared" ref="W5:W36" si="2">IF(V5="Not documented","Not documented","Documented")</f>
        <v>Documented</v>
      </c>
      <c r="X5" s="482">
        <v>0</v>
      </c>
      <c r="Y5" s="463">
        <v>0</v>
      </c>
      <c r="Z5" s="799"/>
      <c r="AA5" s="483" t="s">
        <v>19</v>
      </c>
      <c r="AB5" s="482">
        <v>0</v>
      </c>
      <c r="AC5" s="488">
        <v>0</v>
      </c>
      <c r="AD5" s="489">
        <v>14400</v>
      </c>
      <c r="AE5" s="724">
        <v>0.5</v>
      </c>
      <c r="AF5" s="725">
        <v>1</v>
      </c>
      <c r="AG5" s="795"/>
      <c r="AH5" s="400">
        <f t="shared" ref="AH5:AH36" si="3">IF((((X5/15)+((Y5/30)/15)+AB5*400+AC5*500+(AD5/15))/O5)&gt;1,1,(((X5/15)+((Y5/30)/15)+AB5*400+AC5*500+(AD5/15))/O5))</f>
        <v>1</v>
      </c>
      <c r="AI5" s="364">
        <f t="shared" ref="AI5:AI36" si="4">AH5*O5</f>
        <v>434</v>
      </c>
      <c r="AJ5" s="365">
        <f t="shared" ref="AJ5:AJ36" si="5">IF(((AB5*400+AC5*500+(AD5/15))/O5)&gt;1,1,(AB5*400+AC5*500+(AD5/15))/O5)</f>
        <v>1</v>
      </c>
      <c r="AK5" s="366">
        <f t="shared" ref="AK5:AK36" si="6">AJ5*O5</f>
        <v>434</v>
      </c>
      <c r="AL5" s="363">
        <f t="shared" ref="AL5:AL36" si="7">IF(AF5=0,AH5,IF(AF5&lt;AH5,AH5,AF5))</f>
        <v>1</v>
      </c>
      <c r="AM5" s="366">
        <f t="shared" ref="AM5:AM36" si="8">AL5*O5</f>
        <v>434</v>
      </c>
      <c r="AN5" s="367" t="str">
        <f t="shared" ref="AN5:AN36" si="9">IF(AH5&gt;0.15,IF(AH5&gt;0.3,IF(AH5&gt;0.45,IF(AH5&gt;0.6,IF(AH5&gt;0.8,"80-100%","60-80%"),"45-60%"),"30-45%"),"15-30%"),"0-10%")</f>
        <v>80-100%</v>
      </c>
      <c r="AO5" s="363">
        <f t="shared" ref="AO5:AO36" si="10">IF((AH5-AJ5)&lt; 0, 0, AH5-AJ5)</f>
        <v>0</v>
      </c>
      <c r="AP5" s="368">
        <f t="shared" ref="AP5:AP36" si="11">AO5*O5</f>
        <v>0</v>
      </c>
      <c r="AQ5" s="366">
        <f t="shared" ref="AQ5:AQ36" si="12">IF(O5/400-(AB5+AC5)&lt;0,0,O5/400-(AB5+AC5))</f>
        <v>1.085</v>
      </c>
      <c r="AR5" s="366">
        <f t="shared" ref="AR5:AR36" si="13">AF5*L5</f>
        <v>83</v>
      </c>
      <c r="AS5" s="366">
        <f t="shared" ref="AS5:AS36" si="14">AE5*O5</f>
        <v>217</v>
      </c>
      <c r="AT5" s="499">
        <v>1</v>
      </c>
      <c r="AU5" s="500">
        <f t="shared" ref="AU5:AU36" si="15">AT5*O5</f>
        <v>434</v>
      </c>
      <c r="AV5" s="489" t="s">
        <v>833</v>
      </c>
      <c r="AW5" s="746">
        <v>0</v>
      </c>
      <c r="AX5" s="463">
        <v>5</v>
      </c>
      <c r="AY5" s="463"/>
      <c r="AZ5" s="463">
        <v>8</v>
      </c>
      <c r="BA5" s="463"/>
      <c r="BB5" s="463" t="s">
        <v>289</v>
      </c>
      <c r="BC5" s="369">
        <f t="shared" ref="BC5:BC36" si="16">IF((((AX5+AZ5)*20)/O5)&gt;1,1,(((AX5+AZ5)*20)/O5))</f>
        <v>0.59907834101382484</v>
      </c>
      <c r="BD5" s="366">
        <f t="shared" ref="BD5:BD36" si="17">BC5*O5</f>
        <v>260</v>
      </c>
      <c r="BE5" s="369">
        <f t="shared" ref="BE5:BE36" si="18">BC5-BG5</f>
        <v>0.23041474654377875</v>
      </c>
      <c r="BF5" s="366">
        <f t="shared" ref="BF5:BF36" si="19">BE5*O5</f>
        <v>99.999999999999972</v>
      </c>
      <c r="BG5" s="369">
        <f t="shared" ref="BG5:BG36" si="20">IF(((AZ5*20)/O5)&gt;1,1,((AZ5*20)/O5))</f>
        <v>0.3686635944700461</v>
      </c>
      <c r="BH5" s="366">
        <f t="shared" ref="BH5:BH36" si="21">BG5*O5</f>
        <v>160</v>
      </c>
      <c r="BI5" s="488">
        <v>0</v>
      </c>
      <c r="BJ5" s="508">
        <v>0.6</v>
      </c>
      <c r="BK5" s="370">
        <f t="shared" ref="BK5:BK36" si="22">BJ5*O5</f>
        <v>260.39999999999998</v>
      </c>
      <c r="BL5" s="371">
        <f t="shared" ref="BL5:BL36" si="23">IF((O5/20-AZ5+BI5)&lt;0,0,(O5/20-AZ5+BI5))</f>
        <v>13.7</v>
      </c>
      <c r="BM5" s="463">
        <v>2</v>
      </c>
      <c r="BN5" s="463" t="s">
        <v>291</v>
      </c>
      <c r="BO5" s="369">
        <f t="shared" ref="BO5:BO36" si="24">IF((BM5*100/O5)&gt;1,1,(BM5*100/O5))</f>
        <v>0.46082949308755761</v>
      </c>
      <c r="BP5" s="366">
        <f t="shared" ref="BP5:BP36" si="25">BO5*O5</f>
        <v>200</v>
      </c>
      <c r="BQ5" s="371">
        <f t="shared" ref="BQ5:BQ36" si="26">IF(M5/100-BM5&lt;0,0,M5/100-BM5)</f>
        <v>2.34</v>
      </c>
      <c r="BR5" s="508">
        <v>0.46</v>
      </c>
      <c r="BS5" s="366">
        <f t="shared" ref="BS5:BS36" si="27">BR5*O5</f>
        <v>199.64000000000001</v>
      </c>
      <c r="BT5" s="463">
        <v>4</v>
      </c>
      <c r="BU5" s="369">
        <f t="shared" ref="BU5:BU36" si="28">IF((BT5*100/O5)&gt;1,1,(BT5*100/O5))</f>
        <v>0.92165898617511521</v>
      </c>
      <c r="BV5" s="371">
        <f t="shared" ref="BV5:BV36" si="29">IF(M5/100-BT5&lt;0,0,M5/100-BT5)</f>
        <v>0.33999999999999986</v>
      </c>
      <c r="BW5" s="493">
        <v>0.92</v>
      </c>
      <c r="BX5" s="515" t="s">
        <v>882</v>
      </c>
      <c r="BY5" s="726">
        <v>41788</v>
      </c>
      <c r="BZ5" s="802"/>
      <c r="CA5" s="805"/>
      <c r="CB5" s="372" t="str">
        <f t="shared" ref="CB5:CB36" si="30">IF(BY5="","To be realised",IF(BY5="n/a","n/a",IF(BY5+365&lt;$E$2,"To be realised",BY5+365)))</f>
        <v>To be realised</v>
      </c>
      <c r="CC5" s="463">
        <v>78</v>
      </c>
      <c r="CD5" s="463">
        <v>6</v>
      </c>
      <c r="CE5" s="373">
        <f t="shared" ref="CE5:CE36" si="31">IF(CB5="n/a",0,IF(CB5="To be realised",L5,IF((L5-CC5)&lt;0,0,(L5-CC5))))</f>
        <v>83</v>
      </c>
      <c r="CF5" s="374">
        <f t="shared" ref="CF5:CF36" si="32">IF(CE5=0,1,(L5-CE5)/L5)</f>
        <v>0</v>
      </c>
      <c r="CG5" s="366">
        <f t="shared" ref="CG5:CG36" si="33">CF5*O5</f>
        <v>0</v>
      </c>
      <c r="CH5" s="402">
        <f t="shared" ref="CH5:CH36" si="34">IF(BY5="","Column BN to be completed", IF(BY5="n/a",0,IF(($E$2-BY5-30)/30-CD5&lt;0,0,ROUND((($E$2-BY5-30)/30-CD5),0))))</f>
        <v>9</v>
      </c>
      <c r="CI5" s="482"/>
      <c r="CJ5" s="493"/>
      <c r="CK5" s="404">
        <f t="shared" ref="CK5:CK36" si="35">CJ5*O5</f>
        <v>0</v>
      </c>
      <c r="CL5" s="482">
        <v>2</v>
      </c>
      <c r="CM5" s="375" t="str">
        <f t="shared" ref="CM5:CM36" si="36">IF(CL5=0,"No coverage",IF(O5/CL5&gt;1000,"Low coverage",IF(O5/CL5&gt;750,"Average coverage",IF(O5/CL5&gt;500,"Good coverage","Excellent coverage"))))</f>
        <v>Excellent coverage</v>
      </c>
      <c r="CN5" s="488">
        <v>0</v>
      </c>
      <c r="CO5" s="483" t="s">
        <v>65</v>
      </c>
      <c r="CP5" s="524"/>
    </row>
    <row r="6" spans="2:94" s="40" customFormat="1" ht="30.75" customHeight="1" x14ac:dyDescent="0.25">
      <c r="B6" s="465" t="s">
        <v>175</v>
      </c>
      <c r="C6" s="466" t="s">
        <v>506</v>
      </c>
      <c r="D6" s="467" t="s">
        <v>259</v>
      </c>
      <c r="E6" s="466" t="s">
        <v>273</v>
      </c>
      <c r="F6" s="467">
        <v>97.238829999999993</v>
      </c>
      <c r="G6" s="467">
        <v>24.260719999999999</v>
      </c>
      <c r="H6" s="467" t="s">
        <v>448</v>
      </c>
      <c r="I6" s="467" t="s">
        <v>213</v>
      </c>
      <c r="J6" s="467"/>
      <c r="K6" s="467"/>
      <c r="L6" s="471">
        <v>210</v>
      </c>
      <c r="M6" s="471">
        <v>965</v>
      </c>
      <c r="N6" s="471"/>
      <c r="O6" s="471">
        <v>965</v>
      </c>
      <c r="P6" s="376" t="str">
        <f t="shared" si="0"/>
        <v>2. Medium</v>
      </c>
      <c r="Q6" s="717" t="s">
        <v>253</v>
      </c>
      <c r="R6" s="472" t="s">
        <v>230</v>
      </c>
      <c r="S6" s="479" t="s">
        <v>233</v>
      </c>
      <c r="T6" s="398" t="str">
        <f t="shared" si="1"/>
        <v>Covered</v>
      </c>
      <c r="U6" s="480">
        <v>42459</v>
      </c>
      <c r="V6" s="481" t="s">
        <v>252</v>
      </c>
      <c r="W6" s="395" t="str">
        <f t="shared" si="2"/>
        <v>Documented</v>
      </c>
      <c r="X6" s="486">
        <v>0</v>
      </c>
      <c r="Y6" s="471">
        <v>0</v>
      </c>
      <c r="Z6" s="800"/>
      <c r="AA6" s="487" t="s">
        <v>19</v>
      </c>
      <c r="AB6" s="486">
        <v>2</v>
      </c>
      <c r="AC6" s="471">
        <v>5</v>
      </c>
      <c r="AD6" s="487">
        <v>21600</v>
      </c>
      <c r="AE6" s="495">
        <v>0.8</v>
      </c>
      <c r="AF6" s="496">
        <v>1</v>
      </c>
      <c r="AG6" s="796"/>
      <c r="AH6" s="401">
        <f t="shared" si="3"/>
        <v>1</v>
      </c>
      <c r="AI6" s="378">
        <f t="shared" si="4"/>
        <v>965</v>
      </c>
      <c r="AJ6" s="379">
        <f t="shared" si="5"/>
        <v>1</v>
      </c>
      <c r="AK6" s="380">
        <f t="shared" si="6"/>
        <v>965</v>
      </c>
      <c r="AL6" s="377">
        <f t="shared" si="7"/>
        <v>1</v>
      </c>
      <c r="AM6" s="380">
        <f t="shared" si="8"/>
        <v>965</v>
      </c>
      <c r="AN6" s="381" t="str">
        <f t="shared" si="9"/>
        <v>80-100%</v>
      </c>
      <c r="AO6" s="377">
        <f t="shared" si="10"/>
        <v>0</v>
      </c>
      <c r="AP6" s="382">
        <f t="shared" si="11"/>
        <v>0</v>
      </c>
      <c r="AQ6" s="380">
        <f t="shared" si="12"/>
        <v>0</v>
      </c>
      <c r="AR6" s="380">
        <f t="shared" si="13"/>
        <v>210</v>
      </c>
      <c r="AS6" s="380">
        <f t="shared" si="14"/>
        <v>772</v>
      </c>
      <c r="AT6" s="504">
        <v>1</v>
      </c>
      <c r="AU6" s="502">
        <f t="shared" si="15"/>
        <v>965</v>
      </c>
      <c r="AV6" s="496" t="s">
        <v>832</v>
      </c>
      <c r="AW6" s="748">
        <v>9</v>
      </c>
      <c r="AX6" s="471">
        <v>1</v>
      </c>
      <c r="AY6" s="471"/>
      <c r="AZ6" s="471">
        <v>31</v>
      </c>
      <c r="BA6" s="471"/>
      <c r="BB6" s="471" t="s">
        <v>289</v>
      </c>
      <c r="BC6" s="383">
        <f t="shared" si="16"/>
        <v>0.66321243523316065</v>
      </c>
      <c r="BD6" s="380">
        <f t="shared" si="17"/>
        <v>640</v>
      </c>
      <c r="BE6" s="383">
        <f t="shared" si="18"/>
        <v>2.0725388601036343E-2</v>
      </c>
      <c r="BF6" s="380">
        <f t="shared" si="19"/>
        <v>20.000000000000071</v>
      </c>
      <c r="BG6" s="383">
        <f t="shared" si="20"/>
        <v>0.6424870466321243</v>
      </c>
      <c r="BH6" s="380">
        <f t="shared" si="21"/>
        <v>620</v>
      </c>
      <c r="BI6" s="509">
        <v>0</v>
      </c>
      <c r="BJ6" s="504">
        <v>0.66</v>
      </c>
      <c r="BK6" s="384">
        <f t="shared" si="22"/>
        <v>636.9</v>
      </c>
      <c r="BL6" s="385">
        <f t="shared" si="23"/>
        <v>17.25</v>
      </c>
      <c r="BM6" s="471">
        <v>3</v>
      </c>
      <c r="BN6" s="471" t="s">
        <v>291</v>
      </c>
      <c r="BO6" s="383">
        <f t="shared" si="24"/>
        <v>0.31088082901554404</v>
      </c>
      <c r="BP6" s="380">
        <f t="shared" si="25"/>
        <v>300</v>
      </c>
      <c r="BQ6" s="385">
        <f t="shared" si="26"/>
        <v>6.65</v>
      </c>
      <c r="BR6" s="510">
        <v>0.41</v>
      </c>
      <c r="BS6" s="380">
        <f t="shared" si="27"/>
        <v>395.65</v>
      </c>
      <c r="BT6" s="471">
        <v>7</v>
      </c>
      <c r="BU6" s="383">
        <f t="shared" si="28"/>
        <v>0.72538860103626945</v>
      </c>
      <c r="BV6" s="385">
        <f t="shared" si="29"/>
        <v>2.6500000000000004</v>
      </c>
      <c r="BW6" s="496">
        <v>0.73</v>
      </c>
      <c r="BX6" s="517" t="s">
        <v>882</v>
      </c>
      <c r="BY6" s="519">
        <v>41788</v>
      </c>
      <c r="BZ6" s="803"/>
      <c r="CA6" s="806"/>
      <c r="CB6" s="386" t="str">
        <f t="shared" si="30"/>
        <v>To be realised</v>
      </c>
      <c r="CC6" s="509">
        <v>212</v>
      </c>
      <c r="CD6" s="509">
        <v>6</v>
      </c>
      <c r="CE6" s="387">
        <f t="shared" si="31"/>
        <v>210</v>
      </c>
      <c r="CF6" s="388">
        <f t="shared" si="32"/>
        <v>0</v>
      </c>
      <c r="CG6" s="380">
        <f t="shared" si="33"/>
        <v>0</v>
      </c>
      <c r="CH6" s="403">
        <f t="shared" si="34"/>
        <v>9</v>
      </c>
      <c r="CI6" s="521"/>
      <c r="CJ6" s="496">
        <v>1</v>
      </c>
      <c r="CK6" s="405">
        <f t="shared" si="35"/>
        <v>965</v>
      </c>
      <c r="CL6" s="521">
        <v>5</v>
      </c>
      <c r="CM6" s="389" t="str">
        <f t="shared" si="36"/>
        <v>Excellent coverage</v>
      </c>
      <c r="CN6" s="490">
        <v>0</v>
      </c>
      <c r="CO6" s="529" t="s">
        <v>65</v>
      </c>
      <c r="CP6" s="528"/>
    </row>
    <row r="7" spans="2:94" s="40" customFormat="1" ht="30.75" customHeight="1" x14ac:dyDescent="0.2">
      <c r="B7" s="465" t="s">
        <v>175</v>
      </c>
      <c r="C7" s="466" t="s">
        <v>507</v>
      </c>
      <c r="D7" s="467" t="s">
        <v>259</v>
      </c>
      <c r="E7" s="466" t="s">
        <v>176</v>
      </c>
      <c r="F7" s="467">
        <v>97.252650000000003</v>
      </c>
      <c r="G7" s="467">
        <v>24.260466999999998</v>
      </c>
      <c r="H7" s="467" t="s">
        <v>448</v>
      </c>
      <c r="I7" s="467" t="s">
        <v>213</v>
      </c>
      <c r="J7" s="467"/>
      <c r="K7" s="467"/>
      <c r="L7" s="473">
        <v>13</v>
      </c>
      <c r="M7" s="473">
        <v>58</v>
      </c>
      <c r="N7" s="473"/>
      <c r="O7" s="473">
        <v>58</v>
      </c>
      <c r="P7" s="376" t="str">
        <f t="shared" si="0"/>
        <v>1. Small</v>
      </c>
      <c r="Q7" s="717" t="s">
        <v>823</v>
      </c>
      <c r="R7" s="469" t="s">
        <v>234</v>
      </c>
      <c r="S7" s="477" t="s">
        <v>232</v>
      </c>
      <c r="T7" s="398" t="str">
        <f t="shared" si="1"/>
        <v>Covered</v>
      </c>
      <c r="U7" s="478" t="s">
        <v>626</v>
      </c>
      <c r="V7" s="469" t="s">
        <v>252</v>
      </c>
      <c r="W7" s="395" t="str">
        <f t="shared" si="2"/>
        <v>Documented</v>
      </c>
      <c r="X7" s="484">
        <v>0</v>
      </c>
      <c r="Y7" s="468">
        <v>0</v>
      </c>
      <c r="Z7" s="801"/>
      <c r="AA7" s="485" t="s">
        <v>19</v>
      </c>
      <c r="AB7" s="484">
        <v>1</v>
      </c>
      <c r="AC7" s="490">
        <v>0</v>
      </c>
      <c r="AD7" s="491">
        <v>0</v>
      </c>
      <c r="AE7" s="497">
        <v>0</v>
      </c>
      <c r="AF7" s="498">
        <v>0</v>
      </c>
      <c r="AG7" s="797"/>
      <c r="AH7" s="401">
        <f t="shared" si="3"/>
        <v>1</v>
      </c>
      <c r="AI7" s="378">
        <f t="shared" si="4"/>
        <v>58</v>
      </c>
      <c r="AJ7" s="379">
        <f t="shared" si="5"/>
        <v>1</v>
      </c>
      <c r="AK7" s="380">
        <f t="shared" si="6"/>
        <v>58</v>
      </c>
      <c r="AL7" s="377">
        <f t="shared" si="7"/>
        <v>1</v>
      </c>
      <c r="AM7" s="380">
        <f t="shared" si="8"/>
        <v>58</v>
      </c>
      <c r="AN7" s="381" t="str">
        <f t="shared" si="9"/>
        <v>80-100%</v>
      </c>
      <c r="AO7" s="377">
        <f t="shared" si="10"/>
        <v>0</v>
      </c>
      <c r="AP7" s="382">
        <f t="shared" si="11"/>
        <v>0</v>
      </c>
      <c r="AQ7" s="380">
        <f t="shared" si="12"/>
        <v>0</v>
      </c>
      <c r="AR7" s="380">
        <f t="shared" si="13"/>
        <v>0</v>
      </c>
      <c r="AS7" s="380">
        <f t="shared" si="14"/>
        <v>0</v>
      </c>
      <c r="AT7" s="501">
        <v>1</v>
      </c>
      <c r="AU7" s="502">
        <f t="shared" si="15"/>
        <v>58</v>
      </c>
      <c r="AV7" s="491"/>
      <c r="AW7" s="747">
        <v>9</v>
      </c>
      <c r="AX7" s="468">
        <v>3</v>
      </c>
      <c r="AY7" s="468"/>
      <c r="AZ7" s="468">
        <v>0</v>
      </c>
      <c r="BA7" s="468"/>
      <c r="BB7" s="468" t="s">
        <v>89</v>
      </c>
      <c r="BC7" s="383">
        <f t="shared" si="16"/>
        <v>1</v>
      </c>
      <c r="BD7" s="380">
        <f t="shared" si="17"/>
        <v>58</v>
      </c>
      <c r="BE7" s="383">
        <f t="shared" si="18"/>
        <v>1</v>
      </c>
      <c r="BF7" s="380">
        <f t="shared" si="19"/>
        <v>58</v>
      </c>
      <c r="BG7" s="383">
        <f t="shared" si="20"/>
        <v>0</v>
      </c>
      <c r="BH7" s="380">
        <f t="shared" si="21"/>
        <v>0</v>
      </c>
      <c r="BI7" s="490">
        <v>0</v>
      </c>
      <c r="BJ7" s="506">
        <v>1</v>
      </c>
      <c r="BK7" s="384">
        <f t="shared" si="22"/>
        <v>58</v>
      </c>
      <c r="BL7" s="385">
        <f t="shared" si="23"/>
        <v>2.9</v>
      </c>
      <c r="BM7" s="468">
        <v>0</v>
      </c>
      <c r="BN7" s="468" t="s">
        <v>89</v>
      </c>
      <c r="BO7" s="383">
        <f t="shared" si="24"/>
        <v>0</v>
      </c>
      <c r="BP7" s="380">
        <f t="shared" si="25"/>
        <v>0</v>
      </c>
      <c r="BQ7" s="385">
        <f t="shared" si="26"/>
        <v>0.57999999999999996</v>
      </c>
      <c r="BR7" s="506">
        <v>0</v>
      </c>
      <c r="BS7" s="380">
        <f t="shared" si="27"/>
        <v>0</v>
      </c>
      <c r="BT7" s="468">
        <v>1</v>
      </c>
      <c r="BU7" s="383">
        <f t="shared" si="28"/>
        <v>1</v>
      </c>
      <c r="BV7" s="385">
        <f t="shared" si="29"/>
        <v>0</v>
      </c>
      <c r="BW7" s="494">
        <v>1</v>
      </c>
      <c r="BX7" s="516" t="s">
        <v>877</v>
      </c>
      <c r="BY7" s="518">
        <v>41771</v>
      </c>
      <c r="BZ7" s="804"/>
      <c r="CA7" s="807"/>
      <c r="CB7" s="386" t="str">
        <f t="shared" si="30"/>
        <v>To be realised</v>
      </c>
      <c r="CC7" s="490">
        <v>13</v>
      </c>
      <c r="CD7" s="490">
        <v>6</v>
      </c>
      <c r="CE7" s="387">
        <f t="shared" si="31"/>
        <v>13</v>
      </c>
      <c r="CF7" s="388">
        <f t="shared" si="32"/>
        <v>0</v>
      </c>
      <c r="CG7" s="380">
        <f t="shared" si="33"/>
        <v>0</v>
      </c>
      <c r="CH7" s="403">
        <f t="shared" si="34"/>
        <v>10</v>
      </c>
      <c r="CI7" s="484"/>
      <c r="CJ7" s="494"/>
      <c r="CK7" s="405">
        <f t="shared" si="35"/>
        <v>0</v>
      </c>
      <c r="CL7" s="484">
        <v>0</v>
      </c>
      <c r="CM7" s="389" t="str">
        <f t="shared" si="36"/>
        <v>No coverage</v>
      </c>
      <c r="CN7" s="490">
        <v>0</v>
      </c>
      <c r="CO7" s="485" t="s">
        <v>65</v>
      </c>
      <c r="CP7" s="525"/>
    </row>
    <row r="8" spans="2:94" s="40" customFormat="1" ht="30.75" customHeight="1" x14ac:dyDescent="0.25">
      <c r="B8" s="465" t="s">
        <v>175</v>
      </c>
      <c r="C8" s="466" t="s">
        <v>694</v>
      </c>
      <c r="D8" s="467" t="s">
        <v>259</v>
      </c>
      <c r="E8" s="466" t="s">
        <v>720</v>
      </c>
      <c r="F8" s="467">
        <v>97.228769999999997</v>
      </c>
      <c r="G8" s="467">
        <v>24.26502</v>
      </c>
      <c r="H8" s="467" t="s">
        <v>459</v>
      </c>
      <c r="I8" s="467" t="s">
        <v>213</v>
      </c>
      <c r="J8" s="467"/>
      <c r="K8" s="467"/>
      <c r="L8" s="471">
        <v>216</v>
      </c>
      <c r="M8" s="471">
        <v>965</v>
      </c>
      <c r="N8" s="471"/>
      <c r="O8" s="471">
        <v>965</v>
      </c>
      <c r="P8" s="376" t="str">
        <f t="shared" si="0"/>
        <v>2. Medium</v>
      </c>
      <c r="Q8" s="717" t="s">
        <v>322</v>
      </c>
      <c r="R8" s="472"/>
      <c r="S8" s="479" t="s">
        <v>299</v>
      </c>
      <c r="T8" s="398" t="str">
        <f t="shared" si="1"/>
        <v>Not covered</v>
      </c>
      <c r="U8" s="478" t="s">
        <v>626</v>
      </c>
      <c r="V8" s="481" t="s">
        <v>252</v>
      </c>
      <c r="W8" s="395" t="str">
        <f t="shared" si="2"/>
        <v>Documented</v>
      </c>
      <c r="X8" s="486">
        <v>0</v>
      </c>
      <c r="Y8" s="471">
        <v>0</v>
      </c>
      <c r="Z8" s="800"/>
      <c r="AA8" s="487" t="s">
        <v>19</v>
      </c>
      <c r="AB8" s="486">
        <v>40</v>
      </c>
      <c r="AC8" s="471">
        <v>105</v>
      </c>
      <c r="AD8" s="487">
        <v>0</v>
      </c>
      <c r="AE8" s="495">
        <v>0</v>
      </c>
      <c r="AF8" s="496">
        <v>0</v>
      </c>
      <c r="AG8" s="796"/>
      <c r="AH8" s="401">
        <f t="shared" si="3"/>
        <v>1</v>
      </c>
      <c r="AI8" s="378">
        <f t="shared" si="4"/>
        <v>965</v>
      </c>
      <c r="AJ8" s="379">
        <f t="shared" si="5"/>
        <v>1</v>
      </c>
      <c r="AK8" s="380">
        <f t="shared" si="6"/>
        <v>965</v>
      </c>
      <c r="AL8" s="377">
        <f t="shared" si="7"/>
        <v>1</v>
      </c>
      <c r="AM8" s="380">
        <f t="shared" si="8"/>
        <v>965</v>
      </c>
      <c r="AN8" s="381" t="str">
        <f t="shared" si="9"/>
        <v>80-100%</v>
      </c>
      <c r="AO8" s="377">
        <f t="shared" si="10"/>
        <v>0</v>
      </c>
      <c r="AP8" s="382">
        <f t="shared" si="11"/>
        <v>0</v>
      </c>
      <c r="AQ8" s="380">
        <f t="shared" si="12"/>
        <v>0</v>
      </c>
      <c r="AR8" s="380">
        <f t="shared" si="13"/>
        <v>0</v>
      </c>
      <c r="AS8" s="380">
        <f t="shared" si="14"/>
        <v>0</v>
      </c>
      <c r="AT8" s="504">
        <v>1</v>
      </c>
      <c r="AU8" s="502">
        <f t="shared" si="15"/>
        <v>965</v>
      </c>
      <c r="AV8" s="496" t="s">
        <v>837</v>
      </c>
      <c r="AW8" s="748">
        <v>0</v>
      </c>
      <c r="AX8" s="471">
        <v>100</v>
      </c>
      <c r="AY8" s="471"/>
      <c r="AZ8" s="471">
        <v>12</v>
      </c>
      <c r="BA8" s="471"/>
      <c r="BB8" s="471" t="s">
        <v>291</v>
      </c>
      <c r="BC8" s="383">
        <f t="shared" si="16"/>
        <v>1</v>
      </c>
      <c r="BD8" s="380">
        <f t="shared" si="17"/>
        <v>965</v>
      </c>
      <c r="BE8" s="383">
        <f t="shared" si="18"/>
        <v>0.75129533678756477</v>
      </c>
      <c r="BF8" s="380">
        <f t="shared" si="19"/>
        <v>725</v>
      </c>
      <c r="BG8" s="383">
        <f t="shared" si="20"/>
        <v>0.24870466321243523</v>
      </c>
      <c r="BH8" s="380">
        <f t="shared" si="21"/>
        <v>240</v>
      </c>
      <c r="BI8" s="509">
        <v>0</v>
      </c>
      <c r="BJ8" s="504">
        <v>1</v>
      </c>
      <c r="BK8" s="384">
        <f t="shared" si="22"/>
        <v>965</v>
      </c>
      <c r="BL8" s="385">
        <f t="shared" si="23"/>
        <v>36.25</v>
      </c>
      <c r="BM8" s="471">
        <v>163</v>
      </c>
      <c r="BN8" s="471" t="s">
        <v>89</v>
      </c>
      <c r="BO8" s="383">
        <f t="shared" si="24"/>
        <v>1</v>
      </c>
      <c r="BP8" s="380">
        <f t="shared" si="25"/>
        <v>965</v>
      </c>
      <c r="BQ8" s="385">
        <f t="shared" si="26"/>
        <v>0</v>
      </c>
      <c r="BR8" s="510">
        <v>1</v>
      </c>
      <c r="BS8" s="380">
        <f t="shared" si="27"/>
        <v>965</v>
      </c>
      <c r="BT8" s="471">
        <v>0</v>
      </c>
      <c r="BU8" s="383">
        <f t="shared" si="28"/>
        <v>0</v>
      </c>
      <c r="BV8" s="385">
        <f t="shared" si="29"/>
        <v>9.65</v>
      </c>
      <c r="BW8" s="496">
        <v>0</v>
      </c>
      <c r="BX8" s="517"/>
      <c r="BY8" s="519">
        <v>42173</v>
      </c>
      <c r="BZ8" s="803"/>
      <c r="CA8" s="806"/>
      <c r="CB8" s="386">
        <f t="shared" si="30"/>
        <v>42538</v>
      </c>
      <c r="CC8" s="509">
        <v>118</v>
      </c>
      <c r="CD8" s="509">
        <v>0</v>
      </c>
      <c r="CE8" s="387">
        <f t="shared" si="31"/>
        <v>98</v>
      </c>
      <c r="CF8" s="388">
        <f t="shared" si="32"/>
        <v>0.54629629629629628</v>
      </c>
      <c r="CG8" s="380">
        <f t="shared" si="33"/>
        <v>527.17592592592587</v>
      </c>
      <c r="CH8" s="403">
        <f t="shared" si="34"/>
        <v>2</v>
      </c>
      <c r="CI8" s="521"/>
      <c r="CJ8" s="496"/>
      <c r="CK8" s="405">
        <f t="shared" si="35"/>
        <v>0</v>
      </c>
      <c r="CL8" s="521">
        <v>4</v>
      </c>
      <c r="CM8" s="389" t="str">
        <f t="shared" si="36"/>
        <v>Excellent coverage</v>
      </c>
      <c r="CN8" s="490">
        <v>0</v>
      </c>
      <c r="CO8" s="529" t="s">
        <v>292</v>
      </c>
      <c r="CP8" s="528"/>
    </row>
    <row r="9" spans="2:94" s="40" customFormat="1" ht="30.75" customHeight="1" x14ac:dyDescent="0.2">
      <c r="B9" s="465" t="s">
        <v>175</v>
      </c>
      <c r="C9" s="466" t="s">
        <v>508</v>
      </c>
      <c r="D9" s="467" t="s">
        <v>259</v>
      </c>
      <c r="E9" s="466" t="s">
        <v>274</v>
      </c>
      <c r="F9" s="467">
        <v>97.236919999999998</v>
      </c>
      <c r="G9" s="467">
        <v>24.24766</v>
      </c>
      <c r="H9" s="467" t="s">
        <v>448</v>
      </c>
      <c r="I9" s="467" t="s">
        <v>213</v>
      </c>
      <c r="J9" s="467"/>
      <c r="K9" s="467"/>
      <c r="L9" s="468">
        <v>45</v>
      </c>
      <c r="M9" s="468">
        <v>241</v>
      </c>
      <c r="N9" s="468"/>
      <c r="O9" s="468">
        <v>241</v>
      </c>
      <c r="P9" s="376" t="str">
        <f t="shared" si="0"/>
        <v>1. Small</v>
      </c>
      <c r="Q9" s="717" t="s">
        <v>823</v>
      </c>
      <c r="R9" s="469" t="s">
        <v>234</v>
      </c>
      <c r="S9" s="477" t="s">
        <v>232</v>
      </c>
      <c r="T9" s="398" t="str">
        <f t="shared" si="1"/>
        <v>Covered</v>
      </c>
      <c r="U9" s="478">
        <v>42369</v>
      </c>
      <c r="V9" s="469" t="s">
        <v>252</v>
      </c>
      <c r="W9" s="395" t="str">
        <f t="shared" si="2"/>
        <v>Documented</v>
      </c>
      <c r="X9" s="484">
        <v>0</v>
      </c>
      <c r="Y9" s="468">
        <v>0</v>
      </c>
      <c r="Z9" s="801"/>
      <c r="AA9" s="485" t="s">
        <v>19</v>
      </c>
      <c r="AB9" s="484">
        <v>1</v>
      </c>
      <c r="AC9" s="490">
        <v>0</v>
      </c>
      <c r="AD9" s="491">
        <v>14400</v>
      </c>
      <c r="AE9" s="497">
        <v>0</v>
      </c>
      <c r="AF9" s="498">
        <v>0</v>
      </c>
      <c r="AG9" s="797"/>
      <c r="AH9" s="401">
        <f t="shared" si="3"/>
        <v>1</v>
      </c>
      <c r="AI9" s="378">
        <f t="shared" si="4"/>
        <v>241</v>
      </c>
      <c r="AJ9" s="379">
        <f t="shared" si="5"/>
        <v>1</v>
      </c>
      <c r="AK9" s="380">
        <f t="shared" si="6"/>
        <v>241</v>
      </c>
      <c r="AL9" s="377">
        <f t="shared" si="7"/>
        <v>1</v>
      </c>
      <c r="AM9" s="380">
        <f t="shared" si="8"/>
        <v>241</v>
      </c>
      <c r="AN9" s="381" t="str">
        <f t="shared" si="9"/>
        <v>80-100%</v>
      </c>
      <c r="AO9" s="377">
        <f t="shared" si="10"/>
        <v>0</v>
      </c>
      <c r="AP9" s="382">
        <f t="shared" si="11"/>
        <v>0</v>
      </c>
      <c r="AQ9" s="380">
        <f t="shared" si="12"/>
        <v>0</v>
      </c>
      <c r="AR9" s="380">
        <f t="shared" si="13"/>
        <v>0</v>
      </c>
      <c r="AS9" s="380">
        <f t="shared" si="14"/>
        <v>0</v>
      </c>
      <c r="AT9" s="501">
        <v>1</v>
      </c>
      <c r="AU9" s="502">
        <f t="shared" si="15"/>
        <v>241</v>
      </c>
      <c r="AV9" s="491" t="s">
        <v>828</v>
      </c>
      <c r="AW9" s="747">
        <v>285</v>
      </c>
      <c r="AX9" s="468">
        <v>0</v>
      </c>
      <c r="AY9" s="468"/>
      <c r="AZ9" s="468">
        <v>7</v>
      </c>
      <c r="BA9" s="468"/>
      <c r="BB9" s="468" t="s">
        <v>289</v>
      </c>
      <c r="BC9" s="383">
        <f t="shared" si="16"/>
        <v>0.58091286307053946</v>
      </c>
      <c r="BD9" s="380">
        <f t="shared" si="17"/>
        <v>140</v>
      </c>
      <c r="BE9" s="383">
        <f t="shared" si="18"/>
        <v>0</v>
      </c>
      <c r="BF9" s="380">
        <f t="shared" si="19"/>
        <v>0</v>
      </c>
      <c r="BG9" s="383">
        <f t="shared" si="20"/>
        <v>0.58091286307053946</v>
      </c>
      <c r="BH9" s="380">
        <f t="shared" si="21"/>
        <v>140</v>
      </c>
      <c r="BI9" s="490">
        <v>0</v>
      </c>
      <c r="BJ9" s="506">
        <v>0.69</v>
      </c>
      <c r="BK9" s="384">
        <f t="shared" si="22"/>
        <v>166.29</v>
      </c>
      <c r="BL9" s="385">
        <f t="shared" si="23"/>
        <v>5.0500000000000007</v>
      </c>
      <c r="BM9" s="468">
        <v>2</v>
      </c>
      <c r="BN9" s="468" t="s">
        <v>291</v>
      </c>
      <c r="BO9" s="383">
        <f t="shared" si="24"/>
        <v>0.82987551867219922</v>
      </c>
      <c r="BP9" s="380">
        <f t="shared" si="25"/>
        <v>200</v>
      </c>
      <c r="BQ9" s="385">
        <f t="shared" si="26"/>
        <v>0.41000000000000014</v>
      </c>
      <c r="BR9" s="506">
        <v>0.83</v>
      </c>
      <c r="BS9" s="380">
        <f t="shared" si="27"/>
        <v>200.03</v>
      </c>
      <c r="BT9" s="468">
        <v>2</v>
      </c>
      <c r="BU9" s="383">
        <f t="shared" si="28"/>
        <v>0.82987551867219922</v>
      </c>
      <c r="BV9" s="385">
        <f t="shared" si="29"/>
        <v>0.41000000000000014</v>
      </c>
      <c r="BW9" s="494">
        <v>0.83</v>
      </c>
      <c r="BX9" s="516"/>
      <c r="BY9" s="518">
        <v>41828</v>
      </c>
      <c r="BZ9" s="804"/>
      <c r="CA9" s="807"/>
      <c r="CB9" s="386" t="str">
        <f t="shared" si="30"/>
        <v>To be realised</v>
      </c>
      <c r="CC9" s="490">
        <v>46</v>
      </c>
      <c r="CD9" s="490">
        <v>6</v>
      </c>
      <c r="CE9" s="387">
        <f t="shared" si="31"/>
        <v>45</v>
      </c>
      <c r="CF9" s="388">
        <f t="shared" si="32"/>
        <v>0</v>
      </c>
      <c r="CG9" s="380">
        <f t="shared" si="33"/>
        <v>0</v>
      </c>
      <c r="CH9" s="403">
        <f t="shared" si="34"/>
        <v>8</v>
      </c>
      <c r="CI9" s="484"/>
      <c r="CJ9" s="494">
        <v>0.8</v>
      </c>
      <c r="CK9" s="405">
        <f t="shared" si="35"/>
        <v>192.8</v>
      </c>
      <c r="CL9" s="484">
        <v>1</v>
      </c>
      <c r="CM9" s="389" t="str">
        <f t="shared" si="36"/>
        <v>Excellent coverage</v>
      </c>
      <c r="CN9" s="490">
        <v>0</v>
      </c>
      <c r="CO9" s="485" t="s">
        <v>292</v>
      </c>
      <c r="CP9" s="525"/>
    </row>
    <row r="10" spans="2:94" s="40" customFormat="1" ht="30.75" customHeight="1" x14ac:dyDescent="0.2">
      <c r="B10" s="465" t="s">
        <v>175</v>
      </c>
      <c r="C10" s="466" t="s">
        <v>509</v>
      </c>
      <c r="D10" s="467" t="s">
        <v>259</v>
      </c>
      <c r="E10" s="466" t="s">
        <v>177</v>
      </c>
      <c r="F10" s="467">
        <v>97.241630000000001</v>
      </c>
      <c r="G10" s="467">
        <v>24.266110000000001</v>
      </c>
      <c r="H10" s="467" t="s">
        <v>448</v>
      </c>
      <c r="I10" s="467" t="s">
        <v>213</v>
      </c>
      <c r="J10" s="467"/>
      <c r="K10" s="467"/>
      <c r="L10" s="468">
        <v>91</v>
      </c>
      <c r="M10" s="468">
        <v>641</v>
      </c>
      <c r="N10" s="468"/>
      <c r="O10" s="468">
        <v>641</v>
      </c>
      <c r="P10" s="376" t="str">
        <f t="shared" si="0"/>
        <v>2. Medium</v>
      </c>
      <c r="Q10" s="717" t="s">
        <v>823</v>
      </c>
      <c r="R10" s="469" t="s">
        <v>275</v>
      </c>
      <c r="S10" s="477" t="s">
        <v>232</v>
      </c>
      <c r="T10" s="398" t="str">
        <f t="shared" si="1"/>
        <v>Covered</v>
      </c>
      <c r="U10" s="478">
        <v>42459</v>
      </c>
      <c r="V10" s="469" t="s">
        <v>252</v>
      </c>
      <c r="W10" s="395" t="str">
        <f t="shared" si="2"/>
        <v>Documented</v>
      </c>
      <c r="X10" s="484">
        <v>0</v>
      </c>
      <c r="Y10" s="468">
        <v>0</v>
      </c>
      <c r="Z10" s="801"/>
      <c r="AA10" s="485" t="s">
        <v>19</v>
      </c>
      <c r="AB10" s="484">
        <v>3</v>
      </c>
      <c r="AC10" s="490">
        <v>0</v>
      </c>
      <c r="AD10" s="491">
        <v>13500</v>
      </c>
      <c r="AE10" s="497">
        <v>0</v>
      </c>
      <c r="AF10" s="498">
        <v>0</v>
      </c>
      <c r="AG10" s="797"/>
      <c r="AH10" s="401">
        <f t="shared" si="3"/>
        <v>1</v>
      </c>
      <c r="AI10" s="378">
        <f t="shared" si="4"/>
        <v>641</v>
      </c>
      <c r="AJ10" s="379">
        <f t="shared" si="5"/>
        <v>1</v>
      </c>
      <c r="AK10" s="380">
        <f t="shared" si="6"/>
        <v>641</v>
      </c>
      <c r="AL10" s="377">
        <f t="shared" si="7"/>
        <v>1</v>
      </c>
      <c r="AM10" s="380">
        <f t="shared" si="8"/>
        <v>641</v>
      </c>
      <c r="AN10" s="381" t="str">
        <f t="shared" si="9"/>
        <v>80-100%</v>
      </c>
      <c r="AO10" s="377">
        <f t="shared" si="10"/>
        <v>0</v>
      </c>
      <c r="AP10" s="382">
        <f t="shared" si="11"/>
        <v>0</v>
      </c>
      <c r="AQ10" s="380">
        <f t="shared" si="12"/>
        <v>0</v>
      </c>
      <c r="AR10" s="380">
        <f t="shared" si="13"/>
        <v>0</v>
      </c>
      <c r="AS10" s="380">
        <f t="shared" si="14"/>
        <v>0</v>
      </c>
      <c r="AT10" s="501">
        <v>1</v>
      </c>
      <c r="AU10" s="502">
        <f t="shared" si="15"/>
        <v>641</v>
      </c>
      <c r="AV10" s="491" t="s">
        <v>828</v>
      </c>
      <c r="AW10" s="747">
        <v>112</v>
      </c>
      <c r="AX10" s="468">
        <v>7</v>
      </c>
      <c r="AY10" s="468"/>
      <c r="AZ10" s="468">
        <v>14</v>
      </c>
      <c r="BA10" s="468"/>
      <c r="BB10" s="468" t="s">
        <v>289</v>
      </c>
      <c r="BC10" s="383">
        <f t="shared" si="16"/>
        <v>0.65522620904836193</v>
      </c>
      <c r="BD10" s="380">
        <f t="shared" si="17"/>
        <v>420</v>
      </c>
      <c r="BE10" s="383">
        <f t="shared" si="18"/>
        <v>0.21840873634945396</v>
      </c>
      <c r="BF10" s="380">
        <f t="shared" si="19"/>
        <v>140</v>
      </c>
      <c r="BG10" s="383">
        <f t="shared" si="20"/>
        <v>0.43681747269890797</v>
      </c>
      <c r="BH10" s="380">
        <f t="shared" si="21"/>
        <v>280</v>
      </c>
      <c r="BI10" s="490">
        <v>0</v>
      </c>
      <c r="BJ10" s="506">
        <v>0.66</v>
      </c>
      <c r="BK10" s="384">
        <f t="shared" si="22"/>
        <v>423.06</v>
      </c>
      <c r="BL10" s="385">
        <f t="shared" si="23"/>
        <v>18.049999999999997</v>
      </c>
      <c r="BM10" s="468">
        <v>5</v>
      </c>
      <c r="BN10" s="468" t="s">
        <v>290</v>
      </c>
      <c r="BO10" s="383">
        <f t="shared" si="24"/>
        <v>0.78003120124804992</v>
      </c>
      <c r="BP10" s="380">
        <f t="shared" si="25"/>
        <v>500</v>
      </c>
      <c r="BQ10" s="385">
        <f t="shared" si="26"/>
        <v>1.4100000000000001</v>
      </c>
      <c r="BR10" s="506">
        <v>0.78</v>
      </c>
      <c r="BS10" s="380">
        <f t="shared" si="27"/>
        <v>499.98</v>
      </c>
      <c r="BT10" s="468">
        <v>7</v>
      </c>
      <c r="BU10" s="383">
        <f t="shared" si="28"/>
        <v>1</v>
      </c>
      <c r="BV10" s="385">
        <f t="shared" si="29"/>
        <v>0</v>
      </c>
      <c r="BW10" s="494">
        <v>1</v>
      </c>
      <c r="BX10" s="516" t="s">
        <v>878</v>
      </c>
      <c r="BY10" s="518">
        <v>41766</v>
      </c>
      <c r="BZ10" s="804"/>
      <c r="CA10" s="807"/>
      <c r="CB10" s="386" t="str">
        <f t="shared" si="30"/>
        <v>To be realised</v>
      </c>
      <c r="CC10" s="490">
        <v>103</v>
      </c>
      <c r="CD10" s="490">
        <v>6</v>
      </c>
      <c r="CE10" s="387">
        <f t="shared" si="31"/>
        <v>91</v>
      </c>
      <c r="CF10" s="388">
        <f t="shared" si="32"/>
        <v>0</v>
      </c>
      <c r="CG10" s="380">
        <f t="shared" si="33"/>
        <v>0</v>
      </c>
      <c r="CH10" s="403">
        <f t="shared" si="34"/>
        <v>10</v>
      </c>
      <c r="CI10" s="484"/>
      <c r="CJ10" s="494">
        <v>0.8</v>
      </c>
      <c r="CK10" s="405">
        <f t="shared" si="35"/>
        <v>512.80000000000007</v>
      </c>
      <c r="CL10" s="484">
        <v>2</v>
      </c>
      <c r="CM10" s="389" t="str">
        <f t="shared" si="36"/>
        <v>Excellent coverage</v>
      </c>
      <c r="CN10" s="490">
        <v>0</v>
      </c>
      <c r="CO10" s="485" t="s">
        <v>66</v>
      </c>
      <c r="CP10" s="525"/>
    </row>
    <row r="11" spans="2:94" s="40" customFormat="1" ht="30.75" customHeight="1" x14ac:dyDescent="0.25">
      <c r="B11" s="465" t="s">
        <v>175</v>
      </c>
      <c r="C11" s="466" t="s">
        <v>510</v>
      </c>
      <c r="D11" s="467" t="s">
        <v>259</v>
      </c>
      <c r="E11" s="466" t="s">
        <v>460</v>
      </c>
      <c r="F11" s="467">
        <v>97.234200000000001</v>
      </c>
      <c r="G11" s="467">
        <v>24.253067000000001</v>
      </c>
      <c r="H11" s="467" t="s">
        <v>448</v>
      </c>
      <c r="I11" s="467" t="s">
        <v>213</v>
      </c>
      <c r="J11" s="467"/>
      <c r="K11" s="467"/>
      <c r="L11" s="471">
        <v>21</v>
      </c>
      <c r="M11" s="471">
        <v>96</v>
      </c>
      <c r="N11" s="471"/>
      <c r="O11" s="471">
        <v>93</v>
      </c>
      <c r="P11" s="376" t="str">
        <f t="shared" si="0"/>
        <v>1. Small</v>
      </c>
      <c r="Q11" s="717" t="s">
        <v>823</v>
      </c>
      <c r="R11" s="472" t="s">
        <v>275</v>
      </c>
      <c r="S11" s="479" t="s">
        <v>232</v>
      </c>
      <c r="T11" s="398" t="str">
        <f t="shared" si="1"/>
        <v>Covered</v>
      </c>
      <c r="U11" s="480">
        <v>42459</v>
      </c>
      <c r="V11" s="481" t="s">
        <v>252</v>
      </c>
      <c r="W11" s="395" t="str">
        <f t="shared" si="2"/>
        <v>Documented</v>
      </c>
      <c r="X11" s="486">
        <v>0</v>
      </c>
      <c r="Y11" s="471">
        <v>0</v>
      </c>
      <c r="Z11" s="800"/>
      <c r="AA11" s="487" t="s">
        <v>19</v>
      </c>
      <c r="AB11" s="486">
        <v>0</v>
      </c>
      <c r="AC11" s="471">
        <v>2</v>
      </c>
      <c r="AD11" s="487">
        <v>0</v>
      </c>
      <c r="AE11" s="495">
        <v>0</v>
      </c>
      <c r="AF11" s="496">
        <v>0</v>
      </c>
      <c r="AG11" s="796"/>
      <c r="AH11" s="401">
        <f t="shared" si="3"/>
        <v>1</v>
      </c>
      <c r="AI11" s="378">
        <f t="shared" si="4"/>
        <v>93</v>
      </c>
      <c r="AJ11" s="379">
        <f t="shared" si="5"/>
        <v>1</v>
      </c>
      <c r="AK11" s="380">
        <f t="shared" si="6"/>
        <v>93</v>
      </c>
      <c r="AL11" s="377">
        <f t="shared" si="7"/>
        <v>1</v>
      </c>
      <c r="AM11" s="380">
        <f t="shared" si="8"/>
        <v>93</v>
      </c>
      <c r="AN11" s="381" t="str">
        <f t="shared" si="9"/>
        <v>80-100%</v>
      </c>
      <c r="AO11" s="377">
        <f t="shared" si="10"/>
        <v>0</v>
      </c>
      <c r="AP11" s="382">
        <f t="shared" si="11"/>
        <v>0</v>
      </c>
      <c r="AQ11" s="380">
        <f t="shared" si="12"/>
        <v>0</v>
      </c>
      <c r="AR11" s="380">
        <f t="shared" si="13"/>
        <v>0</v>
      </c>
      <c r="AS11" s="380">
        <f t="shared" si="14"/>
        <v>0</v>
      </c>
      <c r="AT11" s="504">
        <v>1</v>
      </c>
      <c r="AU11" s="502">
        <f t="shared" si="15"/>
        <v>93</v>
      </c>
      <c r="AV11" s="496" t="s">
        <v>828</v>
      </c>
      <c r="AW11" s="748">
        <v>25</v>
      </c>
      <c r="AX11" s="471">
        <v>0</v>
      </c>
      <c r="AY11" s="471"/>
      <c r="AZ11" s="471">
        <v>4</v>
      </c>
      <c r="BA11" s="471"/>
      <c r="BB11" s="471" t="s">
        <v>89</v>
      </c>
      <c r="BC11" s="383">
        <f t="shared" si="16"/>
        <v>0.86021505376344087</v>
      </c>
      <c r="BD11" s="380">
        <f t="shared" si="17"/>
        <v>80</v>
      </c>
      <c r="BE11" s="383">
        <f t="shared" si="18"/>
        <v>0</v>
      </c>
      <c r="BF11" s="380">
        <f t="shared" si="19"/>
        <v>0</v>
      </c>
      <c r="BG11" s="383">
        <f t="shared" si="20"/>
        <v>0.86021505376344087</v>
      </c>
      <c r="BH11" s="380">
        <f t="shared" si="21"/>
        <v>80</v>
      </c>
      <c r="BI11" s="509">
        <v>0</v>
      </c>
      <c r="BJ11" s="504">
        <v>0.86</v>
      </c>
      <c r="BK11" s="384">
        <f t="shared" si="22"/>
        <v>79.98</v>
      </c>
      <c r="BL11" s="385">
        <f t="shared" si="23"/>
        <v>0.65000000000000036</v>
      </c>
      <c r="BM11" s="471">
        <v>3</v>
      </c>
      <c r="BN11" s="471" t="s">
        <v>89</v>
      </c>
      <c r="BO11" s="383">
        <f t="shared" si="24"/>
        <v>1</v>
      </c>
      <c r="BP11" s="380">
        <f t="shared" si="25"/>
        <v>93</v>
      </c>
      <c r="BQ11" s="385">
        <f t="shared" si="26"/>
        <v>0</v>
      </c>
      <c r="BR11" s="510">
        <v>1</v>
      </c>
      <c r="BS11" s="380">
        <f t="shared" si="27"/>
        <v>93</v>
      </c>
      <c r="BT11" s="471">
        <v>3</v>
      </c>
      <c r="BU11" s="383">
        <f t="shared" si="28"/>
        <v>1</v>
      </c>
      <c r="BV11" s="385">
        <f t="shared" si="29"/>
        <v>0</v>
      </c>
      <c r="BW11" s="496">
        <v>1</v>
      </c>
      <c r="BX11" s="517"/>
      <c r="BY11" s="519">
        <v>41766</v>
      </c>
      <c r="BZ11" s="803"/>
      <c r="CA11" s="806"/>
      <c r="CB11" s="386" t="str">
        <f t="shared" si="30"/>
        <v>To be realised</v>
      </c>
      <c r="CC11" s="509">
        <v>19</v>
      </c>
      <c r="CD11" s="509">
        <v>6</v>
      </c>
      <c r="CE11" s="387">
        <f t="shared" si="31"/>
        <v>21</v>
      </c>
      <c r="CF11" s="388">
        <f t="shared" si="32"/>
        <v>0</v>
      </c>
      <c r="CG11" s="380">
        <f t="shared" si="33"/>
        <v>0</v>
      </c>
      <c r="CH11" s="403">
        <f t="shared" si="34"/>
        <v>10</v>
      </c>
      <c r="CI11" s="521"/>
      <c r="CJ11" s="496">
        <v>0.8</v>
      </c>
      <c r="CK11" s="405">
        <f t="shared" si="35"/>
        <v>74.400000000000006</v>
      </c>
      <c r="CL11" s="521">
        <v>1</v>
      </c>
      <c r="CM11" s="389" t="str">
        <f t="shared" si="36"/>
        <v>Excellent coverage</v>
      </c>
      <c r="CN11" s="490">
        <v>0</v>
      </c>
      <c r="CO11" s="529" t="s">
        <v>292</v>
      </c>
      <c r="CP11" s="528"/>
    </row>
    <row r="12" spans="2:94" s="40" customFormat="1" ht="30.75" customHeight="1" x14ac:dyDescent="0.25">
      <c r="B12" s="465" t="s">
        <v>175</v>
      </c>
      <c r="C12" s="466" t="s">
        <v>511</v>
      </c>
      <c r="D12" s="467" t="s">
        <v>259</v>
      </c>
      <c r="E12" s="466" t="s">
        <v>178</v>
      </c>
      <c r="F12" s="467">
        <v>97.315860000000001</v>
      </c>
      <c r="G12" s="467">
        <v>24.32638</v>
      </c>
      <c r="H12" s="467" t="s">
        <v>448</v>
      </c>
      <c r="I12" s="467" t="s">
        <v>213</v>
      </c>
      <c r="J12" s="467"/>
      <c r="K12" s="467"/>
      <c r="L12" s="471">
        <v>22</v>
      </c>
      <c r="M12" s="471">
        <v>123</v>
      </c>
      <c r="N12" s="471"/>
      <c r="O12" s="471">
        <v>123</v>
      </c>
      <c r="P12" s="376" t="str">
        <f t="shared" si="0"/>
        <v>1. Small</v>
      </c>
      <c r="Q12" s="717" t="s">
        <v>823</v>
      </c>
      <c r="R12" s="472" t="s">
        <v>230</v>
      </c>
      <c r="S12" s="479" t="s">
        <v>232</v>
      </c>
      <c r="T12" s="398" t="str">
        <f t="shared" si="1"/>
        <v>Covered</v>
      </c>
      <c r="U12" s="480">
        <v>42459</v>
      </c>
      <c r="V12" s="481" t="s">
        <v>252</v>
      </c>
      <c r="W12" s="395" t="str">
        <f t="shared" si="2"/>
        <v>Documented</v>
      </c>
      <c r="X12" s="486">
        <v>0</v>
      </c>
      <c r="Y12" s="471">
        <v>0</v>
      </c>
      <c r="Z12" s="800"/>
      <c r="AA12" s="487" t="s">
        <v>19</v>
      </c>
      <c r="AB12" s="486">
        <v>0</v>
      </c>
      <c r="AC12" s="471">
        <v>0</v>
      </c>
      <c r="AD12" s="487">
        <v>4860</v>
      </c>
      <c r="AE12" s="495">
        <v>0</v>
      </c>
      <c r="AF12" s="496">
        <v>0</v>
      </c>
      <c r="AG12" s="796"/>
      <c r="AH12" s="401">
        <f t="shared" si="3"/>
        <v>1</v>
      </c>
      <c r="AI12" s="378">
        <f t="shared" si="4"/>
        <v>123</v>
      </c>
      <c r="AJ12" s="379">
        <f t="shared" si="5"/>
        <v>1</v>
      </c>
      <c r="AK12" s="380">
        <f t="shared" si="6"/>
        <v>123</v>
      </c>
      <c r="AL12" s="377">
        <f t="shared" si="7"/>
        <v>1</v>
      </c>
      <c r="AM12" s="380">
        <f t="shared" si="8"/>
        <v>123</v>
      </c>
      <c r="AN12" s="381" t="str">
        <f t="shared" si="9"/>
        <v>80-100%</v>
      </c>
      <c r="AO12" s="377">
        <f t="shared" si="10"/>
        <v>0</v>
      </c>
      <c r="AP12" s="382">
        <f t="shared" si="11"/>
        <v>0</v>
      </c>
      <c r="AQ12" s="380">
        <f t="shared" si="12"/>
        <v>0.3075</v>
      </c>
      <c r="AR12" s="380">
        <f t="shared" si="13"/>
        <v>0</v>
      </c>
      <c r="AS12" s="380">
        <f t="shared" si="14"/>
        <v>0</v>
      </c>
      <c r="AT12" s="504">
        <v>1</v>
      </c>
      <c r="AU12" s="502">
        <f t="shared" si="15"/>
        <v>123</v>
      </c>
      <c r="AV12" s="496"/>
      <c r="AW12" s="748">
        <v>5</v>
      </c>
      <c r="AX12" s="471">
        <v>0</v>
      </c>
      <c r="AY12" s="471"/>
      <c r="AZ12" s="471">
        <v>10</v>
      </c>
      <c r="BA12" s="471"/>
      <c r="BB12" s="471" t="s">
        <v>290</v>
      </c>
      <c r="BC12" s="383">
        <f t="shared" si="16"/>
        <v>1</v>
      </c>
      <c r="BD12" s="380">
        <f t="shared" si="17"/>
        <v>123</v>
      </c>
      <c r="BE12" s="383">
        <f t="shared" si="18"/>
        <v>0</v>
      </c>
      <c r="BF12" s="380">
        <f t="shared" si="19"/>
        <v>0</v>
      </c>
      <c r="BG12" s="383">
        <f t="shared" si="20"/>
        <v>1</v>
      </c>
      <c r="BH12" s="380">
        <f t="shared" si="21"/>
        <v>123</v>
      </c>
      <c r="BI12" s="509">
        <v>0</v>
      </c>
      <c r="BJ12" s="504">
        <v>1</v>
      </c>
      <c r="BK12" s="384">
        <f t="shared" si="22"/>
        <v>123</v>
      </c>
      <c r="BL12" s="385">
        <f t="shared" si="23"/>
        <v>0</v>
      </c>
      <c r="BM12" s="471">
        <v>2</v>
      </c>
      <c r="BN12" s="471" t="s">
        <v>290</v>
      </c>
      <c r="BO12" s="383">
        <f t="shared" si="24"/>
        <v>1</v>
      </c>
      <c r="BP12" s="380">
        <f t="shared" si="25"/>
        <v>123</v>
      </c>
      <c r="BQ12" s="385">
        <f t="shared" si="26"/>
        <v>0</v>
      </c>
      <c r="BR12" s="510">
        <v>1</v>
      </c>
      <c r="BS12" s="380">
        <f t="shared" si="27"/>
        <v>123</v>
      </c>
      <c r="BT12" s="471">
        <v>1</v>
      </c>
      <c r="BU12" s="383">
        <f t="shared" si="28"/>
        <v>0.81300813008130079</v>
      </c>
      <c r="BV12" s="385">
        <f t="shared" si="29"/>
        <v>0.22999999999999998</v>
      </c>
      <c r="BW12" s="496">
        <v>0.81</v>
      </c>
      <c r="BX12" s="517"/>
      <c r="BY12" s="519">
        <v>41834</v>
      </c>
      <c r="BZ12" s="803"/>
      <c r="CA12" s="806"/>
      <c r="CB12" s="386" t="str">
        <f t="shared" si="30"/>
        <v>To be realised</v>
      </c>
      <c r="CC12" s="509">
        <v>22</v>
      </c>
      <c r="CD12" s="509">
        <v>6</v>
      </c>
      <c r="CE12" s="387">
        <f t="shared" si="31"/>
        <v>22</v>
      </c>
      <c r="CF12" s="388">
        <f t="shared" si="32"/>
        <v>0</v>
      </c>
      <c r="CG12" s="380">
        <f t="shared" si="33"/>
        <v>0</v>
      </c>
      <c r="CH12" s="403">
        <f t="shared" si="34"/>
        <v>8</v>
      </c>
      <c r="CI12" s="521"/>
      <c r="CJ12" s="496">
        <v>0.8</v>
      </c>
      <c r="CK12" s="405">
        <f t="shared" si="35"/>
        <v>98.4</v>
      </c>
      <c r="CL12" s="521">
        <v>1</v>
      </c>
      <c r="CM12" s="389" t="str">
        <f t="shared" si="36"/>
        <v>Excellent coverage</v>
      </c>
      <c r="CN12" s="490">
        <v>0</v>
      </c>
      <c r="CO12" s="529" t="s">
        <v>65</v>
      </c>
      <c r="CP12" s="528" t="s">
        <v>908</v>
      </c>
    </row>
    <row r="13" spans="2:94" s="40" customFormat="1" ht="30.75" customHeight="1" x14ac:dyDescent="0.2">
      <c r="B13" s="465" t="s">
        <v>175</v>
      </c>
      <c r="C13" s="466" t="s">
        <v>512</v>
      </c>
      <c r="D13" s="467" t="s">
        <v>259</v>
      </c>
      <c r="E13" s="466" t="s">
        <v>667</v>
      </c>
      <c r="F13" s="467">
        <v>97.252650000000003</v>
      </c>
      <c r="G13" s="467">
        <v>24.222349999999999</v>
      </c>
      <c r="H13" s="467" t="s">
        <v>448</v>
      </c>
      <c r="I13" s="467" t="s">
        <v>213</v>
      </c>
      <c r="J13" s="467"/>
      <c r="K13" s="467"/>
      <c r="L13" s="468">
        <v>157</v>
      </c>
      <c r="M13" s="468">
        <v>749</v>
      </c>
      <c r="N13" s="468"/>
      <c r="O13" s="468">
        <v>749</v>
      </c>
      <c r="P13" s="376" t="str">
        <f t="shared" si="0"/>
        <v>2. Medium</v>
      </c>
      <c r="Q13" s="717" t="s">
        <v>253</v>
      </c>
      <c r="R13" s="469" t="s">
        <v>234</v>
      </c>
      <c r="S13" s="477" t="s">
        <v>299</v>
      </c>
      <c r="T13" s="398" t="str">
        <f t="shared" si="1"/>
        <v>Not covered</v>
      </c>
      <c r="U13" s="478" t="s">
        <v>626</v>
      </c>
      <c r="V13" s="469" t="s">
        <v>252</v>
      </c>
      <c r="W13" s="395" t="str">
        <f t="shared" si="2"/>
        <v>Documented</v>
      </c>
      <c r="X13" s="484">
        <v>0</v>
      </c>
      <c r="Y13" s="468">
        <v>0</v>
      </c>
      <c r="Z13" s="801"/>
      <c r="AA13" s="485" t="s">
        <v>19</v>
      </c>
      <c r="AB13" s="484">
        <v>0</v>
      </c>
      <c r="AC13" s="490">
        <v>0</v>
      </c>
      <c r="AD13" s="491">
        <v>18000</v>
      </c>
      <c r="AE13" s="497">
        <v>1</v>
      </c>
      <c r="AF13" s="498">
        <v>1</v>
      </c>
      <c r="AG13" s="797"/>
      <c r="AH13" s="401">
        <f t="shared" si="3"/>
        <v>1</v>
      </c>
      <c r="AI13" s="378">
        <f t="shared" si="4"/>
        <v>749</v>
      </c>
      <c r="AJ13" s="379">
        <f t="shared" si="5"/>
        <v>1</v>
      </c>
      <c r="AK13" s="380">
        <f t="shared" si="6"/>
        <v>749</v>
      </c>
      <c r="AL13" s="377">
        <f t="shared" si="7"/>
        <v>1</v>
      </c>
      <c r="AM13" s="380">
        <f t="shared" si="8"/>
        <v>749</v>
      </c>
      <c r="AN13" s="381" t="str">
        <f t="shared" si="9"/>
        <v>80-100%</v>
      </c>
      <c r="AO13" s="377">
        <f t="shared" si="10"/>
        <v>0</v>
      </c>
      <c r="AP13" s="382">
        <f t="shared" si="11"/>
        <v>0</v>
      </c>
      <c r="AQ13" s="380">
        <f t="shared" si="12"/>
        <v>1.8725000000000001</v>
      </c>
      <c r="AR13" s="380">
        <f t="shared" si="13"/>
        <v>157</v>
      </c>
      <c r="AS13" s="380">
        <f t="shared" si="14"/>
        <v>749</v>
      </c>
      <c r="AT13" s="501">
        <v>1</v>
      </c>
      <c r="AU13" s="502">
        <f t="shared" si="15"/>
        <v>749</v>
      </c>
      <c r="AV13" s="491" t="s">
        <v>834</v>
      </c>
      <c r="AW13" s="747">
        <v>0</v>
      </c>
      <c r="AX13" s="468">
        <v>27</v>
      </c>
      <c r="AY13" s="468"/>
      <c r="AZ13" s="468">
        <v>22</v>
      </c>
      <c r="BA13" s="468"/>
      <c r="BB13" s="468" t="s">
        <v>289</v>
      </c>
      <c r="BC13" s="383">
        <f t="shared" si="16"/>
        <v>1</v>
      </c>
      <c r="BD13" s="380">
        <f t="shared" si="17"/>
        <v>749</v>
      </c>
      <c r="BE13" s="383">
        <f t="shared" si="18"/>
        <v>0.41255006675567418</v>
      </c>
      <c r="BF13" s="380">
        <f t="shared" si="19"/>
        <v>308.99999999999994</v>
      </c>
      <c r="BG13" s="383">
        <f t="shared" si="20"/>
        <v>0.58744993324432582</v>
      </c>
      <c r="BH13" s="380">
        <f t="shared" si="21"/>
        <v>440.00000000000006</v>
      </c>
      <c r="BI13" s="490">
        <v>0</v>
      </c>
      <c r="BJ13" s="506">
        <v>1</v>
      </c>
      <c r="BK13" s="384">
        <f t="shared" si="22"/>
        <v>749</v>
      </c>
      <c r="BL13" s="385">
        <f t="shared" si="23"/>
        <v>15.450000000000003</v>
      </c>
      <c r="BM13" s="468">
        <v>9</v>
      </c>
      <c r="BN13" s="468" t="s">
        <v>290</v>
      </c>
      <c r="BO13" s="383">
        <f t="shared" si="24"/>
        <v>1</v>
      </c>
      <c r="BP13" s="380">
        <f t="shared" si="25"/>
        <v>749</v>
      </c>
      <c r="BQ13" s="385">
        <f t="shared" si="26"/>
        <v>0</v>
      </c>
      <c r="BR13" s="506">
        <v>1</v>
      </c>
      <c r="BS13" s="380">
        <f t="shared" si="27"/>
        <v>749</v>
      </c>
      <c r="BT13" s="468">
        <v>18</v>
      </c>
      <c r="BU13" s="383">
        <f t="shared" si="28"/>
        <v>1</v>
      </c>
      <c r="BV13" s="385">
        <f t="shared" si="29"/>
        <v>0</v>
      </c>
      <c r="BW13" s="494">
        <v>1</v>
      </c>
      <c r="BX13" s="516"/>
      <c r="BY13" s="518">
        <v>41787</v>
      </c>
      <c r="BZ13" s="804"/>
      <c r="CA13" s="807"/>
      <c r="CB13" s="386" t="str">
        <f t="shared" si="30"/>
        <v>To be realised</v>
      </c>
      <c r="CC13" s="468">
        <v>178</v>
      </c>
      <c r="CD13" s="468">
        <v>6</v>
      </c>
      <c r="CE13" s="387">
        <f t="shared" si="31"/>
        <v>157</v>
      </c>
      <c r="CF13" s="388">
        <f t="shared" si="32"/>
        <v>0</v>
      </c>
      <c r="CG13" s="380">
        <f t="shared" si="33"/>
        <v>0</v>
      </c>
      <c r="CH13" s="403">
        <f t="shared" si="34"/>
        <v>9</v>
      </c>
      <c r="CI13" s="484"/>
      <c r="CJ13" s="494"/>
      <c r="CK13" s="405">
        <f t="shared" si="35"/>
        <v>0</v>
      </c>
      <c r="CL13" s="484">
        <v>7</v>
      </c>
      <c r="CM13" s="389" t="str">
        <f t="shared" si="36"/>
        <v>Excellent coverage</v>
      </c>
      <c r="CN13" s="490">
        <v>0</v>
      </c>
      <c r="CO13" s="485" t="s">
        <v>65</v>
      </c>
      <c r="CP13" s="525"/>
    </row>
    <row r="14" spans="2:94" s="40" customFormat="1" ht="30.75" customHeight="1" x14ac:dyDescent="0.2">
      <c r="B14" s="465" t="s">
        <v>175</v>
      </c>
      <c r="C14" s="466" t="s">
        <v>513</v>
      </c>
      <c r="D14" s="467" t="s">
        <v>259</v>
      </c>
      <c r="E14" s="466" t="s">
        <v>821</v>
      </c>
      <c r="F14" s="467">
        <v>97.228769999999997</v>
      </c>
      <c r="G14" s="467">
        <v>24.26502</v>
      </c>
      <c r="H14" s="467" t="s">
        <v>448</v>
      </c>
      <c r="I14" s="467" t="s">
        <v>213</v>
      </c>
      <c r="J14" s="467"/>
      <c r="K14" s="467"/>
      <c r="L14" s="471">
        <v>626</v>
      </c>
      <c r="M14" s="471">
        <v>3781</v>
      </c>
      <c r="N14" s="471"/>
      <c r="O14" s="471">
        <v>3781</v>
      </c>
      <c r="P14" s="376" t="str">
        <f t="shared" si="0"/>
        <v>4. Big</v>
      </c>
      <c r="Q14" s="717" t="s">
        <v>253</v>
      </c>
      <c r="R14" s="469" t="s">
        <v>234</v>
      </c>
      <c r="S14" s="477" t="s">
        <v>299</v>
      </c>
      <c r="T14" s="398" t="str">
        <f t="shared" si="1"/>
        <v>Not covered</v>
      </c>
      <c r="U14" s="478" t="s">
        <v>626</v>
      </c>
      <c r="V14" s="469" t="s">
        <v>252</v>
      </c>
      <c r="W14" s="395" t="str">
        <f t="shared" si="2"/>
        <v>Documented</v>
      </c>
      <c r="X14" s="484">
        <v>0</v>
      </c>
      <c r="Y14" s="468">
        <v>0</v>
      </c>
      <c r="Z14" s="801"/>
      <c r="AA14" s="485" t="s">
        <v>19</v>
      </c>
      <c r="AB14" s="484">
        <v>2</v>
      </c>
      <c r="AC14" s="490">
        <v>11</v>
      </c>
      <c r="AD14" s="491">
        <v>36000</v>
      </c>
      <c r="AE14" s="497">
        <v>1</v>
      </c>
      <c r="AF14" s="498">
        <v>1</v>
      </c>
      <c r="AG14" s="797"/>
      <c r="AH14" s="401">
        <f t="shared" si="3"/>
        <v>1</v>
      </c>
      <c r="AI14" s="378">
        <f t="shared" si="4"/>
        <v>3781</v>
      </c>
      <c r="AJ14" s="379">
        <f t="shared" si="5"/>
        <v>1</v>
      </c>
      <c r="AK14" s="380">
        <f t="shared" si="6"/>
        <v>3781</v>
      </c>
      <c r="AL14" s="377">
        <f t="shared" si="7"/>
        <v>1</v>
      </c>
      <c r="AM14" s="380">
        <f t="shared" si="8"/>
        <v>3781</v>
      </c>
      <c r="AN14" s="381" t="str">
        <f t="shared" si="9"/>
        <v>80-100%</v>
      </c>
      <c r="AO14" s="377">
        <f t="shared" si="10"/>
        <v>0</v>
      </c>
      <c r="AP14" s="382">
        <f t="shared" si="11"/>
        <v>0</v>
      </c>
      <c r="AQ14" s="380">
        <f t="shared" si="12"/>
        <v>0</v>
      </c>
      <c r="AR14" s="380">
        <f t="shared" si="13"/>
        <v>626</v>
      </c>
      <c r="AS14" s="380">
        <f t="shared" si="14"/>
        <v>3781</v>
      </c>
      <c r="AT14" s="501">
        <v>1</v>
      </c>
      <c r="AU14" s="502">
        <f t="shared" si="15"/>
        <v>3781</v>
      </c>
      <c r="AV14" s="491" t="s">
        <v>835</v>
      </c>
      <c r="AW14" s="747">
        <v>4</v>
      </c>
      <c r="AX14" s="468">
        <v>45</v>
      </c>
      <c r="AY14" s="468"/>
      <c r="AZ14" s="468">
        <v>106</v>
      </c>
      <c r="BA14" s="468"/>
      <c r="BB14" s="468" t="s">
        <v>289</v>
      </c>
      <c r="BC14" s="383">
        <f t="shared" si="16"/>
        <v>0.79873049457815393</v>
      </c>
      <c r="BD14" s="380">
        <f t="shared" si="17"/>
        <v>3020</v>
      </c>
      <c r="BE14" s="383">
        <f t="shared" si="18"/>
        <v>0.23803226659613863</v>
      </c>
      <c r="BF14" s="380">
        <f t="shared" si="19"/>
        <v>900.00000000000011</v>
      </c>
      <c r="BG14" s="383">
        <f t="shared" si="20"/>
        <v>0.5606982279820153</v>
      </c>
      <c r="BH14" s="380">
        <f t="shared" si="21"/>
        <v>2120</v>
      </c>
      <c r="BI14" s="490">
        <v>4</v>
      </c>
      <c r="BJ14" s="506">
        <v>0.87</v>
      </c>
      <c r="BK14" s="384">
        <f t="shared" si="22"/>
        <v>3289.47</v>
      </c>
      <c r="BL14" s="385">
        <f t="shared" si="23"/>
        <v>87.050000000000011</v>
      </c>
      <c r="BM14" s="468">
        <v>10</v>
      </c>
      <c r="BN14" s="468" t="s">
        <v>291</v>
      </c>
      <c r="BO14" s="383">
        <f t="shared" si="24"/>
        <v>0.26448029621793179</v>
      </c>
      <c r="BP14" s="380">
        <f t="shared" si="25"/>
        <v>1000.0000000000001</v>
      </c>
      <c r="BQ14" s="385">
        <f t="shared" si="26"/>
        <v>27.810000000000002</v>
      </c>
      <c r="BR14" s="506">
        <v>0.26</v>
      </c>
      <c r="BS14" s="380">
        <f t="shared" si="27"/>
        <v>983.06000000000006</v>
      </c>
      <c r="BT14" s="468">
        <v>34</v>
      </c>
      <c r="BU14" s="383">
        <f t="shared" si="28"/>
        <v>0.89923300714096799</v>
      </c>
      <c r="BV14" s="385">
        <f t="shared" si="29"/>
        <v>3.8100000000000023</v>
      </c>
      <c r="BW14" s="494">
        <v>0.9</v>
      </c>
      <c r="BX14" s="516" t="s">
        <v>883</v>
      </c>
      <c r="BY14" s="518">
        <v>41768</v>
      </c>
      <c r="BZ14" s="804"/>
      <c r="CA14" s="807"/>
      <c r="CB14" s="386" t="str">
        <f t="shared" si="30"/>
        <v>To be realised</v>
      </c>
      <c r="CC14" s="468">
        <v>649</v>
      </c>
      <c r="CD14" s="468">
        <v>6</v>
      </c>
      <c r="CE14" s="387">
        <f t="shared" si="31"/>
        <v>626</v>
      </c>
      <c r="CF14" s="388">
        <f t="shared" si="32"/>
        <v>0</v>
      </c>
      <c r="CG14" s="380">
        <f t="shared" si="33"/>
        <v>0</v>
      </c>
      <c r="CH14" s="403">
        <f t="shared" si="34"/>
        <v>10</v>
      </c>
      <c r="CI14" s="484"/>
      <c r="CJ14" s="494"/>
      <c r="CK14" s="405">
        <f t="shared" si="35"/>
        <v>0</v>
      </c>
      <c r="CL14" s="484">
        <v>11</v>
      </c>
      <c r="CM14" s="389" t="str">
        <f t="shared" si="36"/>
        <v>Excellent coverage</v>
      </c>
      <c r="CN14" s="490">
        <v>0</v>
      </c>
      <c r="CO14" s="485" t="s">
        <v>65</v>
      </c>
      <c r="CP14" s="525"/>
    </row>
    <row r="15" spans="2:94" s="40" customFormat="1" ht="30.75" customHeight="1" x14ac:dyDescent="0.2">
      <c r="B15" s="465" t="s">
        <v>175</v>
      </c>
      <c r="C15" s="466" t="s">
        <v>514</v>
      </c>
      <c r="D15" s="467" t="s">
        <v>259</v>
      </c>
      <c r="E15" s="466" t="s">
        <v>179</v>
      </c>
      <c r="F15" s="467">
        <v>97.227789999999999</v>
      </c>
      <c r="G15" s="467">
        <v>24.29138</v>
      </c>
      <c r="H15" s="467" t="s">
        <v>448</v>
      </c>
      <c r="I15" s="467" t="s">
        <v>213</v>
      </c>
      <c r="J15" s="467"/>
      <c r="K15" s="467"/>
      <c r="L15" s="471">
        <v>27</v>
      </c>
      <c r="M15" s="471">
        <v>111</v>
      </c>
      <c r="N15" s="471"/>
      <c r="O15" s="471">
        <v>111</v>
      </c>
      <c r="P15" s="376" t="str">
        <f t="shared" si="0"/>
        <v>1. Small</v>
      </c>
      <c r="Q15" s="717" t="s">
        <v>253</v>
      </c>
      <c r="R15" s="469" t="s">
        <v>275</v>
      </c>
      <c r="S15" s="477" t="s">
        <v>299</v>
      </c>
      <c r="T15" s="398" t="str">
        <f t="shared" si="1"/>
        <v>Not covered</v>
      </c>
      <c r="U15" s="478" t="s">
        <v>626</v>
      </c>
      <c r="V15" s="469" t="s">
        <v>252</v>
      </c>
      <c r="W15" s="395" t="str">
        <f t="shared" si="2"/>
        <v>Documented</v>
      </c>
      <c r="X15" s="484">
        <v>0</v>
      </c>
      <c r="Y15" s="468">
        <v>0</v>
      </c>
      <c r="Z15" s="801"/>
      <c r="AA15" s="485" t="s">
        <v>19</v>
      </c>
      <c r="AB15" s="484">
        <v>0</v>
      </c>
      <c r="AC15" s="490">
        <v>0</v>
      </c>
      <c r="AD15" s="491">
        <v>4000</v>
      </c>
      <c r="AE15" s="497">
        <v>0</v>
      </c>
      <c r="AF15" s="498">
        <v>1</v>
      </c>
      <c r="AG15" s="797"/>
      <c r="AH15" s="401">
        <f t="shared" si="3"/>
        <v>1</v>
      </c>
      <c r="AI15" s="378">
        <f t="shared" si="4"/>
        <v>111</v>
      </c>
      <c r="AJ15" s="379">
        <f t="shared" si="5"/>
        <v>1</v>
      </c>
      <c r="AK15" s="380">
        <f t="shared" si="6"/>
        <v>111</v>
      </c>
      <c r="AL15" s="377">
        <f t="shared" si="7"/>
        <v>1</v>
      </c>
      <c r="AM15" s="380">
        <f t="shared" si="8"/>
        <v>111</v>
      </c>
      <c r="AN15" s="381" t="str">
        <f t="shared" si="9"/>
        <v>80-100%</v>
      </c>
      <c r="AO15" s="377">
        <f t="shared" si="10"/>
        <v>0</v>
      </c>
      <c r="AP15" s="382">
        <f t="shared" si="11"/>
        <v>0</v>
      </c>
      <c r="AQ15" s="380">
        <f t="shared" si="12"/>
        <v>0.27750000000000002</v>
      </c>
      <c r="AR15" s="380">
        <f t="shared" si="13"/>
        <v>27</v>
      </c>
      <c r="AS15" s="380">
        <f t="shared" si="14"/>
        <v>0</v>
      </c>
      <c r="AT15" s="501">
        <v>1</v>
      </c>
      <c r="AU15" s="502">
        <f t="shared" si="15"/>
        <v>111</v>
      </c>
      <c r="AV15" s="491" t="s">
        <v>832</v>
      </c>
      <c r="AW15" s="747">
        <v>2</v>
      </c>
      <c r="AX15" s="468">
        <v>8</v>
      </c>
      <c r="AY15" s="468"/>
      <c r="AZ15" s="468">
        <v>10</v>
      </c>
      <c r="BA15" s="468"/>
      <c r="BB15" s="468" t="s">
        <v>289</v>
      </c>
      <c r="BC15" s="383">
        <f t="shared" si="16"/>
        <v>1</v>
      </c>
      <c r="BD15" s="380">
        <f t="shared" si="17"/>
        <v>111</v>
      </c>
      <c r="BE15" s="383">
        <f t="shared" si="18"/>
        <v>0</v>
      </c>
      <c r="BF15" s="380">
        <f t="shared" si="19"/>
        <v>0</v>
      </c>
      <c r="BG15" s="383">
        <f t="shared" si="20"/>
        <v>1</v>
      </c>
      <c r="BH15" s="380">
        <f t="shared" si="21"/>
        <v>111</v>
      </c>
      <c r="BI15" s="490">
        <v>0</v>
      </c>
      <c r="BJ15" s="506">
        <v>1</v>
      </c>
      <c r="BK15" s="384">
        <f t="shared" si="22"/>
        <v>111</v>
      </c>
      <c r="BL15" s="385">
        <f t="shared" si="23"/>
        <v>0</v>
      </c>
      <c r="BM15" s="468">
        <v>4</v>
      </c>
      <c r="BN15" s="468" t="s">
        <v>290</v>
      </c>
      <c r="BO15" s="383">
        <f t="shared" si="24"/>
        <v>1</v>
      </c>
      <c r="BP15" s="380">
        <f t="shared" si="25"/>
        <v>111</v>
      </c>
      <c r="BQ15" s="385">
        <f t="shared" si="26"/>
        <v>0</v>
      </c>
      <c r="BR15" s="506">
        <v>1</v>
      </c>
      <c r="BS15" s="380">
        <f t="shared" si="27"/>
        <v>111</v>
      </c>
      <c r="BT15" s="468">
        <v>3</v>
      </c>
      <c r="BU15" s="383">
        <f t="shared" si="28"/>
        <v>1</v>
      </c>
      <c r="BV15" s="385">
        <f t="shared" si="29"/>
        <v>0</v>
      </c>
      <c r="BW15" s="494">
        <v>1</v>
      </c>
      <c r="BX15" s="516"/>
      <c r="BY15" s="518">
        <v>41800</v>
      </c>
      <c r="BZ15" s="804"/>
      <c r="CA15" s="807"/>
      <c r="CB15" s="386" t="str">
        <f t="shared" si="30"/>
        <v>To be realised</v>
      </c>
      <c r="CC15" s="468">
        <v>42</v>
      </c>
      <c r="CD15" s="468">
        <v>6</v>
      </c>
      <c r="CE15" s="387">
        <f t="shared" si="31"/>
        <v>27</v>
      </c>
      <c r="CF15" s="388">
        <f t="shared" si="32"/>
        <v>0</v>
      </c>
      <c r="CG15" s="380">
        <f t="shared" si="33"/>
        <v>0</v>
      </c>
      <c r="CH15" s="403">
        <f t="shared" si="34"/>
        <v>9</v>
      </c>
      <c r="CI15" s="484"/>
      <c r="CJ15" s="494"/>
      <c r="CK15" s="405">
        <f t="shared" si="35"/>
        <v>0</v>
      </c>
      <c r="CL15" s="484">
        <v>1</v>
      </c>
      <c r="CM15" s="389" t="str">
        <f t="shared" si="36"/>
        <v>Excellent coverage</v>
      </c>
      <c r="CN15" s="490">
        <v>0</v>
      </c>
      <c r="CO15" s="485" t="s">
        <v>65</v>
      </c>
      <c r="CP15" s="525"/>
    </row>
    <row r="16" spans="2:94" s="40" customFormat="1" ht="30.75" customHeight="1" x14ac:dyDescent="0.25">
      <c r="B16" s="465" t="s">
        <v>175</v>
      </c>
      <c r="C16" s="466" t="s">
        <v>515</v>
      </c>
      <c r="D16" s="467" t="s">
        <v>259</v>
      </c>
      <c r="E16" s="466" t="s">
        <v>180</v>
      </c>
      <c r="F16" s="467">
        <v>97.246889999999993</v>
      </c>
      <c r="G16" s="467">
        <v>24.244129999999998</v>
      </c>
      <c r="H16" s="467" t="s">
        <v>448</v>
      </c>
      <c r="I16" s="467" t="s">
        <v>213</v>
      </c>
      <c r="J16" s="467"/>
      <c r="K16" s="467"/>
      <c r="L16" s="471">
        <v>16</v>
      </c>
      <c r="M16" s="471">
        <v>75</v>
      </c>
      <c r="N16" s="471"/>
      <c r="O16" s="471">
        <v>75</v>
      </c>
      <c r="P16" s="376" t="str">
        <f t="shared" si="0"/>
        <v>1. Small</v>
      </c>
      <c r="Q16" s="717" t="s">
        <v>823</v>
      </c>
      <c r="R16" s="472" t="s">
        <v>275</v>
      </c>
      <c r="S16" s="479" t="s">
        <v>232</v>
      </c>
      <c r="T16" s="398" t="str">
        <f t="shared" si="1"/>
        <v>Covered</v>
      </c>
      <c r="U16" s="480">
        <v>42459</v>
      </c>
      <c r="V16" s="481" t="s">
        <v>252</v>
      </c>
      <c r="W16" s="395" t="str">
        <f t="shared" si="2"/>
        <v>Documented</v>
      </c>
      <c r="X16" s="486">
        <v>0</v>
      </c>
      <c r="Y16" s="471">
        <v>0</v>
      </c>
      <c r="Z16" s="800"/>
      <c r="AA16" s="487" t="s">
        <v>19</v>
      </c>
      <c r="AB16" s="486">
        <v>0</v>
      </c>
      <c r="AC16" s="471">
        <v>2</v>
      </c>
      <c r="AD16" s="487">
        <v>3915</v>
      </c>
      <c r="AE16" s="495">
        <v>0</v>
      </c>
      <c r="AF16" s="496">
        <v>0</v>
      </c>
      <c r="AG16" s="796"/>
      <c r="AH16" s="401">
        <f t="shared" si="3"/>
        <v>1</v>
      </c>
      <c r="AI16" s="378">
        <f t="shared" si="4"/>
        <v>75</v>
      </c>
      <c r="AJ16" s="379">
        <f t="shared" si="5"/>
        <v>1</v>
      </c>
      <c r="AK16" s="380">
        <f t="shared" si="6"/>
        <v>75</v>
      </c>
      <c r="AL16" s="377">
        <f t="shared" si="7"/>
        <v>1</v>
      </c>
      <c r="AM16" s="380">
        <f t="shared" si="8"/>
        <v>75</v>
      </c>
      <c r="AN16" s="381" t="str">
        <f t="shared" si="9"/>
        <v>80-100%</v>
      </c>
      <c r="AO16" s="377">
        <f t="shared" si="10"/>
        <v>0</v>
      </c>
      <c r="AP16" s="382">
        <f t="shared" si="11"/>
        <v>0</v>
      </c>
      <c r="AQ16" s="380">
        <f t="shared" si="12"/>
        <v>0</v>
      </c>
      <c r="AR16" s="380">
        <f t="shared" si="13"/>
        <v>0</v>
      </c>
      <c r="AS16" s="380">
        <f t="shared" si="14"/>
        <v>0</v>
      </c>
      <c r="AT16" s="504">
        <v>1</v>
      </c>
      <c r="AU16" s="502">
        <f t="shared" si="15"/>
        <v>75</v>
      </c>
      <c r="AV16" s="496"/>
      <c r="AW16" s="748">
        <v>34</v>
      </c>
      <c r="AX16" s="471">
        <v>0</v>
      </c>
      <c r="AY16" s="471"/>
      <c r="AZ16" s="471">
        <v>10</v>
      </c>
      <c r="BA16" s="471"/>
      <c r="BB16" s="471" t="s">
        <v>290</v>
      </c>
      <c r="BC16" s="383">
        <f t="shared" si="16"/>
        <v>1</v>
      </c>
      <c r="BD16" s="380">
        <f t="shared" si="17"/>
        <v>75</v>
      </c>
      <c r="BE16" s="383">
        <f t="shared" si="18"/>
        <v>0</v>
      </c>
      <c r="BF16" s="380">
        <f t="shared" si="19"/>
        <v>0</v>
      </c>
      <c r="BG16" s="383">
        <f t="shared" si="20"/>
        <v>1</v>
      </c>
      <c r="BH16" s="380">
        <f t="shared" si="21"/>
        <v>75</v>
      </c>
      <c r="BI16" s="509">
        <v>0</v>
      </c>
      <c r="BJ16" s="504">
        <v>1</v>
      </c>
      <c r="BK16" s="384">
        <f t="shared" si="22"/>
        <v>75</v>
      </c>
      <c r="BL16" s="385">
        <f t="shared" si="23"/>
        <v>0</v>
      </c>
      <c r="BM16" s="471">
        <v>1</v>
      </c>
      <c r="BN16" s="471" t="s">
        <v>89</v>
      </c>
      <c r="BO16" s="383">
        <f t="shared" si="24"/>
        <v>1</v>
      </c>
      <c r="BP16" s="380">
        <f t="shared" si="25"/>
        <v>75</v>
      </c>
      <c r="BQ16" s="385">
        <f t="shared" si="26"/>
        <v>0</v>
      </c>
      <c r="BR16" s="510">
        <v>1</v>
      </c>
      <c r="BS16" s="380">
        <f t="shared" si="27"/>
        <v>75</v>
      </c>
      <c r="BT16" s="471">
        <v>1</v>
      </c>
      <c r="BU16" s="383">
        <f t="shared" si="28"/>
        <v>1</v>
      </c>
      <c r="BV16" s="385">
        <f t="shared" si="29"/>
        <v>0</v>
      </c>
      <c r="BW16" s="496">
        <v>1</v>
      </c>
      <c r="BX16" s="517"/>
      <c r="BY16" s="519">
        <v>41766</v>
      </c>
      <c r="BZ16" s="803"/>
      <c r="CA16" s="806"/>
      <c r="CB16" s="386" t="str">
        <f t="shared" si="30"/>
        <v>To be realised</v>
      </c>
      <c r="CC16" s="509">
        <v>17</v>
      </c>
      <c r="CD16" s="509">
        <v>6</v>
      </c>
      <c r="CE16" s="387">
        <f t="shared" si="31"/>
        <v>16</v>
      </c>
      <c r="CF16" s="388">
        <f t="shared" si="32"/>
        <v>0</v>
      </c>
      <c r="CG16" s="380">
        <f t="shared" si="33"/>
        <v>0</v>
      </c>
      <c r="CH16" s="403">
        <f t="shared" si="34"/>
        <v>10</v>
      </c>
      <c r="CI16" s="521"/>
      <c r="CJ16" s="496">
        <v>0.8</v>
      </c>
      <c r="CK16" s="405">
        <f t="shared" si="35"/>
        <v>60</v>
      </c>
      <c r="CL16" s="521">
        <v>0</v>
      </c>
      <c r="CM16" s="389" t="str">
        <f t="shared" si="36"/>
        <v>No coverage</v>
      </c>
      <c r="CN16" s="490">
        <v>0</v>
      </c>
      <c r="CO16" s="529" t="s">
        <v>292</v>
      </c>
      <c r="CP16" s="528"/>
    </row>
    <row r="17" spans="2:94" s="40" customFormat="1" ht="30.75" customHeight="1" x14ac:dyDescent="0.2">
      <c r="B17" s="465" t="s">
        <v>104</v>
      </c>
      <c r="C17" s="466"/>
      <c r="D17" s="467" t="s">
        <v>313</v>
      </c>
      <c r="E17" s="466" t="s">
        <v>470</v>
      </c>
      <c r="F17" s="467">
        <v>98.134313888888897</v>
      </c>
      <c r="G17" s="467">
        <v>25.8873472222222</v>
      </c>
      <c r="H17" s="467" t="s">
        <v>449</v>
      </c>
      <c r="I17" s="467" t="s">
        <v>213</v>
      </c>
      <c r="J17" s="467"/>
      <c r="K17" s="467"/>
      <c r="L17" s="468">
        <v>0</v>
      </c>
      <c r="M17" s="468">
        <v>45</v>
      </c>
      <c r="N17" s="468"/>
      <c r="O17" s="468">
        <v>45</v>
      </c>
      <c r="P17" s="376" t="str">
        <f t="shared" si="0"/>
        <v>1. Small</v>
      </c>
      <c r="Q17" s="717" t="s">
        <v>825</v>
      </c>
      <c r="R17" s="469" t="s">
        <v>230</v>
      </c>
      <c r="S17" s="477" t="s">
        <v>299</v>
      </c>
      <c r="T17" s="398" t="str">
        <f t="shared" si="1"/>
        <v>Not covered</v>
      </c>
      <c r="U17" s="478" t="s">
        <v>626</v>
      </c>
      <c r="V17" s="469" t="s">
        <v>252</v>
      </c>
      <c r="W17" s="395" t="str">
        <f t="shared" si="2"/>
        <v>Documented</v>
      </c>
      <c r="X17" s="484">
        <v>0</v>
      </c>
      <c r="Y17" s="468">
        <v>0</v>
      </c>
      <c r="Z17" s="801"/>
      <c r="AA17" s="485" t="s">
        <v>19</v>
      </c>
      <c r="AB17" s="484">
        <v>0</v>
      </c>
      <c r="AC17" s="490">
        <v>0</v>
      </c>
      <c r="AD17" s="491">
        <v>860</v>
      </c>
      <c r="AE17" s="497">
        <v>0</v>
      </c>
      <c r="AF17" s="498">
        <v>1</v>
      </c>
      <c r="AG17" s="797"/>
      <c r="AH17" s="401">
        <f t="shared" si="3"/>
        <v>1</v>
      </c>
      <c r="AI17" s="378">
        <f t="shared" si="4"/>
        <v>45</v>
      </c>
      <c r="AJ17" s="379">
        <f t="shared" si="5"/>
        <v>1</v>
      </c>
      <c r="AK17" s="380">
        <f t="shared" si="6"/>
        <v>45</v>
      </c>
      <c r="AL17" s="377">
        <f t="shared" si="7"/>
        <v>1</v>
      </c>
      <c r="AM17" s="380">
        <f t="shared" si="8"/>
        <v>45</v>
      </c>
      <c r="AN17" s="381" t="str">
        <f t="shared" si="9"/>
        <v>80-100%</v>
      </c>
      <c r="AO17" s="377">
        <f t="shared" si="10"/>
        <v>0</v>
      </c>
      <c r="AP17" s="382">
        <f t="shared" si="11"/>
        <v>0</v>
      </c>
      <c r="AQ17" s="380">
        <f t="shared" si="12"/>
        <v>0.1125</v>
      </c>
      <c r="AR17" s="380">
        <f t="shared" si="13"/>
        <v>0</v>
      </c>
      <c r="AS17" s="380">
        <f t="shared" si="14"/>
        <v>0</v>
      </c>
      <c r="AT17" s="501">
        <v>1</v>
      </c>
      <c r="AU17" s="502">
        <f t="shared" si="15"/>
        <v>45</v>
      </c>
      <c r="AV17" s="491"/>
      <c r="AW17" s="747">
        <v>19</v>
      </c>
      <c r="AX17" s="468">
        <v>2</v>
      </c>
      <c r="AY17" s="468"/>
      <c r="AZ17" s="468">
        <v>2</v>
      </c>
      <c r="BA17" s="468"/>
      <c r="BB17" s="468" t="s">
        <v>290</v>
      </c>
      <c r="BC17" s="383">
        <f t="shared" si="16"/>
        <v>1</v>
      </c>
      <c r="BD17" s="380">
        <f t="shared" si="17"/>
        <v>45</v>
      </c>
      <c r="BE17" s="383">
        <f t="shared" si="18"/>
        <v>0.11111111111111116</v>
      </c>
      <c r="BF17" s="380">
        <f t="shared" si="19"/>
        <v>5.0000000000000018</v>
      </c>
      <c r="BG17" s="383">
        <f t="shared" si="20"/>
        <v>0.88888888888888884</v>
      </c>
      <c r="BH17" s="380">
        <f t="shared" si="21"/>
        <v>40</v>
      </c>
      <c r="BI17" s="490">
        <v>0</v>
      </c>
      <c r="BJ17" s="506">
        <v>1</v>
      </c>
      <c r="BK17" s="384">
        <f t="shared" si="22"/>
        <v>45</v>
      </c>
      <c r="BL17" s="385">
        <f t="shared" si="23"/>
        <v>0.25</v>
      </c>
      <c r="BM17" s="468">
        <v>2</v>
      </c>
      <c r="BN17" s="468" t="s">
        <v>290</v>
      </c>
      <c r="BO17" s="383">
        <f t="shared" si="24"/>
        <v>1</v>
      </c>
      <c r="BP17" s="380">
        <f t="shared" si="25"/>
        <v>45</v>
      </c>
      <c r="BQ17" s="385">
        <f t="shared" si="26"/>
        <v>0</v>
      </c>
      <c r="BR17" s="501">
        <v>1</v>
      </c>
      <c r="BS17" s="380">
        <f t="shared" si="27"/>
        <v>45</v>
      </c>
      <c r="BT17" s="490">
        <v>5</v>
      </c>
      <c r="BU17" s="383">
        <f t="shared" si="28"/>
        <v>1</v>
      </c>
      <c r="BV17" s="385">
        <f t="shared" si="29"/>
        <v>0</v>
      </c>
      <c r="BW17" s="494">
        <v>1</v>
      </c>
      <c r="BX17" s="516"/>
      <c r="BY17" s="518">
        <v>41780</v>
      </c>
      <c r="BZ17" s="804"/>
      <c r="CA17" s="807"/>
      <c r="CB17" s="386" t="str">
        <f t="shared" si="30"/>
        <v>To be realised</v>
      </c>
      <c r="CC17" s="468">
        <v>43</v>
      </c>
      <c r="CD17" s="468">
        <v>10</v>
      </c>
      <c r="CE17" s="387">
        <f t="shared" si="31"/>
        <v>0</v>
      </c>
      <c r="CF17" s="388">
        <f t="shared" si="32"/>
        <v>1</v>
      </c>
      <c r="CG17" s="380">
        <f t="shared" si="33"/>
        <v>45</v>
      </c>
      <c r="CH17" s="403">
        <f t="shared" si="34"/>
        <v>6</v>
      </c>
      <c r="CI17" s="484"/>
      <c r="CJ17" s="494"/>
      <c r="CK17" s="405">
        <f t="shared" si="35"/>
        <v>0</v>
      </c>
      <c r="CL17" s="484">
        <v>4</v>
      </c>
      <c r="CM17" s="389" t="str">
        <f t="shared" si="36"/>
        <v>Excellent coverage</v>
      </c>
      <c r="CN17" s="490">
        <v>0</v>
      </c>
      <c r="CO17" s="491" t="s">
        <v>65</v>
      </c>
      <c r="CP17" s="525"/>
    </row>
    <row r="18" spans="2:94" s="40" customFormat="1" ht="30.75" customHeight="1" x14ac:dyDescent="0.2">
      <c r="B18" s="465" t="s">
        <v>104</v>
      </c>
      <c r="C18" s="466" t="s">
        <v>516</v>
      </c>
      <c r="D18" s="467" t="s">
        <v>313</v>
      </c>
      <c r="E18" s="466" t="s">
        <v>105</v>
      </c>
      <c r="F18" s="467">
        <v>98.131264999999999</v>
      </c>
      <c r="G18" s="467">
        <v>25.885922999999998</v>
      </c>
      <c r="H18" s="467" t="s">
        <v>448</v>
      </c>
      <c r="I18" s="467" t="s">
        <v>213</v>
      </c>
      <c r="J18" s="467"/>
      <c r="K18" s="467"/>
      <c r="L18" s="468">
        <v>118</v>
      </c>
      <c r="M18" s="468">
        <v>518</v>
      </c>
      <c r="N18" s="468"/>
      <c r="O18" s="468">
        <v>518</v>
      </c>
      <c r="P18" s="376" t="str">
        <f t="shared" si="0"/>
        <v>2. Medium</v>
      </c>
      <c r="Q18" s="717" t="s">
        <v>804</v>
      </c>
      <c r="R18" s="469" t="s">
        <v>275</v>
      </c>
      <c r="S18" s="477" t="s">
        <v>275</v>
      </c>
      <c r="T18" s="398" t="str">
        <f t="shared" si="1"/>
        <v>Covered</v>
      </c>
      <c r="U18" s="478">
        <v>42429</v>
      </c>
      <c r="V18" s="469" t="s">
        <v>252</v>
      </c>
      <c r="W18" s="395" t="str">
        <f t="shared" si="2"/>
        <v>Documented</v>
      </c>
      <c r="X18" s="484">
        <v>0</v>
      </c>
      <c r="Y18" s="468">
        <v>0</v>
      </c>
      <c r="Z18" s="801"/>
      <c r="AA18" s="485" t="s">
        <v>19</v>
      </c>
      <c r="AB18" s="484">
        <v>0</v>
      </c>
      <c r="AC18" s="490">
        <v>0</v>
      </c>
      <c r="AD18" s="491">
        <v>12760</v>
      </c>
      <c r="AE18" s="497">
        <v>0</v>
      </c>
      <c r="AF18" s="498">
        <v>0</v>
      </c>
      <c r="AG18" s="797"/>
      <c r="AH18" s="401">
        <f t="shared" si="3"/>
        <v>1</v>
      </c>
      <c r="AI18" s="378">
        <f t="shared" si="4"/>
        <v>518</v>
      </c>
      <c r="AJ18" s="379">
        <f t="shared" si="5"/>
        <v>1</v>
      </c>
      <c r="AK18" s="380">
        <f t="shared" si="6"/>
        <v>518</v>
      </c>
      <c r="AL18" s="377">
        <f t="shared" si="7"/>
        <v>1</v>
      </c>
      <c r="AM18" s="380">
        <f t="shared" si="8"/>
        <v>518</v>
      </c>
      <c r="AN18" s="381" t="str">
        <f t="shared" si="9"/>
        <v>80-100%</v>
      </c>
      <c r="AO18" s="377">
        <f t="shared" si="10"/>
        <v>0</v>
      </c>
      <c r="AP18" s="382">
        <f t="shared" si="11"/>
        <v>0</v>
      </c>
      <c r="AQ18" s="380">
        <f t="shared" si="12"/>
        <v>1.2949999999999999</v>
      </c>
      <c r="AR18" s="380">
        <f t="shared" si="13"/>
        <v>0</v>
      </c>
      <c r="AS18" s="380">
        <f t="shared" si="14"/>
        <v>0</v>
      </c>
      <c r="AT18" s="501">
        <v>1</v>
      </c>
      <c r="AU18" s="502">
        <f t="shared" si="15"/>
        <v>518</v>
      </c>
      <c r="AV18" s="503"/>
      <c r="AW18" s="747">
        <v>42</v>
      </c>
      <c r="AX18" s="468">
        <v>11</v>
      </c>
      <c r="AY18" s="468"/>
      <c r="AZ18" s="468">
        <v>7</v>
      </c>
      <c r="BA18" s="468"/>
      <c r="BB18" s="468" t="s">
        <v>289</v>
      </c>
      <c r="BC18" s="383">
        <f t="shared" si="16"/>
        <v>0.69498069498069504</v>
      </c>
      <c r="BD18" s="380">
        <f t="shared" si="17"/>
        <v>360</v>
      </c>
      <c r="BE18" s="383">
        <f t="shared" si="18"/>
        <v>0.42471042471042475</v>
      </c>
      <c r="BF18" s="380">
        <f t="shared" si="19"/>
        <v>220.00000000000003</v>
      </c>
      <c r="BG18" s="383">
        <f t="shared" si="20"/>
        <v>0.27027027027027029</v>
      </c>
      <c r="BH18" s="380">
        <f t="shared" si="21"/>
        <v>140</v>
      </c>
      <c r="BI18" s="490">
        <v>0</v>
      </c>
      <c r="BJ18" s="506">
        <v>1</v>
      </c>
      <c r="BK18" s="384">
        <f t="shared" si="22"/>
        <v>518</v>
      </c>
      <c r="BL18" s="385">
        <f t="shared" si="23"/>
        <v>18.899999999999999</v>
      </c>
      <c r="BM18" s="468">
        <v>4</v>
      </c>
      <c r="BN18" s="468" t="s">
        <v>290</v>
      </c>
      <c r="BO18" s="383">
        <f t="shared" si="24"/>
        <v>0.77220077220077221</v>
      </c>
      <c r="BP18" s="380">
        <f t="shared" si="25"/>
        <v>400</v>
      </c>
      <c r="BQ18" s="385">
        <f t="shared" si="26"/>
        <v>1.1799999999999997</v>
      </c>
      <c r="BR18" s="501">
        <v>1</v>
      </c>
      <c r="BS18" s="380">
        <f t="shared" si="27"/>
        <v>518</v>
      </c>
      <c r="BT18" s="490">
        <v>3</v>
      </c>
      <c r="BU18" s="383">
        <f t="shared" si="28"/>
        <v>0.5791505791505791</v>
      </c>
      <c r="BV18" s="385">
        <f t="shared" si="29"/>
        <v>2.1799999999999997</v>
      </c>
      <c r="BW18" s="494">
        <v>0.57999999999999996</v>
      </c>
      <c r="BX18" s="516" t="s">
        <v>841</v>
      </c>
      <c r="BY18" s="518">
        <v>42048</v>
      </c>
      <c r="BZ18" s="804"/>
      <c r="CA18" s="807"/>
      <c r="CB18" s="386">
        <f t="shared" si="30"/>
        <v>42413</v>
      </c>
      <c r="CC18" s="468">
        <v>119</v>
      </c>
      <c r="CD18" s="468">
        <v>5</v>
      </c>
      <c r="CE18" s="387">
        <f t="shared" si="31"/>
        <v>0</v>
      </c>
      <c r="CF18" s="388">
        <f t="shared" si="32"/>
        <v>1</v>
      </c>
      <c r="CG18" s="380">
        <f t="shared" si="33"/>
        <v>518</v>
      </c>
      <c r="CH18" s="403">
        <f t="shared" si="34"/>
        <v>2</v>
      </c>
      <c r="CI18" s="484"/>
      <c r="CJ18" s="494">
        <v>1</v>
      </c>
      <c r="CK18" s="405">
        <f t="shared" si="35"/>
        <v>518</v>
      </c>
      <c r="CL18" s="484">
        <v>2</v>
      </c>
      <c r="CM18" s="389" t="str">
        <f t="shared" si="36"/>
        <v>Excellent coverage</v>
      </c>
      <c r="CN18" s="490">
        <v>0</v>
      </c>
      <c r="CO18" s="491" t="s">
        <v>292</v>
      </c>
      <c r="CP18" s="525"/>
    </row>
    <row r="19" spans="2:94" s="40" customFormat="1" ht="30.75" customHeight="1" x14ac:dyDescent="0.2">
      <c r="B19" s="465" t="s">
        <v>104</v>
      </c>
      <c r="C19" s="466" t="s">
        <v>517</v>
      </c>
      <c r="D19" s="467" t="s">
        <v>313</v>
      </c>
      <c r="E19" s="466" t="s">
        <v>216</v>
      </c>
      <c r="F19" s="467">
        <v>98.475719999999995</v>
      </c>
      <c r="G19" s="467">
        <v>25.754110000000001</v>
      </c>
      <c r="H19" s="467" t="s">
        <v>448</v>
      </c>
      <c r="I19" s="467" t="s">
        <v>221</v>
      </c>
      <c r="J19" s="467"/>
      <c r="K19" s="467"/>
      <c r="L19" s="468">
        <v>155</v>
      </c>
      <c r="M19" s="468">
        <v>873</v>
      </c>
      <c r="N19" s="468"/>
      <c r="O19" s="468">
        <v>873</v>
      </c>
      <c r="P19" s="376" t="str">
        <f t="shared" si="0"/>
        <v>2. Medium</v>
      </c>
      <c r="Q19" s="717" t="s">
        <v>805</v>
      </c>
      <c r="R19" s="469" t="s">
        <v>234</v>
      </c>
      <c r="S19" s="477" t="s">
        <v>299</v>
      </c>
      <c r="T19" s="398" t="str">
        <f t="shared" si="1"/>
        <v>Not covered</v>
      </c>
      <c r="U19" s="478" t="s">
        <v>626</v>
      </c>
      <c r="V19" s="469" t="s">
        <v>252</v>
      </c>
      <c r="W19" s="395" t="str">
        <f t="shared" si="2"/>
        <v>Documented</v>
      </c>
      <c r="X19" s="484">
        <v>0</v>
      </c>
      <c r="Y19" s="468">
        <v>0</v>
      </c>
      <c r="Z19" s="801"/>
      <c r="AA19" s="485" t="s">
        <v>19</v>
      </c>
      <c r="AB19" s="484">
        <v>0</v>
      </c>
      <c r="AC19" s="490">
        <v>0</v>
      </c>
      <c r="AD19" s="491">
        <v>17062</v>
      </c>
      <c r="AE19" s="497">
        <v>0</v>
      </c>
      <c r="AF19" s="498">
        <v>0</v>
      </c>
      <c r="AG19" s="797"/>
      <c r="AH19" s="401">
        <f t="shared" si="3"/>
        <v>1</v>
      </c>
      <c r="AI19" s="378">
        <f t="shared" si="4"/>
        <v>873</v>
      </c>
      <c r="AJ19" s="379">
        <f t="shared" si="5"/>
        <v>1</v>
      </c>
      <c r="AK19" s="380">
        <f t="shared" si="6"/>
        <v>873</v>
      </c>
      <c r="AL19" s="377">
        <f t="shared" si="7"/>
        <v>1</v>
      </c>
      <c r="AM19" s="380">
        <f t="shared" si="8"/>
        <v>873</v>
      </c>
      <c r="AN19" s="381" t="str">
        <f t="shared" si="9"/>
        <v>80-100%</v>
      </c>
      <c r="AO19" s="377">
        <f t="shared" si="10"/>
        <v>0</v>
      </c>
      <c r="AP19" s="382">
        <f t="shared" si="11"/>
        <v>0</v>
      </c>
      <c r="AQ19" s="380">
        <f t="shared" si="12"/>
        <v>2.1825000000000001</v>
      </c>
      <c r="AR19" s="380">
        <f t="shared" si="13"/>
        <v>0</v>
      </c>
      <c r="AS19" s="380">
        <f t="shared" si="14"/>
        <v>0</v>
      </c>
      <c r="AT19" s="501">
        <v>1</v>
      </c>
      <c r="AU19" s="502">
        <f t="shared" si="15"/>
        <v>873</v>
      </c>
      <c r="AV19" s="491"/>
      <c r="AW19" s="747">
        <v>5</v>
      </c>
      <c r="AX19" s="468">
        <v>44</v>
      </c>
      <c r="AY19" s="468"/>
      <c r="AZ19" s="468">
        <v>0</v>
      </c>
      <c r="BA19" s="468"/>
      <c r="BB19" s="468" t="s">
        <v>289</v>
      </c>
      <c r="BC19" s="383">
        <f t="shared" si="16"/>
        <v>1</v>
      </c>
      <c r="BD19" s="380">
        <f t="shared" si="17"/>
        <v>873</v>
      </c>
      <c r="BE19" s="383">
        <f t="shared" si="18"/>
        <v>1</v>
      </c>
      <c r="BF19" s="380">
        <f t="shared" si="19"/>
        <v>873</v>
      </c>
      <c r="BG19" s="383">
        <f t="shared" si="20"/>
        <v>0</v>
      </c>
      <c r="BH19" s="380">
        <f t="shared" si="21"/>
        <v>0</v>
      </c>
      <c r="BI19" s="490">
        <v>0</v>
      </c>
      <c r="BJ19" s="506">
        <v>1</v>
      </c>
      <c r="BK19" s="384">
        <f t="shared" si="22"/>
        <v>873</v>
      </c>
      <c r="BL19" s="385">
        <f t="shared" si="23"/>
        <v>43.65</v>
      </c>
      <c r="BM19" s="468">
        <v>4</v>
      </c>
      <c r="BN19" s="468" t="s">
        <v>89</v>
      </c>
      <c r="BO19" s="383">
        <f t="shared" si="24"/>
        <v>0.45819014891179838</v>
      </c>
      <c r="BP19" s="380">
        <f t="shared" si="25"/>
        <v>400</v>
      </c>
      <c r="BQ19" s="385">
        <f t="shared" si="26"/>
        <v>4.7300000000000004</v>
      </c>
      <c r="BR19" s="501">
        <v>0.46</v>
      </c>
      <c r="BS19" s="380">
        <f t="shared" si="27"/>
        <v>401.58000000000004</v>
      </c>
      <c r="BT19" s="490">
        <v>0</v>
      </c>
      <c r="BU19" s="383">
        <f t="shared" si="28"/>
        <v>0</v>
      </c>
      <c r="BV19" s="385">
        <f t="shared" si="29"/>
        <v>8.73</v>
      </c>
      <c r="BW19" s="494">
        <v>0</v>
      </c>
      <c r="BX19" s="516" t="s">
        <v>842</v>
      </c>
      <c r="BY19" s="518">
        <v>42053</v>
      </c>
      <c r="BZ19" s="804"/>
      <c r="CA19" s="807"/>
      <c r="CB19" s="386">
        <f t="shared" si="30"/>
        <v>42418</v>
      </c>
      <c r="CC19" s="468">
        <v>155</v>
      </c>
      <c r="CD19" s="468">
        <v>4</v>
      </c>
      <c r="CE19" s="387">
        <f t="shared" si="31"/>
        <v>0</v>
      </c>
      <c r="CF19" s="388">
        <f t="shared" si="32"/>
        <v>1</v>
      </c>
      <c r="CG19" s="380">
        <f t="shared" si="33"/>
        <v>873</v>
      </c>
      <c r="CH19" s="403">
        <f t="shared" si="34"/>
        <v>2</v>
      </c>
      <c r="CI19" s="484" t="s">
        <v>896</v>
      </c>
      <c r="CJ19" s="494"/>
      <c r="CK19" s="405">
        <f t="shared" si="35"/>
        <v>0</v>
      </c>
      <c r="CL19" s="484">
        <v>2</v>
      </c>
      <c r="CM19" s="389" t="str">
        <f t="shared" si="36"/>
        <v>Excellent coverage</v>
      </c>
      <c r="CN19" s="490">
        <v>0</v>
      </c>
      <c r="CO19" s="491" t="s">
        <v>65</v>
      </c>
      <c r="CP19" s="525"/>
    </row>
    <row r="20" spans="2:94" s="40" customFormat="1" ht="30.75" customHeight="1" x14ac:dyDescent="0.2">
      <c r="B20" s="465" t="s">
        <v>104</v>
      </c>
      <c r="C20" s="466" t="s">
        <v>518</v>
      </c>
      <c r="D20" s="467" t="s">
        <v>313</v>
      </c>
      <c r="E20" s="466" t="s">
        <v>106</v>
      </c>
      <c r="F20" s="467"/>
      <c r="G20" s="467"/>
      <c r="H20" s="467" t="s">
        <v>448</v>
      </c>
      <c r="I20" s="467" t="s">
        <v>213</v>
      </c>
      <c r="J20" s="467"/>
      <c r="K20" s="467"/>
      <c r="L20" s="468">
        <v>139</v>
      </c>
      <c r="M20" s="468">
        <v>640</v>
      </c>
      <c r="N20" s="468"/>
      <c r="O20" s="468">
        <v>640</v>
      </c>
      <c r="P20" s="376" t="str">
        <f t="shared" si="0"/>
        <v>2. Medium</v>
      </c>
      <c r="Q20" s="717" t="s">
        <v>804</v>
      </c>
      <c r="R20" s="469" t="s">
        <v>275</v>
      </c>
      <c r="S20" s="477" t="s">
        <v>275</v>
      </c>
      <c r="T20" s="398" t="str">
        <f t="shared" si="1"/>
        <v>Covered</v>
      </c>
      <c r="U20" s="478">
        <v>42369</v>
      </c>
      <c r="V20" s="469" t="s">
        <v>252</v>
      </c>
      <c r="W20" s="395" t="str">
        <f t="shared" si="2"/>
        <v>Documented</v>
      </c>
      <c r="X20" s="484">
        <v>0</v>
      </c>
      <c r="Y20" s="468">
        <v>0</v>
      </c>
      <c r="Z20" s="801"/>
      <c r="AA20" s="485" t="s">
        <v>19</v>
      </c>
      <c r="AB20" s="484">
        <v>0</v>
      </c>
      <c r="AC20" s="490">
        <v>0</v>
      </c>
      <c r="AD20" s="491">
        <v>12760</v>
      </c>
      <c r="AE20" s="497">
        <v>0</v>
      </c>
      <c r="AF20" s="498">
        <v>0</v>
      </c>
      <c r="AG20" s="797"/>
      <c r="AH20" s="401">
        <f t="shared" si="3"/>
        <v>1</v>
      </c>
      <c r="AI20" s="378">
        <f t="shared" si="4"/>
        <v>640</v>
      </c>
      <c r="AJ20" s="379">
        <f t="shared" si="5"/>
        <v>1</v>
      </c>
      <c r="AK20" s="380">
        <f t="shared" si="6"/>
        <v>640</v>
      </c>
      <c r="AL20" s="377">
        <f t="shared" si="7"/>
        <v>1</v>
      </c>
      <c r="AM20" s="380">
        <f t="shared" si="8"/>
        <v>640</v>
      </c>
      <c r="AN20" s="381" t="str">
        <f t="shared" si="9"/>
        <v>80-100%</v>
      </c>
      <c r="AO20" s="377">
        <f t="shared" si="10"/>
        <v>0</v>
      </c>
      <c r="AP20" s="382">
        <f t="shared" si="11"/>
        <v>0</v>
      </c>
      <c r="AQ20" s="380">
        <f t="shared" si="12"/>
        <v>1.6</v>
      </c>
      <c r="AR20" s="380">
        <f t="shared" si="13"/>
        <v>0</v>
      </c>
      <c r="AS20" s="380">
        <f t="shared" si="14"/>
        <v>0</v>
      </c>
      <c r="AT20" s="501">
        <v>1</v>
      </c>
      <c r="AU20" s="502">
        <f t="shared" si="15"/>
        <v>640</v>
      </c>
      <c r="AV20" s="491"/>
      <c r="AW20" s="747">
        <v>8</v>
      </c>
      <c r="AX20" s="468">
        <v>4</v>
      </c>
      <c r="AY20" s="468"/>
      <c r="AZ20" s="468">
        <v>28</v>
      </c>
      <c r="BA20" s="468"/>
      <c r="BB20" s="468" t="s">
        <v>289</v>
      </c>
      <c r="BC20" s="383">
        <f t="shared" si="16"/>
        <v>1</v>
      </c>
      <c r="BD20" s="380">
        <f t="shared" si="17"/>
        <v>640</v>
      </c>
      <c r="BE20" s="383">
        <f t="shared" si="18"/>
        <v>0.125</v>
      </c>
      <c r="BF20" s="380">
        <f t="shared" si="19"/>
        <v>80</v>
      </c>
      <c r="BG20" s="383">
        <f t="shared" si="20"/>
        <v>0.875</v>
      </c>
      <c r="BH20" s="380">
        <f t="shared" si="21"/>
        <v>560</v>
      </c>
      <c r="BI20" s="490">
        <v>0</v>
      </c>
      <c r="BJ20" s="506">
        <v>1</v>
      </c>
      <c r="BK20" s="384">
        <f t="shared" si="22"/>
        <v>640</v>
      </c>
      <c r="BL20" s="385">
        <f t="shared" si="23"/>
        <v>4</v>
      </c>
      <c r="BM20" s="468">
        <v>6</v>
      </c>
      <c r="BN20" s="468" t="s">
        <v>290</v>
      </c>
      <c r="BO20" s="383">
        <f t="shared" si="24"/>
        <v>0.9375</v>
      </c>
      <c r="BP20" s="380">
        <f t="shared" si="25"/>
        <v>600</v>
      </c>
      <c r="BQ20" s="385">
        <f t="shared" si="26"/>
        <v>0.40000000000000036</v>
      </c>
      <c r="BR20" s="501">
        <v>1</v>
      </c>
      <c r="BS20" s="380">
        <f t="shared" si="27"/>
        <v>640</v>
      </c>
      <c r="BT20" s="490">
        <v>8</v>
      </c>
      <c r="BU20" s="383">
        <f t="shared" si="28"/>
        <v>1</v>
      </c>
      <c r="BV20" s="385">
        <f t="shared" si="29"/>
        <v>0</v>
      </c>
      <c r="BW20" s="494">
        <v>1</v>
      </c>
      <c r="BX20" s="516" t="s">
        <v>841</v>
      </c>
      <c r="BY20" s="518">
        <v>42048</v>
      </c>
      <c r="BZ20" s="804"/>
      <c r="CA20" s="807"/>
      <c r="CB20" s="386">
        <f t="shared" si="30"/>
        <v>42413</v>
      </c>
      <c r="CC20" s="468">
        <v>139</v>
      </c>
      <c r="CD20" s="468">
        <v>5</v>
      </c>
      <c r="CE20" s="387">
        <f t="shared" si="31"/>
        <v>0</v>
      </c>
      <c r="CF20" s="388">
        <f t="shared" si="32"/>
        <v>1</v>
      </c>
      <c r="CG20" s="380">
        <f t="shared" si="33"/>
        <v>640</v>
      </c>
      <c r="CH20" s="403">
        <f t="shared" si="34"/>
        <v>2</v>
      </c>
      <c r="CI20" s="484"/>
      <c r="CJ20" s="494">
        <v>1</v>
      </c>
      <c r="CK20" s="405">
        <f t="shared" si="35"/>
        <v>640</v>
      </c>
      <c r="CL20" s="484">
        <v>2</v>
      </c>
      <c r="CM20" s="389" t="str">
        <f t="shared" si="36"/>
        <v>Excellent coverage</v>
      </c>
      <c r="CN20" s="490">
        <v>0</v>
      </c>
      <c r="CO20" s="491" t="s">
        <v>292</v>
      </c>
      <c r="CP20" s="525"/>
    </row>
    <row r="21" spans="2:94" s="40" customFormat="1" ht="30.75" customHeight="1" x14ac:dyDescent="0.2">
      <c r="B21" s="465" t="s">
        <v>104</v>
      </c>
      <c r="C21" s="466" t="s">
        <v>519</v>
      </c>
      <c r="D21" s="467" t="s">
        <v>313</v>
      </c>
      <c r="E21" s="466" t="s">
        <v>282</v>
      </c>
      <c r="F21" s="467">
        <v>98.376824999999997</v>
      </c>
      <c r="G21" s="467">
        <v>25.598251999999999</v>
      </c>
      <c r="H21" s="467" t="s">
        <v>448</v>
      </c>
      <c r="I21" s="467" t="s">
        <v>213</v>
      </c>
      <c r="J21" s="467"/>
      <c r="K21" s="467"/>
      <c r="L21" s="468">
        <v>68</v>
      </c>
      <c r="M21" s="468">
        <v>323</v>
      </c>
      <c r="N21" s="468"/>
      <c r="O21" s="468">
        <v>323</v>
      </c>
      <c r="P21" s="376" t="str">
        <f t="shared" si="0"/>
        <v>2. Medium</v>
      </c>
      <c r="Q21" s="717" t="s">
        <v>825</v>
      </c>
      <c r="R21" s="469" t="s">
        <v>230</v>
      </c>
      <c r="S21" s="477" t="s">
        <v>230</v>
      </c>
      <c r="T21" s="398" t="str">
        <f t="shared" si="1"/>
        <v>Covered</v>
      </c>
      <c r="U21" s="478" t="s">
        <v>626</v>
      </c>
      <c r="V21" s="469" t="s">
        <v>252</v>
      </c>
      <c r="W21" s="395" t="str">
        <f t="shared" si="2"/>
        <v>Documented</v>
      </c>
      <c r="X21" s="484">
        <v>0</v>
      </c>
      <c r="Y21" s="468">
        <v>0</v>
      </c>
      <c r="Z21" s="801"/>
      <c r="AA21" s="485" t="s">
        <v>19</v>
      </c>
      <c r="AB21" s="484">
        <v>0</v>
      </c>
      <c r="AC21" s="490">
        <v>0</v>
      </c>
      <c r="AD21" s="491">
        <v>20250</v>
      </c>
      <c r="AE21" s="497">
        <v>0</v>
      </c>
      <c r="AF21" s="498">
        <v>1</v>
      </c>
      <c r="AG21" s="797"/>
      <c r="AH21" s="401">
        <f t="shared" si="3"/>
        <v>1</v>
      </c>
      <c r="AI21" s="378">
        <f t="shared" si="4"/>
        <v>323</v>
      </c>
      <c r="AJ21" s="379">
        <f t="shared" si="5"/>
        <v>1</v>
      </c>
      <c r="AK21" s="380">
        <f t="shared" si="6"/>
        <v>323</v>
      </c>
      <c r="AL21" s="377">
        <f t="shared" si="7"/>
        <v>1</v>
      </c>
      <c r="AM21" s="380">
        <f t="shared" si="8"/>
        <v>323</v>
      </c>
      <c r="AN21" s="381" t="str">
        <f t="shared" si="9"/>
        <v>80-100%</v>
      </c>
      <c r="AO21" s="377">
        <f t="shared" si="10"/>
        <v>0</v>
      </c>
      <c r="AP21" s="382">
        <f t="shared" si="11"/>
        <v>0</v>
      </c>
      <c r="AQ21" s="380">
        <f t="shared" si="12"/>
        <v>0.8075</v>
      </c>
      <c r="AR21" s="380">
        <f t="shared" si="13"/>
        <v>68</v>
      </c>
      <c r="AS21" s="380">
        <f t="shared" si="14"/>
        <v>0</v>
      </c>
      <c r="AT21" s="501">
        <v>1</v>
      </c>
      <c r="AU21" s="502">
        <f t="shared" si="15"/>
        <v>323</v>
      </c>
      <c r="AV21" s="491"/>
      <c r="AW21" s="747">
        <v>8</v>
      </c>
      <c r="AX21" s="468">
        <v>0</v>
      </c>
      <c r="AY21" s="468"/>
      <c r="AZ21" s="468">
        <v>16</v>
      </c>
      <c r="BA21" s="468"/>
      <c r="BB21" s="468" t="s">
        <v>290</v>
      </c>
      <c r="BC21" s="383">
        <f t="shared" si="16"/>
        <v>0.99071207430340558</v>
      </c>
      <c r="BD21" s="380">
        <f t="shared" si="17"/>
        <v>320</v>
      </c>
      <c r="BE21" s="383">
        <f t="shared" si="18"/>
        <v>0</v>
      </c>
      <c r="BF21" s="380">
        <f t="shared" si="19"/>
        <v>0</v>
      </c>
      <c r="BG21" s="383">
        <f t="shared" si="20"/>
        <v>0.99071207430340558</v>
      </c>
      <c r="BH21" s="380">
        <f t="shared" si="21"/>
        <v>320</v>
      </c>
      <c r="BI21" s="490">
        <v>0</v>
      </c>
      <c r="BJ21" s="506">
        <v>1</v>
      </c>
      <c r="BK21" s="384">
        <f t="shared" si="22"/>
        <v>323</v>
      </c>
      <c r="BL21" s="385">
        <f t="shared" si="23"/>
        <v>0.14999999999999858</v>
      </c>
      <c r="BM21" s="468">
        <v>2</v>
      </c>
      <c r="BN21" s="468" t="s">
        <v>290</v>
      </c>
      <c r="BO21" s="383">
        <f t="shared" si="24"/>
        <v>0.61919504643962853</v>
      </c>
      <c r="BP21" s="380">
        <f t="shared" si="25"/>
        <v>200</v>
      </c>
      <c r="BQ21" s="385">
        <f t="shared" si="26"/>
        <v>1.23</v>
      </c>
      <c r="BR21" s="501">
        <v>0.62</v>
      </c>
      <c r="BS21" s="380">
        <f t="shared" si="27"/>
        <v>200.26</v>
      </c>
      <c r="BT21" s="490">
        <v>2</v>
      </c>
      <c r="BU21" s="383">
        <f t="shared" si="28"/>
        <v>0.61919504643962853</v>
      </c>
      <c r="BV21" s="385">
        <f t="shared" si="29"/>
        <v>1.23</v>
      </c>
      <c r="BW21" s="494">
        <v>0.62</v>
      </c>
      <c r="BX21" s="516" t="s">
        <v>812</v>
      </c>
      <c r="BY21" s="518">
        <v>41780</v>
      </c>
      <c r="BZ21" s="804"/>
      <c r="CA21" s="807"/>
      <c r="CB21" s="386" t="str">
        <f t="shared" si="30"/>
        <v>To be realised</v>
      </c>
      <c r="CC21" s="468">
        <v>68</v>
      </c>
      <c r="CD21" s="468">
        <v>10</v>
      </c>
      <c r="CE21" s="387">
        <f t="shared" si="31"/>
        <v>68</v>
      </c>
      <c r="CF21" s="388">
        <f t="shared" si="32"/>
        <v>0</v>
      </c>
      <c r="CG21" s="380">
        <f t="shared" si="33"/>
        <v>0</v>
      </c>
      <c r="CH21" s="403">
        <f t="shared" si="34"/>
        <v>6</v>
      </c>
      <c r="CI21" s="484" t="s">
        <v>897</v>
      </c>
      <c r="CJ21" s="494"/>
      <c r="CK21" s="405">
        <f t="shared" si="35"/>
        <v>0</v>
      </c>
      <c r="CL21" s="484">
        <v>4</v>
      </c>
      <c r="CM21" s="389" t="str">
        <f t="shared" si="36"/>
        <v>Excellent coverage</v>
      </c>
      <c r="CN21" s="490">
        <v>0</v>
      </c>
      <c r="CO21" s="491" t="s">
        <v>292</v>
      </c>
      <c r="CP21" s="525"/>
    </row>
    <row r="22" spans="2:94" s="40" customFormat="1" ht="30.75" customHeight="1" x14ac:dyDescent="0.2">
      <c r="B22" s="465" t="s">
        <v>104</v>
      </c>
      <c r="C22" s="466" t="s">
        <v>735</v>
      </c>
      <c r="D22" s="467" t="s">
        <v>313</v>
      </c>
      <c r="E22" s="466" t="s">
        <v>736</v>
      </c>
      <c r="F22" s="467">
        <v>98.356405555555497</v>
      </c>
      <c r="G22" s="467">
        <v>25.645869444444401</v>
      </c>
      <c r="H22" s="467" t="s">
        <v>448</v>
      </c>
      <c r="I22" s="467" t="s">
        <v>213</v>
      </c>
      <c r="J22" s="467"/>
      <c r="K22" s="467"/>
      <c r="L22" s="468">
        <v>30</v>
      </c>
      <c r="M22" s="468">
        <v>165</v>
      </c>
      <c r="N22" s="468"/>
      <c r="O22" s="468">
        <v>165</v>
      </c>
      <c r="P22" s="376" t="str">
        <f t="shared" si="0"/>
        <v>1. Small</v>
      </c>
      <c r="Q22" s="717" t="s">
        <v>825</v>
      </c>
      <c r="R22" s="469" t="s">
        <v>230</v>
      </c>
      <c r="S22" s="477" t="s">
        <v>230</v>
      </c>
      <c r="T22" s="398" t="str">
        <f t="shared" si="1"/>
        <v>Covered</v>
      </c>
      <c r="U22" s="478">
        <v>42369</v>
      </c>
      <c r="V22" s="469" t="s">
        <v>252</v>
      </c>
      <c r="W22" s="395" t="str">
        <f t="shared" si="2"/>
        <v>Documented</v>
      </c>
      <c r="X22" s="484">
        <v>0</v>
      </c>
      <c r="Y22" s="468">
        <v>0</v>
      </c>
      <c r="Z22" s="801"/>
      <c r="AA22" s="485" t="s">
        <v>19</v>
      </c>
      <c r="AB22" s="484">
        <v>0</v>
      </c>
      <c r="AC22" s="490">
        <v>0</v>
      </c>
      <c r="AD22" s="491">
        <v>3200</v>
      </c>
      <c r="AE22" s="497">
        <v>0</v>
      </c>
      <c r="AF22" s="498">
        <v>1</v>
      </c>
      <c r="AG22" s="797"/>
      <c r="AH22" s="401">
        <f t="shared" si="3"/>
        <v>1</v>
      </c>
      <c r="AI22" s="378">
        <f t="shared" si="4"/>
        <v>165</v>
      </c>
      <c r="AJ22" s="379">
        <f t="shared" si="5"/>
        <v>1</v>
      </c>
      <c r="AK22" s="380">
        <f t="shared" si="6"/>
        <v>165</v>
      </c>
      <c r="AL22" s="377">
        <f t="shared" si="7"/>
        <v>1</v>
      </c>
      <c r="AM22" s="380">
        <f t="shared" si="8"/>
        <v>165</v>
      </c>
      <c r="AN22" s="381" t="str">
        <f t="shared" si="9"/>
        <v>80-100%</v>
      </c>
      <c r="AO22" s="377">
        <f t="shared" si="10"/>
        <v>0</v>
      </c>
      <c r="AP22" s="382">
        <f t="shared" si="11"/>
        <v>0</v>
      </c>
      <c r="AQ22" s="380">
        <f t="shared" si="12"/>
        <v>0.41249999999999998</v>
      </c>
      <c r="AR22" s="380">
        <f t="shared" si="13"/>
        <v>30</v>
      </c>
      <c r="AS22" s="380">
        <f t="shared" si="14"/>
        <v>0</v>
      </c>
      <c r="AT22" s="501">
        <v>1</v>
      </c>
      <c r="AU22" s="502">
        <f t="shared" si="15"/>
        <v>165</v>
      </c>
      <c r="AV22" s="491"/>
      <c r="AW22" s="747">
        <v>10</v>
      </c>
      <c r="AX22" s="468">
        <v>4</v>
      </c>
      <c r="AY22" s="468"/>
      <c r="AZ22" s="468">
        <v>0</v>
      </c>
      <c r="BA22" s="468"/>
      <c r="BB22" s="468" t="s">
        <v>290</v>
      </c>
      <c r="BC22" s="383">
        <f t="shared" si="16"/>
        <v>0.48484848484848486</v>
      </c>
      <c r="BD22" s="380">
        <f t="shared" si="17"/>
        <v>80</v>
      </c>
      <c r="BE22" s="383">
        <f t="shared" si="18"/>
        <v>0.48484848484848486</v>
      </c>
      <c r="BF22" s="380">
        <f t="shared" si="19"/>
        <v>80</v>
      </c>
      <c r="BG22" s="383">
        <f t="shared" si="20"/>
        <v>0</v>
      </c>
      <c r="BH22" s="380">
        <f t="shared" si="21"/>
        <v>0</v>
      </c>
      <c r="BI22" s="490">
        <v>0</v>
      </c>
      <c r="BJ22" s="506">
        <v>1</v>
      </c>
      <c r="BK22" s="384">
        <f t="shared" si="22"/>
        <v>165</v>
      </c>
      <c r="BL22" s="385">
        <f t="shared" si="23"/>
        <v>8.25</v>
      </c>
      <c r="BM22" s="468">
        <v>0</v>
      </c>
      <c r="BN22" s="468" t="s">
        <v>89</v>
      </c>
      <c r="BO22" s="383">
        <f t="shared" si="24"/>
        <v>0</v>
      </c>
      <c r="BP22" s="380">
        <f t="shared" si="25"/>
        <v>0</v>
      </c>
      <c r="BQ22" s="385">
        <f t="shared" si="26"/>
        <v>1.65</v>
      </c>
      <c r="BR22" s="501">
        <v>0</v>
      </c>
      <c r="BS22" s="380">
        <f t="shared" si="27"/>
        <v>0</v>
      </c>
      <c r="BT22" s="490">
        <v>0</v>
      </c>
      <c r="BU22" s="383">
        <f t="shared" si="28"/>
        <v>0</v>
      </c>
      <c r="BV22" s="385">
        <f t="shared" si="29"/>
        <v>1.65</v>
      </c>
      <c r="BW22" s="494">
        <v>0</v>
      </c>
      <c r="BX22" s="516"/>
      <c r="BY22" s="518">
        <v>41780</v>
      </c>
      <c r="BZ22" s="804"/>
      <c r="CA22" s="807"/>
      <c r="CB22" s="386" t="str">
        <f t="shared" si="30"/>
        <v>To be realised</v>
      </c>
      <c r="CC22" s="468">
        <v>30</v>
      </c>
      <c r="CD22" s="468">
        <v>10</v>
      </c>
      <c r="CE22" s="387">
        <f t="shared" si="31"/>
        <v>30</v>
      </c>
      <c r="CF22" s="388">
        <f t="shared" si="32"/>
        <v>0</v>
      </c>
      <c r="CG22" s="380">
        <f t="shared" si="33"/>
        <v>0</v>
      </c>
      <c r="CH22" s="403">
        <f t="shared" si="34"/>
        <v>6</v>
      </c>
      <c r="CI22" s="484"/>
      <c r="CJ22" s="494">
        <v>0.8</v>
      </c>
      <c r="CK22" s="405">
        <f t="shared" si="35"/>
        <v>132</v>
      </c>
      <c r="CL22" s="484">
        <v>4</v>
      </c>
      <c r="CM22" s="389" t="str">
        <f t="shared" si="36"/>
        <v>Excellent coverage</v>
      </c>
      <c r="CN22" s="490">
        <v>0</v>
      </c>
      <c r="CO22" s="491" t="s">
        <v>292</v>
      </c>
      <c r="CP22" s="525"/>
    </row>
    <row r="23" spans="2:94" s="40" customFormat="1" ht="30.75" customHeight="1" x14ac:dyDescent="0.2">
      <c r="B23" s="465" t="s">
        <v>107</v>
      </c>
      <c r="C23" s="466" t="s">
        <v>520</v>
      </c>
      <c r="D23" s="467" t="s">
        <v>256</v>
      </c>
      <c r="E23" s="466" t="s">
        <v>108</v>
      </c>
      <c r="F23" s="467">
        <v>96.355270000000004</v>
      </c>
      <c r="G23" s="467">
        <v>25.656130000000001</v>
      </c>
      <c r="H23" s="467" t="s">
        <v>448</v>
      </c>
      <c r="I23" s="467" t="s">
        <v>213</v>
      </c>
      <c r="J23" s="467"/>
      <c r="K23" s="467"/>
      <c r="L23" s="468">
        <v>77</v>
      </c>
      <c r="M23" s="468">
        <v>380</v>
      </c>
      <c r="N23" s="468"/>
      <c r="O23" s="468">
        <v>380</v>
      </c>
      <c r="P23" s="376" t="str">
        <f t="shared" si="0"/>
        <v>2. Medium</v>
      </c>
      <c r="Q23" s="717" t="s">
        <v>253</v>
      </c>
      <c r="R23" s="469" t="s">
        <v>275</v>
      </c>
      <c r="S23" s="477" t="s">
        <v>275</v>
      </c>
      <c r="T23" s="398" t="str">
        <f t="shared" si="1"/>
        <v>Covered</v>
      </c>
      <c r="U23" s="478" t="s">
        <v>626</v>
      </c>
      <c r="V23" s="469" t="s">
        <v>252</v>
      </c>
      <c r="W23" s="395" t="str">
        <f t="shared" si="2"/>
        <v>Documented</v>
      </c>
      <c r="X23" s="484">
        <v>0</v>
      </c>
      <c r="Y23" s="468">
        <v>0</v>
      </c>
      <c r="Z23" s="801"/>
      <c r="AA23" s="485" t="s">
        <v>19</v>
      </c>
      <c r="AB23" s="484">
        <v>3</v>
      </c>
      <c r="AC23" s="490">
        <v>0</v>
      </c>
      <c r="AD23" s="491">
        <v>6000</v>
      </c>
      <c r="AE23" s="497">
        <v>0</v>
      </c>
      <c r="AF23" s="498">
        <v>0</v>
      </c>
      <c r="AG23" s="797"/>
      <c r="AH23" s="401">
        <f t="shared" si="3"/>
        <v>1</v>
      </c>
      <c r="AI23" s="378">
        <f t="shared" si="4"/>
        <v>380</v>
      </c>
      <c r="AJ23" s="379">
        <f t="shared" si="5"/>
        <v>1</v>
      </c>
      <c r="AK23" s="380">
        <f t="shared" si="6"/>
        <v>380</v>
      </c>
      <c r="AL23" s="377">
        <f t="shared" si="7"/>
        <v>1</v>
      </c>
      <c r="AM23" s="380">
        <f t="shared" si="8"/>
        <v>380</v>
      </c>
      <c r="AN23" s="381" t="str">
        <f t="shared" si="9"/>
        <v>80-100%</v>
      </c>
      <c r="AO23" s="377">
        <f t="shared" si="10"/>
        <v>0</v>
      </c>
      <c r="AP23" s="382">
        <f t="shared" si="11"/>
        <v>0</v>
      </c>
      <c r="AQ23" s="380">
        <f t="shared" si="12"/>
        <v>0</v>
      </c>
      <c r="AR23" s="380">
        <f t="shared" si="13"/>
        <v>0</v>
      </c>
      <c r="AS23" s="380">
        <f t="shared" si="14"/>
        <v>0</v>
      </c>
      <c r="AT23" s="501">
        <v>1</v>
      </c>
      <c r="AU23" s="502">
        <f t="shared" si="15"/>
        <v>380</v>
      </c>
      <c r="AV23" s="491"/>
      <c r="AW23" s="747">
        <v>6</v>
      </c>
      <c r="AX23" s="468">
        <v>0</v>
      </c>
      <c r="AY23" s="468"/>
      <c r="AZ23" s="468">
        <v>5</v>
      </c>
      <c r="BA23" s="468"/>
      <c r="BB23" s="468" t="s">
        <v>89</v>
      </c>
      <c r="BC23" s="383">
        <f t="shared" si="16"/>
        <v>0.26315789473684209</v>
      </c>
      <c r="BD23" s="380">
        <f t="shared" si="17"/>
        <v>100</v>
      </c>
      <c r="BE23" s="383">
        <f t="shared" si="18"/>
        <v>0</v>
      </c>
      <c r="BF23" s="380">
        <f t="shared" si="19"/>
        <v>0</v>
      </c>
      <c r="BG23" s="383">
        <f t="shared" si="20"/>
        <v>0.26315789473684209</v>
      </c>
      <c r="BH23" s="380">
        <f t="shared" si="21"/>
        <v>100</v>
      </c>
      <c r="BI23" s="490">
        <v>0</v>
      </c>
      <c r="BJ23" s="506">
        <v>0.27</v>
      </c>
      <c r="BK23" s="384">
        <f t="shared" si="22"/>
        <v>102.60000000000001</v>
      </c>
      <c r="BL23" s="385">
        <f t="shared" si="23"/>
        <v>14</v>
      </c>
      <c r="BM23" s="468">
        <v>2</v>
      </c>
      <c r="BN23" s="468" t="s">
        <v>291</v>
      </c>
      <c r="BO23" s="383">
        <f t="shared" si="24"/>
        <v>0.52631578947368418</v>
      </c>
      <c r="BP23" s="380">
        <f t="shared" si="25"/>
        <v>200</v>
      </c>
      <c r="BQ23" s="385">
        <f t="shared" si="26"/>
        <v>1.7999999999999998</v>
      </c>
      <c r="BR23" s="501">
        <v>0.53</v>
      </c>
      <c r="BS23" s="380">
        <f t="shared" si="27"/>
        <v>201.4</v>
      </c>
      <c r="BT23" s="490">
        <v>6</v>
      </c>
      <c r="BU23" s="383">
        <f t="shared" si="28"/>
        <v>1</v>
      </c>
      <c r="BV23" s="385">
        <f t="shared" si="29"/>
        <v>0</v>
      </c>
      <c r="BW23" s="494">
        <v>1</v>
      </c>
      <c r="BX23" s="516" t="s">
        <v>813</v>
      </c>
      <c r="BY23" s="518">
        <v>41695</v>
      </c>
      <c r="BZ23" s="804"/>
      <c r="CA23" s="807"/>
      <c r="CB23" s="386" t="str">
        <f t="shared" si="30"/>
        <v>To be realised</v>
      </c>
      <c r="CC23" s="468">
        <v>77</v>
      </c>
      <c r="CD23" s="468">
        <v>10</v>
      </c>
      <c r="CE23" s="387">
        <f t="shared" si="31"/>
        <v>77</v>
      </c>
      <c r="CF23" s="388">
        <f t="shared" si="32"/>
        <v>0</v>
      </c>
      <c r="CG23" s="380">
        <f t="shared" si="33"/>
        <v>0</v>
      </c>
      <c r="CH23" s="403">
        <f t="shared" si="34"/>
        <v>8</v>
      </c>
      <c r="CI23" s="484"/>
      <c r="CJ23" s="494"/>
      <c r="CK23" s="405">
        <f t="shared" si="35"/>
        <v>0</v>
      </c>
      <c r="CL23" s="484">
        <v>2</v>
      </c>
      <c r="CM23" s="389" t="str">
        <f t="shared" si="36"/>
        <v>Excellent coverage</v>
      </c>
      <c r="CN23" s="490">
        <v>0</v>
      </c>
      <c r="CO23" s="491" t="s">
        <v>292</v>
      </c>
      <c r="CP23" s="525"/>
    </row>
    <row r="24" spans="2:94" s="40" customFormat="1" ht="30.75" customHeight="1" x14ac:dyDescent="0.2">
      <c r="B24" s="465" t="s">
        <v>107</v>
      </c>
      <c r="C24" s="466" t="s">
        <v>521</v>
      </c>
      <c r="D24" s="467" t="s">
        <v>256</v>
      </c>
      <c r="E24" s="466" t="s">
        <v>109</v>
      </c>
      <c r="F24" s="467">
        <v>96.353070000000002</v>
      </c>
      <c r="G24" s="467">
        <v>25.655819999999999</v>
      </c>
      <c r="H24" s="467" t="s">
        <v>448</v>
      </c>
      <c r="I24" s="467" t="s">
        <v>213</v>
      </c>
      <c r="J24" s="467"/>
      <c r="K24" s="467"/>
      <c r="L24" s="468">
        <v>83</v>
      </c>
      <c r="M24" s="468">
        <v>425</v>
      </c>
      <c r="N24" s="468"/>
      <c r="O24" s="468">
        <v>425</v>
      </c>
      <c r="P24" s="376" t="str">
        <f t="shared" si="0"/>
        <v>2. Medium</v>
      </c>
      <c r="Q24" s="717" t="s">
        <v>825</v>
      </c>
      <c r="R24" s="469" t="s">
        <v>230</v>
      </c>
      <c r="S24" s="477" t="s">
        <v>230</v>
      </c>
      <c r="T24" s="398" t="str">
        <f t="shared" si="1"/>
        <v>Covered</v>
      </c>
      <c r="U24" s="478" t="s">
        <v>626</v>
      </c>
      <c r="V24" s="469" t="s">
        <v>252</v>
      </c>
      <c r="W24" s="395" t="str">
        <f t="shared" si="2"/>
        <v>Documented</v>
      </c>
      <c r="X24" s="484">
        <v>0</v>
      </c>
      <c r="Y24" s="468">
        <v>0</v>
      </c>
      <c r="Z24" s="801"/>
      <c r="AA24" s="485" t="s">
        <v>19</v>
      </c>
      <c r="AB24" s="484">
        <v>2</v>
      </c>
      <c r="AC24" s="490">
        <v>0</v>
      </c>
      <c r="AD24" s="491">
        <v>3000</v>
      </c>
      <c r="AE24" s="497">
        <v>0</v>
      </c>
      <c r="AF24" s="498">
        <v>0</v>
      </c>
      <c r="AG24" s="797"/>
      <c r="AH24" s="401">
        <f t="shared" si="3"/>
        <v>1</v>
      </c>
      <c r="AI24" s="378">
        <f t="shared" si="4"/>
        <v>425</v>
      </c>
      <c r="AJ24" s="379">
        <f t="shared" si="5"/>
        <v>1</v>
      </c>
      <c r="AK24" s="380">
        <f t="shared" si="6"/>
        <v>425</v>
      </c>
      <c r="AL24" s="377">
        <f t="shared" si="7"/>
        <v>1</v>
      </c>
      <c r="AM24" s="380">
        <f t="shared" si="8"/>
        <v>425</v>
      </c>
      <c r="AN24" s="381" t="str">
        <f t="shared" si="9"/>
        <v>80-100%</v>
      </c>
      <c r="AO24" s="377">
        <f t="shared" si="10"/>
        <v>0</v>
      </c>
      <c r="AP24" s="382">
        <f t="shared" si="11"/>
        <v>0</v>
      </c>
      <c r="AQ24" s="380">
        <f t="shared" si="12"/>
        <v>0</v>
      </c>
      <c r="AR24" s="380">
        <f t="shared" si="13"/>
        <v>0</v>
      </c>
      <c r="AS24" s="380">
        <f t="shared" si="14"/>
        <v>0</v>
      </c>
      <c r="AT24" s="501">
        <v>1</v>
      </c>
      <c r="AU24" s="502">
        <f t="shared" si="15"/>
        <v>425</v>
      </c>
      <c r="AV24" s="491"/>
      <c r="AW24" s="747">
        <v>0</v>
      </c>
      <c r="AX24" s="468">
        <v>0</v>
      </c>
      <c r="AY24" s="468"/>
      <c r="AZ24" s="468">
        <v>10</v>
      </c>
      <c r="BA24" s="468"/>
      <c r="BB24" s="468" t="s">
        <v>290</v>
      </c>
      <c r="BC24" s="383">
        <f t="shared" si="16"/>
        <v>0.47058823529411764</v>
      </c>
      <c r="BD24" s="380">
        <f t="shared" si="17"/>
        <v>200</v>
      </c>
      <c r="BE24" s="383">
        <f t="shared" si="18"/>
        <v>0</v>
      </c>
      <c r="BF24" s="380">
        <f t="shared" si="19"/>
        <v>0</v>
      </c>
      <c r="BG24" s="383">
        <f t="shared" si="20"/>
        <v>0.47058823529411764</v>
      </c>
      <c r="BH24" s="380">
        <f t="shared" si="21"/>
        <v>200</v>
      </c>
      <c r="BI24" s="490">
        <v>0</v>
      </c>
      <c r="BJ24" s="506">
        <v>1</v>
      </c>
      <c r="BK24" s="384">
        <f t="shared" si="22"/>
        <v>425</v>
      </c>
      <c r="BL24" s="385">
        <f t="shared" si="23"/>
        <v>11.25</v>
      </c>
      <c r="BM24" s="468">
        <v>2</v>
      </c>
      <c r="BN24" s="468" t="s">
        <v>89</v>
      </c>
      <c r="BO24" s="383">
        <f t="shared" si="24"/>
        <v>0.47058823529411764</v>
      </c>
      <c r="BP24" s="380">
        <f t="shared" si="25"/>
        <v>200</v>
      </c>
      <c r="BQ24" s="385">
        <f t="shared" si="26"/>
        <v>2.25</v>
      </c>
      <c r="BR24" s="501">
        <v>0.48</v>
      </c>
      <c r="BS24" s="380">
        <f t="shared" si="27"/>
        <v>204</v>
      </c>
      <c r="BT24" s="490">
        <v>2</v>
      </c>
      <c r="BU24" s="383">
        <f t="shared" si="28"/>
        <v>0.47058823529411764</v>
      </c>
      <c r="BV24" s="385">
        <f t="shared" si="29"/>
        <v>2.25</v>
      </c>
      <c r="BW24" s="494">
        <v>0.48</v>
      </c>
      <c r="BX24" s="516" t="s">
        <v>843</v>
      </c>
      <c r="BY24" s="518">
        <v>41817</v>
      </c>
      <c r="BZ24" s="804"/>
      <c r="CA24" s="807"/>
      <c r="CB24" s="386" t="str">
        <f t="shared" si="30"/>
        <v>To be realised</v>
      </c>
      <c r="CC24" s="468">
        <v>83</v>
      </c>
      <c r="CD24" s="468">
        <v>2</v>
      </c>
      <c r="CE24" s="387">
        <f t="shared" si="31"/>
        <v>83</v>
      </c>
      <c r="CF24" s="388">
        <f t="shared" si="32"/>
        <v>0</v>
      </c>
      <c r="CG24" s="380">
        <f t="shared" si="33"/>
        <v>0</v>
      </c>
      <c r="CH24" s="403">
        <f t="shared" si="34"/>
        <v>12</v>
      </c>
      <c r="CI24" s="484"/>
      <c r="CJ24" s="494"/>
      <c r="CK24" s="405">
        <f t="shared" si="35"/>
        <v>0</v>
      </c>
      <c r="CL24" s="484">
        <v>4</v>
      </c>
      <c r="CM24" s="389" t="str">
        <f t="shared" si="36"/>
        <v>Excellent coverage</v>
      </c>
      <c r="CN24" s="490">
        <v>0</v>
      </c>
      <c r="CO24" s="491" t="s">
        <v>292</v>
      </c>
      <c r="CP24" s="525"/>
    </row>
    <row r="25" spans="2:94" s="40" customFormat="1" ht="30.75" customHeight="1" x14ac:dyDescent="0.2">
      <c r="B25" s="465" t="s">
        <v>107</v>
      </c>
      <c r="C25" s="466" t="s">
        <v>522</v>
      </c>
      <c r="D25" s="467" t="s">
        <v>256</v>
      </c>
      <c r="E25" s="466" t="s">
        <v>110</v>
      </c>
      <c r="F25" s="467">
        <v>96.345569999999995</v>
      </c>
      <c r="G25" s="467">
        <v>25.635300000000001</v>
      </c>
      <c r="H25" s="467" t="s">
        <v>448</v>
      </c>
      <c r="I25" s="467" t="s">
        <v>213</v>
      </c>
      <c r="J25" s="467"/>
      <c r="K25" s="467"/>
      <c r="L25" s="468">
        <v>67</v>
      </c>
      <c r="M25" s="468">
        <v>350</v>
      </c>
      <c r="N25" s="468"/>
      <c r="O25" s="468">
        <v>350</v>
      </c>
      <c r="P25" s="376" t="str">
        <f t="shared" si="0"/>
        <v>2. Medium</v>
      </c>
      <c r="Q25" s="717" t="s">
        <v>253</v>
      </c>
      <c r="R25" s="469" t="s">
        <v>275</v>
      </c>
      <c r="S25" s="477" t="s">
        <v>275</v>
      </c>
      <c r="T25" s="398" t="str">
        <f t="shared" si="1"/>
        <v>Covered</v>
      </c>
      <c r="U25" s="478" t="s">
        <v>626</v>
      </c>
      <c r="V25" s="469" t="s">
        <v>252</v>
      </c>
      <c r="W25" s="395" t="str">
        <f t="shared" si="2"/>
        <v>Documented</v>
      </c>
      <c r="X25" s="484">
        <v>0</v>
      </c>
      <c r="Y25" s="468">
        <v>0</v>
      </c>
      <c r="Z25" s="801"/>
      <c r="AA25" s="485" t="s">
        <v>19</v>
      </c>
      <c r="AB25" s="484">
        <v>1</v>
      </c>
      <c r="AC25" s="490">
        <v>0</v>
      </c>
      <c r="AD25" s="491">
        <v>0</v>
      </c>
      <c r="AE25" s="497">
        <v>0</v>
      </c>
      <c r="AF25" s="498">
        <v>0</v>
      </c>
      <c r="AG25" s="797"/>
      <c r="AH25" s="401">
        <f t="shared" si="3"/>
        <v>1</v>
      </c>
      <c r="AI25" s="378">
        <f t="shared" si="4"/>
        <v>350</v>
      </c>
      <c r="AJ25" s="379">
        <f t="shared" si="5"/>
        <v>1</v>
      </c>
      <c r="AK25" s="380">
        <f t="shared" si="6"/>
        <v>350</v>
      </c>
      <c r="AL25" s="377">
        <f t="shared" si="7"/>
        <v>1</v>
      </c>
      <c r="AM25" s="380">
        <f t="shared" si="8"/>
        <v>350</v>
      </c>
      <c r="AN25" s="381" t="str">
        <f t="shared" si="9"/>
        <v>80-100%</v>
      </c>
      <c r="AO25" s="377">
        <f t="shared" si="10"/>
        <v>0</v>
      </c>
      <c r="AP25" s="382">
        <f t="shared" si="11"/>
        <v>0</v>
      </c>
      <c r="AQ25" s="380">
        <f t="shared" si="12"/>
        <v>0</v>
      </c>
      <c r="AR25" s="380">
        <f t="shared" si="13"/>
        <v>0</v>
      </c>
      <c r="AS25" s="380">
        <f t="shared" si="14"/>
        <v>0</v>
      </c>
      <c r="AT25" s="501">
        <v>1</v>
      </c>
      <c r="AU25" s="502">
        <f t="shared" si="15"/>
        <v>350</v>
      </c>
      <c r="AV25" s="491"/>
      <c r="AW25" s="747">
        <v>10</v>
      </c>
      <c r="AX25" s="468">
        <v>0</v>
      </c>
      <c r="AY25" s="468"/>
      <c r="AZ25" s="468">
        <v>15</v>
      </c>
      <c r="BA25" s="468"/>
      <c r="BB25" s="468" t="s">
        <v>89</v>
      </c>
      <c r="BC25" s="383">
        <f t="shared" si="16"/>
        <v>0.8571428571428571</v>
      </c>
      <c r="BD25" s="380">
        <f t="shared" si="17"/>
        <v>300</v>
      </c>
      <c r="BE25" s="383">
        <f t="shared" si="18"/>
        <v>0</v>
      </c>
      <c r="BF25" s="380">
        <f t="shared" si="19"/>
        <v>0</v>
      </c>
      <c r="BG25" s="383">
        <f t="shared" si="20"/>
        <v>0.8571428571428571</v>
      </c>
      <c r="BH25" s="380">
        <f t="shared" si="21"/>
        <v>300</v>
      </c>
      <c r="BI25" s="490">
        <v>0</v>
      </c>
      <c r="BJ25" s="506">
        <v>1</v>
      </c>
      <c r="BK25" s="384">
        <f t="shared" si="22"/>
        <v>350</v>
      </c>
      <c r="BL25" s="385">
        <f t="shared" si="23"/>
        <v>2.5</v>
      </c>
      <c r="BM25" s="468">
        <v>2</v>
      </c>
      <c r="BN25" s="468" t="s">
        <v>290</v>
      </c>
      <c r="BO25" s="383">
        <f t="shared" si="24"/>
        <v>0.5714285714285714</v>
      </c>
      <c r="BP25" s="380">
        <f t="shared" si="25"/>
        <v>200</v>
      </c>
      <c r="BQ25" s="385">
        <f t="shared" si="26"/>
        <v>1.5</v>
      </c>
      <c r="BR25" s="501">
        <v>0.59</v>
      </c>
      <c r="BS25" s="380">
        <f t="shared" si="27"/>
        <v>206.5</v>
      </c>
      <c r="BT25" s="490">
        <v>3</v>
      </c>
      <c r="BU25" s="383">
        <f t="shared" si="28"/>
        <v>0.8571428571428571</v>
      </c>
      <c r="BV25" s="385">
        <f t="shared" si="29"/>
        <v>0.5</v>
      </c>
      <c r="BW25" s="494">
        <v>1</v>
      </c>
      <c r="BX25" s="516"/>
      <c r="BY25" s="518">
        <v>41695</v>
      </c>
      <c r="BZ25" s="804"/>
      <c r="CA25" s="807"/>
      <c r="CB25" s="386" t="str">
        <f t="shared" si="30"/>
        <v>To be realised</v>
      </c>
      <c r="CC25" s="468">
        <v>67</v>
      </c>
      <c r="CD25" s="468">
        <v>10</v>
      </c>
      <c r="CE25" s="387">
        <f t="shared" si="31"/>
        <v>67</v>
      </c>
      <c r="CF25" s="388">
        <f t="shared" si="32"/>
        <v>0</v>
      </c>
      <c r="CG25" s="380">
        <f t="shared" si="33"/>
        <v>0</v>
      </c>
      <c r="CH25" s="403">
        <f t="shared" si="34"/>
        <v>8</v>
      </c>
      <c r="CI25" s="484"/>
      <c r="CJ25" s="494"/>
      <c r="CK25" s="405">
        <f t="shared" si="35"/>
        <v>0</v>
      </c>
      <c r="CL25" s="484">
        <v>2</v>
      </c>
      <c r="CM25" s="389" t="str">
        <f t="shared" si="36"/>
        <v>Excellent coverage</v>
      </c>
      <c r="CN25" s="490">
        <v>0</v>
      </c>
      <c r="CO25" s="491" t="s">
        <v>292</v>
      </c>
      <c r="CP25" s="525"/>
    </row>
    <row r="26" spans="2:94" s="40" customFormat="1" ht="30.75" customHeight="1" x14ac:dyDescent="0.2">
      <c r="B26" s="465" t="s">
        <v>107</v>
      </c>
      <c r="C26" s="466" t="s">
        <v>523</v>
      </c>
      <c r="D26" s="467" t="s">
        <v>256</v>
      </c>
      <c r="E26" s="466" t="s">
        <v>111</v>
      </c>
      <c r="F26" s="467">
        <v>96.317350000000005</v>
      </c>
      <c r="G26" s="467">
        <v>25.616509000000001</v>
      </c>
      <c r="H26" s="467" t="s">
        <v>448</v>
      </c>
      <c r="I26" s="467" t="s">
        <v>213</v>
      </c>
      <c r="J26" s="467"/>
      <c r="K26" s="467"/>
      <c r="L26" s="468">
        <v>14</v>
      </c>
      <c r="M26" s="468">
        <v>83</v>
      </c>
      <c r="N26" s="468"/>
      <c r="O26" s="468">
        <v>83</v>
      </c>
      <c r="P26" s="376" t="str">
        <f t="shared" si="0"/>
        <v>1. Small</v>
      </c>
      <c r="Q26" s="717" t="s">
        <v>253</v>
      </c>
      <c r="R26" s="469" t="s">
        <v>275</v>
      </c>
      <c r="S26" s="477" t="s">
        <v>275</v>
      </c>
      <c r="T26" s="398" t="str">
        <f t="shared" si="1"/>
        <v>Covered</v>
      </c>
      <c r="U26" s="478" t="s">
        <v>626</v>
      </c>
      <c r="V26" s="469" t="s">
        <v>252</v>
      </c>
      <c r="W26" s="395" t="str">
        <f t="shared" si="2"/>
        <v>Documented</v>
      </c>
      <c r="X26" s="484">
        <v>0</v>
      </c>
      <c r="Y26" s="468">
        <v>0</v>
      </c>
      <c r="Z26" s="801"/>
      <c r="AA26" s="485" t="s">
        <v>19</v>
      </c>
      <c r="AB26" s="484">
        <v>1</v>
      </c>
      <c r="AC26" s="490">
        <v>0</v>
      </c>
      <c r="AD26" s="491">
        <v>0</v>
      </c>
      <c r="AE26" s="497">
        <v>0</v>
      </c>
      <c r="AF26" s="498">
        <v>0</v>
      </c>
      <c r="AG26" s="797"/>
      <c r="AH26" s="401">
        <f t="shared" si="3"/>
        <v>1</v>
      </c>
      <c r="AI26" s="378">
        <f t="shared" si="4"/>
        <v>83</v>
      </c>
      <c r="AJ26" s="379">
        <f t="shared" si="5"/>
        <v>1</v>
      </c>
      <c r="AK26" s="380">
        <f t="shared" si="6"/>
        <v>83</v>
      </c>
      <c r="AL26" s="377">
        <f t="shared" si="7"/>
        <v>1</v>
      </c>
      <c r="AM26" s="380">
        <f t="shared" si="8"/>
        <v>83</v>
      </c>
      <c r="AN26" s="381" t="str">
        <f t="shared" si="9"/>
        <v>80-100%</v>
      </c>
      <c r="AO26" s="377">
        <f t="shared" si="10"/>
        <v>0</v>
      </c>
      <c r="AP26" s="382">
        <f t="shared" si="11"/>
        <v>0</v>
      </c>
      <c r="AQ26" s="380">
        <f t="shared" si="12"/>
        <v>0</v>
      </c>
      <c r="AR26" s="380">
        <f t="shared" si="13"/>
        <v>0</v>
      </c>
      <c r="AS26" s="380">
        <f t="shared" si="14"/>
        <v>0</v>
      </c>
      <c r="AT26" s="501">
        <v>1</v>
      </c>
      <c r="AU26" s="502">
        <f t="shared" si="15"/>
        <v>83</v>
      </c>
      <c r="AV26" s="491"/>
      <c r="AW26" s="747">
        <v>4</v>
      </c>
      <c r="AX26" s="468">
        <v>0</v>
      </c>
      <c r="AY26" s="468"/>
      <c r="AZ26" s="468">
        <v>4</v>
      </c>
      <c r="BA26" s="468"/>
      <c r="BB26" s="468" t="s">
        <v>89</v>
      </c>
      <c r="BC26" s="383">
        <f t="shared" si="16"/>
        <v>0.96385542168674698</v>
      </c>
      <c r="BD26" s="380">
        <f t="shared" si="17"/>
        <v>80</v>
      </c>
      <c r="BE26" s="383">
        <f t="shared" si="18"/>
        <v>0</v>
      </c>
      <c r="BF26" s="380">
        <f t="shared" si="19"/>
        <v>0</v>
      </c>
      <c r="BG26" s="383">
        <f t="shared" si="20"/>
        <v>0.96385542168674698</v>
      </c>
      <c r="BH26" s="380">
        <f t="shared" si="21"/>
        <v>80</v>
      </c>
      <c r="BI26" s="490">
        <v>0</v>
      </c>
      <c r="BJ26" s="506">
        <v>1</v>
      </c>
      <c r="BK26" s="384">
        <f t="shared" si="22"/>
        <v>83</v>
      </c>
      <c r="BL26" s="385">
        <f t="shared" si="23"/>
        <v>0.15000000000000036</v>
      </c>
      <c r="BM26" s="468">
        <v>2</v>
      </c>
      <c r="BN26" s="468" t="s">
        <v>291</v>
      </c>
      <c r="BO26" s="383">
        <f t="shared" si="24"/>
        <v>1</v>
      </c>
      <c r="BP26" s="380">
        <f t="shared" si="25"/>
        <v>83</v>
      </c>
      <c r="BQ26" s="385">
        <f t="shared" si="26"/>
        <v>0</v>
      </c>
      <c r="BR26" s="501">
        <v>1</v>
      </c>
      <c r="BS26" s="380">
        <f t="shared" si="27"/>
        <v>83</v>
      </c>
      <c r="BT26" s="490">
        <v>3</v>
      </c>
      <c r="BU26" s="383">
        <f t="shared" si="28"/>
        <v>1</v>
      </c>
      <c r="BV26" s="385">
        <f t="shared" si="29"/>
        <v>0</v>
      </c>
      <c r="BW26" s="494">
        <v>1</v>
      </c>
      <c r="BX26" s="516"/>
      <c r="BY26" s="518">
        <v>41695</v>
      </c>
      <c r="BZ26" s="804"/>
      <c r="CA26" s="807"/>
      <c r="CB26" s="386" t="str">
        <f t="shared" si="30"/>
        <v>To be realised</v>
      </c>
      <c r="CC26" s="468">
        <v>14</v>
      </c>
      <c r="CD26" s="468">
        <v>10</v>
      </c>
      <c r="CE26" s="387">
        <f t="shared" si="31"/>
        <v>14</v>
      </c>
      <c r="CF26" s="388">
        <f t="shared" si="32"/>
        <v>0</v>
      </c>
      <c r="CG26" s="380">
        <f t="shared" si="33"/>
        <v>0</v>
      </c>
      <c r="CH26" s="403">
        <f t="shared" si="34"/>
        <v>8</v>
      </c>
      <c r="CI26" s="484"/>
      <c r="CJ26" s="494"/>
      <c r="CK26" s="405">
        <f t="shared" si="35"/>
        <v>0</v>
      </c>
      <c r="CL26" s="484">
        <v>1</v>
      </c>
      <c r="CM26" s="389" t="str">
        <f t="shared" si="36"/>
        <v>Excellent coverage</v>
      </c>
      <c r="CN26" s="490">
        <v>0</v>
      </c>
      <c r="CO26" s="491" t="s">
        <v>292</v>
      </c>
      <c r="CP26" s="525"/>
    </row>
    <row r="27" spans="2:94" s="40" customFormat="1" ht="30.75" customHeight="1" x14ac:dyDescent="0.2">
      <c r="B27" s="465" t="s">
        <v>107</v>
      </c>
      <c r="C27" s="466" t="s">
        <v>524</v>
      </c>
      <c r="D27" s="467" t="s">
        <v>256</v>
      </c>
      <c r="E27" s="466" t="s">
        <v>112</v>
      </c>
      <c r="F27" s="467">
        <v>96.346469999999997</v>
      </c>
      <c r="G27" s="467">
        <v>25.647649999999999</v>
      </c>
      <c r="H27" s="467" t="s">
        <v>448</v>
      </c>
      <c r="I27" s="467" t="s">
        <v>213</v>
      </c>
      <c r="J27" s="467"/>
      <c r="K27" s="467"/>
      <c r="L27" s="468">
        <v>35</v>
      </c>
      <c r="M27" s="468">
        <v>216</v>
      </c>
      <c r="N27" s="468"/>
      <c r="O27" s="468">
        <v>216</v>
      </c>
      <c r="P27" s="376" t="str">
        <f t="shared" si="0"/>
        <v>1. Small</v>
      </c>
      <c r="Q27" s="717" t="s">
        <v>253</v>
      </c>
      <c r="R27" s="469" t="s">
        <v>275</v>
      </c>
      <c r="S27" s="477" t="s">
        <v>275</v>
      </c>
      <c r="T27" s="398" t="str">
        <f t="shared" si="1"/>
        <v>Covered</v>
      </c>
      <c r="U27" s="478" t="s">
        <v>626</v>
      </c>
      <c r="V27" s="469" t="s">
        <v>252</v>
      </c>
      <c r="W27" s="395" t="str">
        <f t="shared" si="2"/>
        <v>Documented</v>
      </c>
      <c r="X27" s="484">
        <v>0</v>
      </c>
      <c r="Y27" s="468">
        <v>0</v>
      </c>
      <c r="Z27" s="801"/>
      <c r="AA27" s="485" t="s">
        <v>19</v>
      </c>
      <c r="AB27" s="484">
        <v>2</v>
      </c>
      <c r="AC27" s="490">
        <v>0</v>
      </c>
      <c r="AD27" s="491">
        <v>0</v>
      </c>
      <c r="AE27" s="497">
        <v>0</v>
      </c>
      <c r="AF27" s="498">
        <v>0</v>
      </c>
      <c r="AG27" s="797"/>
      <c r="AH27" s="401">
        <f t="shared" si="3"/>
        <v>1</v>
      </c>
      <c r="AI27" s="378">
        <f t="shared" si="4"/>
        <v>216</v>
      </c>
      <c r="AJ27" s="379">
        <f t="shared" si="5"/>
        <v>1</v>
      </c>
      <c r="AK27" s="380">
        <f t="shared" si="6"/>
        <v>216</v>
      </c>
      <c r="AL27" s="377">
        <f t="shared" si="7"/>
        <v>1</v>
      </c>
      <c r="AM27" s="380">
        <f t="shared" si="8"/>
        <v>216</v>
      </c>
      <c r="AN27" s="381" t="str">
        <f t="shared" si="9"/>
        <v>80-100%</v>
      </c>
      <c r="AO27" s="377">
        <f t="shared" si="10"/>
        <v>0</v>
      </c>
      <c r="AP27" s="382">
        <f t="shared" si="11"/>
        <v>0</v>
      </c>
      <c r="AQ27" s="380">
        <f t="shared" si="12"/>
        <v>0</v>
      </c>
      <c r="AR27" s="380">
        <f t="shared" si="13"/>
        <v>0</v>
      </c>
      <c r="AS27" s="380">
        <f t="shared" si="14"/>
        <v>0</v>
      </c>
      <c r="AT27" s="501">
        <v>1</v>
      </c>
      <c r="AU27" s="502">
        <f t="shared" si="15"/>
        <v>216</v>
      </c>
      <c r="AV27" s="491"/>
      <c r="AW27" s="747">
        <v>2</v>
      </c>
      <c r="AX27" s="468">
        <v>0</v>
      </c>
      <c r="AY27" s="468"/>
      <c r="AZ27" s="468">
        <v>10</v>
      </c>
      <c r="BA27" s="468"/>
      <c r="BB27" s="468" t="s">
        <v>290</v>
      </c>
      <c r="BC27" s="383">
        <f t="shared" si="16"/>
        <v>0.92592592592592593</v>
      </c>
      <c r="BD27" s="380">
        <f t="shared" si="17"/>
        <v>200</v>
      </c>
      <c r="BE27" s="383">
        <f t="shared" si="18"/>
        <v>0</v>
      </c>
      <c r="BF27" s="380">
        <f t="shared" si="19"/>
        <v>0</v>
      </c>
      <c r="BG27" s="383">
        <f t="shared" si="20"/>
        <v>0.92592592592592593</v>
      </c>
      <c r="BH27" s="380">
        <f t="shared" si="21"/>
        <v>200</v>
      </c>
      <c r="BI27" s="490">
        <v>0</v>
      </c>
      <c r="BJ27" s="506">
        <v>1</v>
      </c>
      <c r="BK27" s="384">
        <f t="shared" si="22"/>
        <v>216</v>
      </c>
      <c r="BL27" s="385">
        <f t="shared" si="23"/>
        <v>0.80000000000000071</v>
      </c>
      <c r="BM27" s="468">
        <v>2</v>
      </c>
      <c r="BN27" s="468" t="s">
        <v>290</v>
      </c>
      <c r="BO27" s="383">
        <f t="shared" si="24"/>
        <v>0.92592592592592593</v>
      </c>
      <c r="BP27" s="380">
        <f t="shared" si="25"/>
        <v>200</v>
      </c>
      <c r="BQ27" s="385">
        <f t="shared" si="26"/>
        <v>0.16000000000000014</v>
      </c>
      <c r="BR27" s="501">
        <v>0.93</v>
      </c>
      <c r="BS27" s="380">
        <f t="shared" si="27"/>
        <v>200.88000000000002</v>
      </c>
      <c r="BT27" s="490">
        <v>4</v>
      </c>
      <c r="BU27" s="383">
        <f t="shared" si="28"/>
        <v>1</v>
      </c>
      <c r="BV27" s="385">
        <f t="shared" si="29"/>
        <v>0</v>
      </c>
      <c r="BW27" s="494">
        <v>1</v>
      </c>
      <c r="BX27" s="516"/>
      <c r="BY27" s="518">
        <v>41695</v>
      </c>
      <c r="BZ27" s="804"/>
      <c r="CA27" s="807"/>
      <c r="CB27" s="386" t="str">
        <f t="shared" si="30"/>
        <v>To be realised</v>
      </c>
      <c r="CC27" s="468">
        <v>35</v>
      </c>
      <c r="CD27" s="468">
        <v>10</v>
      </c>
      <c r="CE27" s="387">
        <f t="shared" si="31"/>
        <v>35</v>
      </c>
      <c r="CF27" s="388">
        <f t="shared" si="32"/>
        <v>0</v>
      </c>
      <c r="CG27" s="380">
        <f t="shared" si="33"/>
        <v>0</v>
      </c>
      <c r="CH27" s="403">
        <f t="shared" si="34"/>
        <v>8</v>
      </c>
      <c r="CI27" s="484"/>
      <c r="CJ27" s="494"/>
      <c r="CK27" s="405">
        <f t="shared" si="35"/>
        <v>0</v>
      </c>
      <c r="CL27" s="484">
        <v>2</v>
      </c>
      <c r="CM27" s="389" t="str">
        <f t="shared" si="36"/>
        <v>Excellent coverage</v>
      </c>
      <c r="CN27" s="490">
        <v>0</v>
      </c>
      <c r="CO27" s="491" t="s">
        <v>292</v>
      </c>
      <c r="CP27" s="525"/>
    </row>
    <row r="28" spans="2:94" s="40" customFormat="1" ht="30.75" customHeight="1" x14ac:dyDescent="0.2">
      <c r="B28" s="465" t="s">
        <v>107</v>
      </c>
      <c r="C28" s="466" t="s">
        <v>664</v>
      </c>
      <c r="D28" s="467" t="s">
        <v>256</v>
      </c>
      <c r="E28" s="466" t="s">
        <v>665</v>
      </c>
      <c r="F28" s="467">
        <v>96.353070000000002</v>
      </c>
      <c r="G28" s="467">
        <v>25.668469999999999</v>
      </c>
      <c r="H28" s="467" t="s">
        <v>448</v>
      </c>
      <c r="I28" s="467" t="s">
        <v>213</v>
      </c>
      <c r="J28" s="467"/>
      <c r="K28" s="467"/>
      <c r="L28" s="468">
        <v>1</v>
      </c>
      <c r="M28" s="468">
        <v>2</v>
      </c>
      <c r="N28" s="468"/>
      <c r="O28" s="468">
        <v>2</v>
      </c>
      <c r="P28" s="376" t="str">
        <f t="shared" si="0"/>
        <v>1. Small</v>
      </c>
      <c r="Q28" s="717" t="s">
        <v>253</v>
      </c>
      <c r="R28" s="469" t="s">
        <v>275</v>
      </c>
      <c r="S28" s="477" t="s">
        <v>275</v>
      </c>
      <c r="T28" s="398" t="str">
        <f t="shared" si="1"/>
        <v>Covered</v>
      </c>
      <c r="U28" s="478" t="s">
        <v>626</v>
      </c>
      <c r="V28" s="469" t="s">
        <v>252</v>
      </c>
      <c r="W28" s="395" t="str">
        <f t="shared" si="2"/>
        <v>Documented</v>
      </c>
      <c r="X28" s="484">
        <v>0</v>
      </c>
      <c r="Y28" s="468">
        <v>0</v>
      </c>
      <c r="Z28" s="801"/>
      <c r="AA28" s="485" t="s">
        <v>19</v>
      </c>
      <c r="AB28" s="484">
        <v>1</v>
      </c>
      <c r="AC28" s="490">
        <v>0</v>
      </c>
      <c r="AD28" s="491">
        <v>0</v>
      </c>
      <c r="AE28" s="497">
        <v>0</v>
      </c>
      <c r="AF28" s="498">
        <v>0</v>
      </c>
      <c r="AG28" s="797"/>
      <c r="AH28" s="401">
        <f t="shared" si="3"/>
        <v>1</v>
      </c>
      <c r="AI28" s="378">
        <f t="shared" si="4"/>
        <v>2</v>
      </c>
      <c r="AJ28" s="379">
        <f t="shared" si="5"/>
        <v>1</v>
      </c>
      <c r="AK28" s="380">
        <f t="shared" si="6"/>
        <v>2</v>
      </c>
      <c r="AL28" s="377">
        <f t="shared" si="7"/>
        <v>1</v>
      </c>
      <c r="AM28" s="380">
        <f t="shared" si="8"/>
        <v>2</v>
      </c>
      <c r="AN28" s="381" t="str">
        <f t="shared" si="9"/>
        <v>80-100%</v>
      </c>
      <c r="AO28" s="377">
        <f t="shared" si="10"/>
        <v>0</v>
      </c>
      <c r="AP28" s="382">
        <f t="shared" si="11"/>
        <v>0</v>
      </c>
      <c r="AQ28" s="380">
        <f t="shared" si="12"/>
        <v>0</v>
      </c>
      <c r="AR28" s="380">
        <f t="shared" si="13"/>
        <v>0</v>
      </c>
      <c r="AS28" s="380">
        <f t="shared" si="14"/>
        <v>0</v>
      </c>
      <c r="AT28" s="501">
        <v>1</v>
      </c>
      <c r="AU28" s="502">
        <f t="shared" si="15"/>
        <v>2</v>
      </c>
      <c r="AV28" s="491"/>
      <c r="AW28" s="747">
        <v>0</v>
      </c>
      <c r="AX28" s="468">
        <v>3</v>
      </c>
      <c r="AY28" s="468"/>
      <c r="AZ28" s="468">
        <v>0</v>
      </c>
      <c r="BA28" s="468"/>
      <c r="BB28" s="468" t="s">
        <v>89</v>
      </c>
      <c r="BC28" s="383">
        <f t="shared" si="16"/>
        <v>1</v>
      </c>
      <c r="BD28" s="380">
        <f t="shared" si="17"/>
        <v>2</v>
      </c>
      <c r="BE28" s="383">
        <f t="shared" si="18"/>
        <v>1</v>
      </c>
      <c r="BF28" s="380">
        <f t="shared" si="19"/>
        <v>2</v>
      </c>
      <c r="BG28" s="383">
        <f t="shared" si="20"/>
        <v>0</v>
      </c>
      <c r="BH28" s="380">
        <f t="shared" si="21"/>
        <v>0</v>
      </c>
      <c r="BI28" s="490">
        <v>0</v>
      </c>
      <c r="BJ28" s="506">
        <v>1</v>
      </c>
      <c r="BK28" s="384">
        <f t="shared" si="22"/>
        <v>2</v>
      </c>
      <c r="BL28" s="385">
        <f t="shared" si="23"/>
        <v>0.1</v>
      </c>
      <c r="BM28" s="468">
        <v>1</v>
      </c>
      <c r="BN28" s="468" t="s">
        <v>89</v>
      </c>
      <c r="BO28" s="383">
        <f t="shared" si="24"/>
        <v>1</v>
      </c>
      <c r="BP28" s="380">
        <f t="shared" si="25"/>
        <v>2</v>
      </c>
      <c r="BQ28" s="385">
        <f t="shared" si="26"/>
        <v>0</v>
      </c>
      <c r="BR28" s="501">
        <v>1</v>
      </c>
      <c r="BS28" s="380">
        <f t="shared" si="27"/>
        <v>2</v>
      </c>
      <c r="BT28" s="490">
        <v>3</v>
      </c>
      <c r="BU28" s="383">
        <f t="shared" si="28"/>
        <v>1</v>
      </c>
      <c r="BV28" s="385">
        <f t="shared" si="29"/>
        <v>0</v>
      </c>
      <c r="BW28" s="494">
        <v>1</v>
      </c>
      <c r="BX28" s="516" t="s">
        <v>725</v>
      </c>
      <c r="BY28" s="518">
        <v>41695</v>
      </c>
      <c r="BZ28" s="804"/>
      <c r="CA28" s="807"/>
      <c r="CB28" s="386" t="str">
        <f t="shared" si="30"/>
        <v>To be realised</v>
      </c>
      <c r="CC28" s="468">
        <v>1</v>
      </c>
      <c r="CD28" s="468">
        <v>10</v>
      </c>
      <c r="CE28" s="387">
        <f t="shared" si="31"/>
        <v>1</v>
      </c>
      <c r="CF28" s="388">
        <f t="shared" si="32"/>
        <v>0</v>
      </c>
      <c r="CG28" s="380">
        <f t="shared" si="33"/>
        <v>0</v>
      </c>
      <c r="CH28" s="403">
        <f t="shared" si="34"/>
        <v>8</v>
      </c>
      <c r="CI28" s="484"/>
      <c r="CJ28" s="494"/>
      <c r="CK28" s="405">
        <f t="shared" si="35"/>
        <v>0</v>
      </c>
      <c r="CL28" s="484">
        <v>0</v>
      </c>
      <c r="CM28" s="389" t="str">
        <f t="shared" si="36"/>
        <v>No coverage</v>
      </c>
      <c r="CN28" s="490">
        <v>0</v>
      </c>
      <c r="CO28" s="491" t="s">
        <v>292</v>
      </c>
      <c r="CP28" s="525"/>
    </row>
    <row r="29" spans="2:94" s="40" customFormat="1" ht="30.75" customHeight="1" x14ac:dyDescent="0.2">
      <c r="B29" s="465" t="s">
        <v>107</v>
      </c>
      <c r="C29" s="466" t="s">
        <v>525</v>
      </c>
      <c r="D29" s="467" t="s">
        <v>256</v>
      </c>
      <c r="E29" s="466" t="s">
        <v>113</v>
      </c>
      <c r="F29" s="467">
        <v>96.283377000000002</v>
      </c>
      <c r="G29" s="467">
        <v>25.582065</v>
      </c>
      <c r="H29" s="467" t="s">
        <v>448</v>
      </c>
      <c r="I29" s="467" t="s">
        <v>213</v>
      </c>
      <c r="J29" s="467"/>
      <c r="K29" s="467"/>
      <c r="L29" s="468">
        <v>6</v>
      </c>
      <c r="M29" s="468">
        <v>30</v>
      </c>
      <c r="N29" s="468"/>
      <c r="O29" s="468">
        <v>30</v>
      </c>
      <c r="P29" s="376" t="str">
        <f t="shared" si="0"/>
        <v>1. Small</v>
      </c>
      <c r="Q29" s="717" t="s">
        <v>253</v>
      </c>
      <c r="R29" s="469" t="s">
        <v>275</v>
      </c>
      <c r="S29" s="477" t="s">
        <v>275</v>
      </c>
      <c r="T29" s="398" t="str">
        <f t="shared" si="1"/>
        <v>Covered</v>
      </c>
      <c r="U29" s="478" t="s">
        <v>626</v>
      </c>
      <c r="V29" s="469" t="s">
        <v>252</v>
      </c>
      <c r="W29" s="395" t="str">
        <f t="shared" si="2"/>
        <v>Documented</v>
      </c>
      <c r="X29" s="484">
        <v>0</v>
      </c>
      <c r="Y29" s="468">
        <v>0</v>
      </c>
      <c r="Z29" s="801"/>
      <c r="AA29" s="485" t="s">
        <v>19</v>
      </c>
      <c r="AB29" s="484">
        <v>0</v>
      </c>
      <c r="AC29" s="490">
        <v>0</v>
      </c>
      <c r="AD29" s="491">
        <v>2000</v>
      </c>
      <c r="AE29" s="497">
        <v>0</v>
      </c>
      <c r="AF29" s="498">
        <v>0</v>
      </c>
      <c r="AG29" s="797"/>
      <c r="AH29" s="401">
        <f t="shared" si="3"/>
        <v>1</v>
      </c>
      <c r="AI29" s="378">
        <f t="shared" si="4"/>
        <v>30</v>
      </c>
      <c r="AJ29" s="379">
        <f t="shared" si="5"/>
        <v>1</v>
      </c>
      <c r="AK29" s="380">
        <f t="shared" si="6"/>
        <v>30</v>
      </c>
      <c r="AL29" s="377">
        <f t="shared" si="7"/>
        <v>1</v>
      </c>
      <c r="AM29" s="380">
        <f t="shared" si="8"/>
        <v>30</v>
      </c>
      <c r="AN29" s="381" t="str">
        <f t="shared" si="9"/>
        <v>80-100%</v>
      </c>
      <c r="AO29" s="377">
        <f t="shared" si="10"/>
        <v>0</v>
      </c>
      <c r="AP29" s="382">
        <f t="shared" si="11"/>
        <v>0</v>
      </c>
      <c r="AQ29" s="380">
        <f t="shared" si="12"/>
        <v>7.4999999999999997E-2</v>
      </c>
      <c r="AR29" s="380">
        <f t="shared" si="13"/>
        <v>0</v>
      </c>
      <c r="AS29" s="380">
        <f t="shared" si="14"/>
        <v>0</v>
      </c>
      <c r="AT29" s="501">
        <v>1</v>
      </c>
      <c r="AU29" s="502">
        <f t="shared" si="15"/>
        <v>30</v>
      </c>
      <c r="AV29" s="491"/>
      <c r="AW29" s="747">
        <v>10</v>
      </c>
      <c r="AX29" s="468">
        <v>0</v>
      </c>
      <c r="AY29" s="468"/>
      <c r="AZ29" s="468">
        <v>2</v>
      </c>
      <c r="BA29" s="468"/>
      <c r="BB29" s="468" t="s">
        <v>89</v>
      </c>
      <c r="BC29" s="383">
        <f t="shared" si="16"/>
        <v>1</v>
      </c>
      <c r="BD29" s="380">
        <f t="shared" si="17"/>
        <v>30</v>
      </c>
      <c r="BE29" s="383">
        <f t="shared" si="18"/>
        <v>0</v>
      </c>
      <c r="BF29" s="380">
        <f t="shared" si="19"/>
        <v>0</v>
      </c>
      <c r="BG29" s="383">
        <f t="shared" si="20"/>
        <v>1</v>
      </c>
      <c r="BH29" s="380">
        <f t="shared" si="21"/>
        <v>30</v>
      </c>
      <c r="BI29" s="490">
        <v>0</v>
      </c>
      <c r="BJ29" s="506">
        <v>1</v>
      </c>
      <c r="BK29" s="384">
        <f t="shared" si="22"/>
        <v>30</v>
      </c>
      <c r="BL29" s="385">
        <f t="shared" si="23"/>
        <v>0</v>
      </c>
      <c r="BM29" s="468">
        <v>1</v>
      </c>
      <c r="BN29" s="468" t="s">
        <v>89</v>
      </c>
      <c r="BO29" s="383">
        <f t="shared" si="24"/>
        <v>1</v>
      </c>
      <c r="BP29" s="380">
        <f t="shared" si="25"/>
        <v>30</v>
      </c>
      <c r="BQ29" s="385">
        <f t="shared" si="26"/>
        <v>0</v>
      </c>
      <c r="BR29" s="501">
        <v>1</v>
      </c>
      <c r="BS29" s="380">
        <f t="shared" si="27"/>
        <v>30</v>
      </c>
      <c r="BT29" s="490">
        <v>1</v>
      </c>
      <c r="BU29" s="383">
        <f t="shared" si="28"/>
        <v>1</v>
      </c>
      <c r="BV29" s="385">
        <f t="shared" si="29"/>
        <v>0</v>
      </c>
      <c r="BW29" s="494">
        <v>1</v>
      </c>
      <c r="BX29" s="516"/>
      <c r="BY29" s="518">
        <v>41695</v>
      </c>
      <c r="BZ29" s="804"/>
      <c r="CA29" s="807"/>
      <c r="CB29" s="386" t="str">
        <f t="shared" si="30"/>
        <v>To be realised</v>
      </c>
      <c r="CC29" s="468">
        <v>6</v>
      </c>
      <c r="CD29" s="468">
        <v>10</v>
      </c>
      <c r="CE29" s="387">
        <f t="shared" si="31"/>
        <v>6</v>
      </c>
      <c r="CF29" s="388">
        <f t="shared" si="32"/>
        <v>0</v>
      </c>
      <c r="CG29" s="380">
        <f t="shared" si="33"/>
        <v>0</v>
      </c>
      <c r="CH29" s="403">
        <f t="shared" si="34"/>
        <v>8</v>
      </c>
      <c r="CI29" s="484"/>
      <c r="CJ29" s="494"/>
      <c r="CK29" s="405">
        <f t="shared" si="35"/>
        <v>0</v>
      </c>
      <c r="CL29" s="484">
        <v>1</v>
      </c>
      <c r="CM29" s="389" t="str">
        <f t="shared" si="36"/>
        <v>Excellent coverage</v>
      </c>
      <c r="CN29" s="490">
        <v>0</v>
      </c>
      <c r="CO29" s="491" t="s">
        <v>66</v>
      </c>
      <c r="CP29" s="525"/>
    </row>
    <row r="30" spans="2:94" s="40" customFormat="1" ht="30.75" customHeight="1" x14ac:dyDescent="0.2">
      <c r="B30" s="465" t="s">
        <v>107</v>
      </c>
      <c r="C30" s="466" t="s">
        <v>526</v>
      </c>
      <c r="D30" s="467" t="s">
        <v>256</v>
      </c>
      <c r="E30" s="466" t="s">
        <v>114</v>
      </c>
      <c r="F30" s="467">
        <v>96.354929999999996</v>
      </c>
      <c r="G30" s="467">
        <v>25.643090000000001</v>
      </c>
      <c r="H30" s="467" t="s">
        <v>448</v>
      </c>
      <c r="I30" s="467" t="s">
        <v>213</v>
      </c>
      <c r="J30" s="467"/>
      <c r="K30" s="467"/>
      <c r="L30" s="468">
        <v>65</v>
      </c>
      <c r="M30" s="468">
        <v>347</v>
      </c>
      <c r="N30" s="468"/>
      <c r="O30" s="468">
        <v>347</v>
      </c>
      <c r="P30" s="376" t="str">
        <f t="shared" si="0"/>
        <v>2. Medium</v>
      </c>
      <c r="Q30" s="717" t="s">
        <v>253</v>
      </c>
      <c r="R30" s="469" t="s">
        <v>275</v>
      </c>
      <c r="S30" s="477" t="s">
        <v>275</v>
      </c>
      <c r="T30" s="398" t="str">
        <f t="shared" si="1"/>
        <v>Covered</v>
      </c>
      <c r="U30" s="478">
        <v>42429</v>
      </c>
      <c r="V30" s="469" t="s">
        <v>252</v>
      </c>
      <c r="W30" s="395" t="str">
        <f t="shared" si="2"/>
        <v>Documented</v>
      </c>
      <c r="X30" s="484">
        <v>0</v>
      </c>
      <c r="Y30" s="468">
        <v>0</v>
      </c>
      <c r="Z30" s="801"/>
      <c r="AA30" s="485" t="s">
        <v>19</v>
      </c>
      <c r="AB30" s="484">
        <v>1</v>
      </c>
      <c r="AC30" s="490">
        <v>0</v>
      </c>
      <c r="AD30" s="491">
        <v>3000</v>
      </c>
      <c r="AE30" s="497">
        <v>0</v>
      </c>
      <c r="AF30" s="498">
        <v>0</v>
      </c>
      <c r="AG30" s="797"/>
      <c r="AH30" s="401">
        <f t="shared" si="3"/>
        <v>1</v>
      </c>
      <c r="AI30" s="378">
        <f t="shared" si="4"/>
        <v>347</v>
      </c>
      <c r="AJ30" s="379">
        <f t="shared" si="5"/>
        <v>1</v>
      </c>
      <c r="AK30" s="380">
        <f t="shared" si="6"/>
        <v>347</v>
      </c>
      <c r="AL30" s="377">
        <f t="shared" si="7"/>
        <v>1</v>
      </c>
      <c r="AM30" s="380">
        <f t="shared" si="8"/>
        <v>347</v>
      </c>
      <c r="AN30" s="381" t="str">
        <f t="shared" si="9"/>
        <v>80-100%</v>
      </c>
      <c r="AO30" s="377">
        <f t="shared" si="10"/>
        <v>0</v>
      </c>
      <c r="AP30" s="382">
        <f t="shared" si="11"/>
        <v>0</v>
      </c>
      <c r="AQ30" s="380">
        <f t="shared" si="12"/>
        <v>0</v>
      </c>
      <c r="AR30" s="380">
        <f t="shared" si="13"/>
        <v>0</v>
      </c>
      <c r="AS30" s="380">
        <f t="shared" si="14"/>
        <v>0</v>
      </c>
      <c r="AT30" s="501">
        <v>1</v>
      </c>
      <c r="AU30" s="502">
        <f t="shared" si="15"/>
        <v>347</v>
      </c>
      <c r="AV30" s="491"/>
      <c r="AW30" s="747">
        <v>3</v>
      </c>
      <c r="AX30" s="468">
        <v>0</v>
      </c>
      <c r="AY30" s="468"/>
      <c r="AZ30" s="468">
        <v>17</v>
      </c>
      <c r="BA30" s="468"/>
      <c r="BB30" s="468" t="s">
        <v>289</v>
      </c>
      <c r="BC30" s="383">
        <f t="shared" si="16"/>
        <v>0.97982708933717577</v>
      </c>
      <c r="BD30" s="380">
        <f t="shared" si="17"/>
        <v>340</v>
      </c>
      <c r="BE30" s="383">
        <f t="shared" si="18"/>
        <v>0</v>
      </c>
      <c r="BF30" s="380">
        <f t="shared" si="19"/>
        <v>0</v>
      </c>
      <c r="BG30" s="383">
        <f t="shared" si="20"/>
        <v>0.97982708933717577</v>
      </c>
      <c r="BH30" s="380">
        <f t="shared" si="21"/>
        <v>340</v>
      </c>
      <c r="BI30" s="490">
        <v>0</v>
      </c>
      <c r="BJ30" s="506">
        <v>1</v>
      </c>
      <c r="BK30" s="384">
        <f t="shared" si="22"/>
        <v>347</v>
      </c>
      <c r="BL30" s="385">
        <f t="shared" si="23"/>
        <v>0.35000000000000142</v>
      </c>
      <c r="BM30" s="468">
        <v>3</v>
      </c>
      <c r="BN30" s="468" t="s">
        <v>290</v>
      </c>
      <c r="BO30" s="383">
        <f t="shared" si="24"/>
        <v>0.86455331412103742</v>
      </c>
      <c r="BP30" s="380">
        <f t="shared" si="25"/>
        <v>300</v>
      </c>
      <c r="BQ30" s="385">
        <f t="shared" si="26"/>
        <v>0.4700000000000002</v>
      </c>
      <c r="BR30" s="501">
        <v>1</v>
      </c>
      <c r="BS30" s="380">
        <f t="shared" si="27"/>
        <v>347</v>
      </c>
      <c r="BT30" s="490">
        <v>4</v>
      </c>
      <c r="BU30" s="383">
        <f t="shared" si="28"/>
        <v>1</v>
      </c>
      <c r="BV30" s="385">
        <f t="shared" si="29"/>
        <v>0</v>
      </c>
      <c r="BW30" s="494">
        <v>1</v>
      </c>
      <c r="BX30" s="516" t="s">
        <v>726</v>
      </c>
      <c r="BY30" s="518">
        <v>41695</v>
      </c>
      <c r="BZ30" s="804"/>
      <c r="CA30" s="807"/>
      <c r="CB30" s="386" t="str">
        <f t="shared" si="30"/>
        <v>To be realised</v>
      </c>
      <c r="CC30" s="468">
        <v>65</v>
      </c>
      <c r="CD30" s="468">
        <v>10</v>
      </c>
      <c r="CE30" s="387">
        <f t="shared" si="31"/>
        <v>65</v>
      </c>
      <c r="CF30" s="388">
        <f t="shared" si="32"/>
        <v>0</v>
      </c>
      <c r="CG30" s="380">
        <f t="shared" si="33"/>
        <v>0</v>
      </c>
      <c r="CH30" s="403">
        <f t="shared" si="34"/>
        <v>8</v>
      </c>
      <c r="CI30" s="484"/>
      <c r="CJ30" s="494">
        <v>0</v>
      </c>
      <c r="CK30" s="405">
        <f t="shared" si="35"/>
        <v>0</v>
      </c>
      <c r="CL30" s="484">
        <v>2</v>
      </c>
      <c r="CM30" s="389" t="str">
        <f t="shared" si="36"/>
        <v>Excellent coverage</v>
      </c>
      <c r="CN30" s="490">
        <v>0</v>
      </c>
      <c r="CO30" s="491" t="s">
        <v>292</v>
      </c>
      <c r="CP30" s="525"/>
    </row>
    <row r="31" spans="2:94" s="40" customFormat="1" ht="30.75" customHeight="1" x14ac:dyDescent="0.2">
      <c r="B31" s="465" t="s">
        <v>107</v>
      </c>
      <c r="C31" s="466" t="s">
        <v>527</v>
      </c>
      <c r="D31" s="467" t="s">
        <v>256</v>
      </c>
      <c r="E31" s="466" t="s">
        <v>223</v>
      </c>
      <c r="F31" s="467">
        <v>96.705960000000005</v>
      </c>
      <c r="G31" s="467">
        <v>25.51352</v>
      </c>
      <c r="H31" s="467" t="s">
        <v>448</v>
      </c>
      <c r="I31" s="467" t="s">
        <v>213</v>
      </c>
      <c r="J31" s="467"/>
      <c r="K31" s="467"/>
      <c r="L31" s="468">
        <v>20</v>
      </c>
      <c r="M31" s="468">
        <v>64</v>
      </c>
      <c r="N31" s="468"/>
      <c r="O31" s="468">
        <v>64</v>
      </c>
      <c r="P31" s="376" t="str">
        <f t="shared" si="0"/>
        <v>1. Small</v>
      </c>
      <c r="Q31" s="717" t="s">
        <v>805</v>
      </c>
      <c r="R31" s="469" t="s">
        <v>234</v>
      </c>
      <c r="S31" s="477" t="s">
        <v>234</v>
      </c>
      <c r="T31" s="398" t="str">
        <f t="shared" si="1"/>
        <v>Covered</v>
      </c>
      <c r="U31" s="478" t="s">
        <v>626</v>
      </c>
      <c r="V31" s="469" t="s">
        <v>252</v>
      </c>
      <c r="W31" s="395" t="str">
        <f t="shared" si="2"/>
        <v>Documented</v>
      </c>
      <c r="X31" s="484">
        <v>0</v>
      </c>
      <c r="Y31" s="468">
        <v>0</v>
      </c>
      <c r="Z31" s="801"/>
      <c r="AA31" s="485" t="s">
        <v>19</v>
      </c>
      <c r="AB31" s="484">
        <v>0</v>
      </c>
      <c r="AC31" s="490">
        <v>2</v>
      </c>
      <c r="AD31" s="491">
        <v>0</v>
      </c>
      <c r="AE31" s="497">
        <v>0</v>
      </c>
      <c r="AF31" s="498">
        <v>1</v>
      </c>
      <c r="AG31" s="797"/>
      <c r="AH31" s="401">
        <f t="shared" si="3"/>
        <v>1</v>
      </c>
      <c r="AI31" s="378">
        <f t="shared" si="4"/>
        <v>64</v>
      </c>
      <c r="AJ31" s="379">
        <f t="shared" si="5"/>
        <v>1</v>
      </c>
      <c r="AK31" s="380">
        <f t="shared" si="6"/>
        <v>64</v>
      </c>
      <c r="AL31" s="377">
        <f t="shared" si="7"/>
        <v>1</v>
      </c>
      <c r="AM31" s="380">
        <f t="shared" si="8"/>
        <v>64</v>
      </c>
      <c r="AN31" s="381" t="str">
        <f t="shared" si="9"/>
        <v>80-100%</v>
      </c>
      <c r="AO31" s="377">
        <f t="shared" si="10"/>
        <v>0</v>
      </c>
      <c r="AP31" s="382">
        <f t="shared" si="11"/>
        <v>0</v>
      </c>
      <c r="AQ31" s="380">
        <f t="shared" si="12"/>
        <v>0</v>
      </c>
      <c r="AR31" s="380">
        <f t="shared" si="13"/>
        <v>20</v>
      </c>
      <c r="AS31" s="380">
        <f t="shared" si="14"/>
        <v>0</v>
      </c>
      <c r="AT31" s="501">
        <v>1</v>
      </c>
      <c r="AU31" s="502">
        <f t="shared" si="15"/>
        <v>64</v>
      </c>
      <c r="AV31" s="491"/>
      <c r="AW31" s="747">
        <v>0</v>
      </c>
      <c r="AX31" s="468">
        <v>3</v>
      </c>
      <c r="AY31" s="468"/>
      <c r="AZ31" s="468">
        <v>7</v>
      </c>
      <c r="BA31" s="468"/>
      <c r="BB31" s="468" t="s">
        <v>289</v>
      </c>
      <c r="BC31" s="383">
        <f t="shared" si="16"/>
        <v>1</v>
      </c>
      <c r="BD31" s="380">
        <f t="shared" si="17"/>
        <v>64</v>
      </c>
      <c r="BE31" s="383">
        <f t="shared" si="18"/>
        <v>0</v>
      </c>
      <c r="BF31" s="380">
        <f t="shared" si="19"/>
        <v>0</v>
      </c>
      <c r="BG31" s="383">
        <f t="shared" si="20"/>
        <v>1</v>
      </c>
      <c r="BH31" s="380">
        <f t="shared" si="21"/>
        <v>64</v>
      </c>
      <c r="BI31" s="490">
        <v>0</v>
      </c>
      <c r="BJ31" s="506">
        <v>1</v>
      </c>
      <c r="BK31" s="384">
        <f t="shared" si="22"/>
        <v>64</v>
      </c>
      <c r="BL31" s="385">
        <f t="shared" si="23"/>
        <v>0</v>
      </c>
      <c r="BM31" s="468">
        <v>2</v>
      </c>
      <c r="BN31" s="468" t="s">
        <v>290</v>
      </c>
      <c r="BO31" s="383">
        <f t="shared" si="24"/>
        <v>1</v>
      </c>
      <c r="BP31" s="380">
        <f t="shared" si="25"/>
        <v>64</v>
      </c>
      <c r="BQ31" s="385">
        <f t="shared" si="26"/>
        <v>0</v>
      </c>
      <c r="BR31" s="501">
        <v>1</v>
      </c>
      <c r="BS31" s="380">
        <f t="shared" si="27"/>
        <v>64</v>
      </c>
      <c r="BT31" s="490">
        <v>0</v>
      </c>
      <c r="BU31" s="383">
        <f t="shared" si="28"/>
        <v>0</v>
      </c>
      <c r="BV31" s="385">
        <f t="shared" si="29"/>
        <v>0.64</v>
      </c>
      <c r="BW31" s="494">
        <v>0</v>
      </c>
      <c r="BX31" s="516" t="s">
        <v>844</v>
      </c>
      <c r="BY31" s="518">
        <v>42053</v>
      </c>
      <c r="BZ31" s="804"/>
      <c r="CA31" s="807"/>
      <c r="CB31" s="386">
        <f t="shared" si="30"/>
        <v>42418</v>
      </c>
      <c r="CC31" s="468">
        <v>16</v>
      </c>
      <c r="CD31" s="468">
        <v>4</v>
      </c>
      <c r="CE31" s="387">
        <f t="shared" si="31"/>
        <v>4</v>
      </c>
      <c r="CF31" s="388">
        <f t="shared" si="32"/>
        <v>0.8</v>
      </c>
      <c r="CG31" s="380">
        <f t="shared" si="33"/>
        <v>51.2</v>
      </c>
      <c r="CH31" s="403">
        <f t="shared" si="34"/>
        <v>2</v>
      </c>
      <c r="CI31" s="484" t="s">
        <v>896</v>
      </c>
      <c r="CJ31" s="494"/>
      <c r="CK31" s="405">
        <f t="shared" si="35"/>
        <v>0</v>
      </c>
      <c r="CL31" s="484">
        <v>2</v>
      </c>
      <c r="CM31" s="389" t="str">
        <f t="shared" si="36"/>
        <v>Excellent coverage</v>
      </c>
      <c r="CN31" s="490">
        <v>0</v>
      </c>
      <c r="CO31" s="491" t="s">
        <v>292</v>
      </c>
      <c r="CP31" s="525"/>
    </row>
    <row r="32" spans="2:94" s="40" customFormat="1" ht="30.75" customHeight="1" x14ac:dyDescent="0.2">
      <c r="B32" s="465" t="s">
        <v>107</v>
      </c>
      <c r="C32" s="466" t="s">
        <v>528</v>
      </c>
      <c r="D32" s="467" t="s">
        <v>256</v>
      </c>
      <c r="E32" s="466" t="s">
        <v>115</v>
      </c>
      <c r="F32" s="467">
        <v>96.316564</v>
      </c>
      <c r="G32" s="467">
        <v>25.615960999999999</v>
      </c>
      <c r="H32" s="467" t="s">
        <v>448</v>
      </c>
      <c r="I32" s="467" t="s">
        <v>213</v>
      </c>
      <c r="J32" s="467"/>
      <c r="K32" s="467"/>
      <c r="L32" s="468">
        <v>13</v>
      </c>
      <c r="M32" s="468">
        <v>75</v>
      </c>
      <c r="N32" s="468"/>
      <c r="O32" s="468">
        <v>75</v>
      </c>
      <c r="P32" s="376" t="str">
        <f t="shared" si="0"/>
        <v>1. Small</v>
      </c>
      <c r="Q32" s="717" t="s">
        <v>253</v>
      </c>
      <c r="R32" s="469" t="s">
        <v>275</v>
      </c>
      <c r="S32" s="477" t="s">
        <v>275</v>
      </c>
      <c r="T32" s="398" t="str">
        <f t="shared" si="1"/>
        <v>Covered</v>
      </c>
      <c r="U32" s="478" t="s">
        <v>626</v>
      </c>
      <c r="V32" s="469" t="s">
        <v>252</v>
      </c>
      <c r="W32" s="395" t="str">
        <f t="shared" si="2"/>
        <v>Documented</v>
      </c>
      <c r="X32" s="484">
        <v>0</v>
      </c>
      <c r="Y32" s="468">
        <v>0</v>
      </c>
      <c r="Z32" s="801"/>
      <c r="AA32" s="485" t="s">
        <v>19</v>
      </c>
      <c r="AB32" s="484">
        <v>1</v>
      </c>
      <c r="AC32" s="490">
        <v>0</v>
      </c>
      <c r="AD32" s="491">
        <v>0</v>
      </c>
      <c r="AE32" s="497">
        <v>0</v>
      </c>
      <c r="AF32" s="498">
        <v>0</v>
      </c>
      <c r="AG32" s="797"/>
      <c r="AH32" s="401">
        <f t="shared" si="3"/>
        <v>1</v>
      </c>
      <c r="AI32" s="378">
        <f t="shared" si="4"/>
        <v>75</v>
      </c>
      <c r="AJ32" s="379">
        <f t="shared" si="5"/>
        <v>1</v>
      </c>
      <c r="AK32" s="380">
        <f t="shared" si="6"/>
        <v>75</v>
      </c>
      <c r="AL32" s="377">
        <f t="shared" si="7"/>
        <v>1</v>
      </c>
      <c r="AM32" s="380">
        <f t="shared" si="8"/>
        <v>75</v>
      </c>
      <c r="AN32" s="381" t="str">
        <f t="shared" si="9"/>
        <v>80-100%</v>
      </c>
      <c r="AO32" s="377">
        <f t="shared" si="10"/>
        <v>0</v>
      </c>
      <c r="AP32" s="382">
        <f t="shared" si="11"/>
        <v>0</v>
      </c>
      <c r="AQ32" s="380">
        <f t="shared" si="12"/>
        <v>0</v>
      </c>
      <c r="AR32" s="380">
        <f t="shared" si="13"/>
        <v>0</v>
      </c>
      <c r="AS32" s="380">
        <f t="shared" si="14"/>
        <v>0</v>
      </c>
      <c r="AT32" s="501">
        <v>1</v>
      </c>
      <c r="AU32" s="502">
        <f t="shared" si="15"/>
        <v>75</v>
      </c>
      <c r="AV32" s="491"/>
      <c r="AW32" s="747">
        <v>20</v>
      </c>
      <c r="AX32" s="468">
        <v>0</v>
      </c>
      <c r="AY32" s="468"/>
      <c r="AZ32" s="468">
        <v>5</v>
      </c>
      <c r="BA32" s="468"/>
      <c r="BB32" s="468" t="s">
        <v>89</v>
      </c>
      <c r="BC32" s="383">
        <f t="shared" si="16"/>
        <v>1</v>
      </c>
      <c r="BD32" s="380">
        <f t="shared" si="17"/>
        <v>75</v>
      </c>
      <c r="BE32" s="383">
        <f t="shared" si="18"/>
        <v>0</v>
      </c>
      <c r="BF32" s="380">
        <f t="shared" si="19"/>
        <v>0</v>
      </c>
      <c r="BG32" s="383">
        <f t="shared" si="20"/>
        <v>1</v>
      </c>
      <c r="BH32" s="380">
        <f t="shared" si="21"/>
        <v>75</v>
      </c>
      <c r="BI32" s="490">
        <v>0</v>
      </c>
      <c r="BJ32" s="506">
        <v>1</v>
      </c>
      <c r="BK32" s="384">
        <f t="shared" si="22"/>
        <v>75</v>
      </c>
      <c r="BL32" s="385">
        <f t="shared" si="23"/>
        <v>0</v>
      </c>
      <c r="BM32" s="468">
        <v>1</v>
      </c>
      <c r="BN32" s="468" t="s">
        <v>290</v>
      </c>
      <c r="BO32" s="383">
        <f t="shared" si="24"/>
        <v>1</v>
      </c>
      <c r="BP32" s="380">
        <f t="shared" si="25"/>
        <v>75</v>
      </c>
      <c r="BQ32" s="385">
        <f t="shared" si="26"/>
        <v>0</v>
      </c>
      <c r="BR32" s="501">
        <v>1</v>
      </c>
      <c r="BS32" s="380">
        <f t="shared" si="27"/>
        <v>75</v>
      </c>
      <c r="BT32" s="490">
        <v>1</v>
      </c>
      <c r="BU32" s="383">
        <f t="shared" si="28"/>
        <v>1</v>
      </c>
      <c r="BV32" s="385">
        <f t="shared" si="29"/>
        <v>0</v>
      </c>
      <c r="BW32" s="494">
        <v>1</v>
      </c>
      <c r="BX32" s="516"/>
      <c r="BY32" s="518">
        <v>41695</v>
      </c>
      <c r="BZ32" s="804"/>
      <c r="CA32" s="807"/>
      <c r="CB32" s="386" t="str">
        <f t="shared" si="30"/>
        <v>To be realised</v>
      </c>
      <c r="CC32" s="468">
        <v>13</v>
      </c>
      <c r="CD32" s="468">
        <v>10</v>
      </c>
      <c r="CE32" s="387">
        <f t="shared" si="31"/>
        <v>13</v>
      </c>
      <c r="CF32" s="388">
        <f t="shared" si="32"/>
        <v>0</v>
      </c>
      <c r="CG32" s="380">
        <f t="shared" si="33"/>
        <v>0</v>
      </c>
      <c r="CH32" s="403">
        <f t="shared" si="34"/>
        <v>8</v>
      </c>
      <c r="CI32" s="484"/>
      <c r="CJ32" s="494"/>
      <c r="CK32" s="405">
        <f t="shared" si="35"/>
        <v>0</v>
      </c>
      <c r="CL32" s="484">
        <v>1</v>
      </c>
      <c r="CM32" s="389" t="str">
        <f t="shared" si="36"/>
        <v>Excellent coverage</v>
      </c>
      <c r="CN32" s="490">
        <v>0</v>
      </c>
      <c r="CO32" s="491" t="s">
        <v>292</v>
      </c>
      <c r="CP32" s="525"/>
    </row>
    <row r="33" spans="2:94" s="40" customFormat="1" ht="30.75" customHeight="1" x14ac:dyDescent="0.2">
      <c r="B33" s="465" t="s">
        <v>107</v>
      </c>
      <c r="C33" s="466" t="s">
        <v>684</v>
      </c>
      <c r="D33" s="467" t="s">
        <v>256</v>
      </c>
      <c r="E33" s="466" t="s">
        <v>249</v>
      </c>
      <c r="F33" s="467">
        <v>96.312790000000007</v>
      </c>
      <c r="G33" s="467">
        <v>25.611160000000002</v>
      </c>
      <c r="H33" s="467" t="s">
        <v>448</v>
      </c>
      <c r="I33" s="467" t="s">
        <v>213</v>
      </c>
      <c r="J33" s="467"/>
      <c r="K33" s="467"/>
      <c r="L33" s="468">
        <v>114</v>
      </c>
      <c r="M33" s="468">
        <v>520</v>
      </c>
      <c r="N33" s="468"/>
      <c r="O33" s="468">
        <v>520</v>
      </c>
      <c r="P33" s="376" t="str">
        <f t="shared" si="0"/>
        <v>2. Medium</v>
      </c>
      <c r="Q33" s="717" t="s">
        <v>253</v>
      </c>
      <c r="R33" s="469" t="s">
        <v>275</v>
      </c>
      <c r="S33" s="477" t="s">
        <v>275</v>
      </c>
      <c r="T33" s="398" t="str">
        <f t="shared" si="1"/>
        <v>Covered</v>
      </c>
      <c r="U33" s="478" t="s">
        <v>626</v>
      </c>
      <c r="V33" s="469" t="s">
        <v>252</v>
      </c>
      <c r="W33" s="395" t="str">
        <f t="shared" si="2"/>
        <v>Documented</v>
      </c>
      <c r="X33" s="484">
        <v>0</v>
      </c>
      <c r="Y33" s="468">
        <v>0</v>
      </c>
      <c r="Z33" s="801"/>
      <c r="AA33" s="485" t="s">
        <v>19</v>
      </c>
      <c r="AB33" s="484">
        <v>1</v>
      </c>
      <c r="AC33" s="490">
        <v>0</v>
      </c>
      <c r="AD33" s="491">
        <v>3320</v>
      </c>
      <c r="AE33" s="497">
        <v>0</v>
      </c>
      <c r="AF33" s="498">
        <v>0</v>
      </c>
      <c r="AG33" s="797"/>
      <c r="AH33" s="401">
        <f t="shared" si="3"/>
        <v>1</v>
      </c>
      <c r="AI33" s="378">
        <f t="shared" si="4"/>
        <v>520</v>
      </c>
      <c r="AJ33" s="379">
        <f t="shared" si="5"/>
        <v>1</v>
      </c>
      <c r="AK33" s="380">
        <f t="shared" si="6"/>
        <v>520</v>
      </c>
      <c r="AL33" s="377">
        <f t="shared" si="7"/>
        <v>1</v>
      </c>
      <c r="AM33" s="380">
        <f t="shared" si="8"/>
        <v>520</v>
      </c>
      <c r="AN33" s="381" t="str">
        <f t="shared" si="9"/>
        <v>80-100%</v>
      </c>
      <c r="AO33" s="377">
        <f t="shared" si="10"/>
        <v>0</v>
      </c>
      <c r="AP33" s="382">
        <f t="shared" si="11"/>
        <v>0</v>
      </c>
      <c r="AQ33" s="380">
        <f t="shared" si="12"/>
        <v>0.30000000000000004</v>
      </c>
      <c r="AR33" s="380">
        <f t="shared" si="13"/>
        <v>0</v>
      </c>
      <c r="AS33" s="380">
        <f t="shared" si="14"/>
        <v>0</v>
      </c>
      <c r="AT33" s="501">
        <v>1</v>
      </c>
      <c r="AU33" s="502">
        <f t="shared" si="15"/>
        <v>520</v>
      </c>
      <c r="AV33" s="491"/>
      <c r="AW33" s="747">
        <v>2</v>
      </c>
      <c r="AX33" s="468">
        <v>0</v>
      </c>
      <c r="AY33" s="468"/>
      <c r="AZ33" s="468">
        <v>16</v>
      </c>
      <c r="BA33" s="468"/>
      <c r="BB33" s="468" t="s">
        <v>290</v>
      </c>
      <c r="BC33" s="383">
        <f t="shared" si="16"/>
        <v>0.61538461538461542</v>
      </c>
      <c r="BD33" s="380">
        <f t="shared" si="17"/>
        <v>320</v>
      </c>
      <c r="BE33" s="383">
        <f t="shared" si="18"/>
        <v>0</v>
      </c>
      <c r="BF33" s="380">
        <f t="shared" si="19"/>
        <v>0</v>
      </c>
      <c r="BG33" s="383">
        <f t="shared" si="20"/>
        <v>0.61538461538461542</v>
      </c>
      <c r="BH33" s="380">
        <f t="shared" si="21"/>
        <v>320</v>
      </c>
      <c r="BI33" s="490">
        <v>0</v>
      </c>
      <c r="BJ33" s="506">
        <v>1</v>
      </c>
      <c r="BK33" s="384">
        <f t="shared" si="22"/>
        <v>520</v>
      </c>
      <c r="BL33" s="385">
        <f t="shared" si="23"/>
        <v>10</v>
      </c>
      <c r="BM33" s="468">
        <v>3</v>
      </c>
      <c r="BN33" s="468" t="s">
        <v>291</v>
      </c>
      <c r="BO33" s="383">
        <f t="shared" si="24"/>
        <v>0.57692307692307687</v>
      </c>
      <c r="BP33" s="380">
        <f t="shared" si="25"/>
        <v>300</v>
      </c>
      <c r="BQ33" s="385">
        <f t="shared" si="26"/>
        <v>2.2000000000000002</v>
      </c>
      <c r="BR33" s="501">
        <v>1</v>
      </c>
      <c r="BS33" s="380">
        <f t="shared" si="27"/>
        <v>520</v>
      </c>
      <c r="BT33" s="490">
        <v>3</v>
      </c>
      <c r="BU33" s="383">
        <f t="shared" si="28"/>
        <v>0.57692307692307687</v>
      </c>
      <c r="BV33" s="385">
        <f t="shared" si="29"/>
        <v>2.2000000000000002</v>
      </c>
      <c r="BW33" s="494">
        <v>1</v>
      </c>
      <c r="BX33" s="516"/>
      <c r="BY33" s="518">
        <v>41695</v>
      </c>
      <c r="BZ33" s="804"/>
      <c r="CA33" s="807"/>
      <c r="CB33" s="386" t="str">
        <f t="shared" si="30"/>
        <v>To be realised</v>
      </c>
      <c r="CC33" s="468">
        <v>114</v>
      </c>
      <c r="CD33" s="468">
        <v>10</v>
      </c>
      <c r="CE33" s="387">
        <f t="shared" si="31"/>
        <v>114</v>
      </c>
      <c r="CF33" s="388">
        <f t="shared" si="32"/>
        <v>0</v>
      </c>
      <c r="CG33" s="380">
        <f t="shared" si="33"/>
        <v>0</v>
      </c>
      <c r="CH33" s="403">
        <f t="shared" si="34"/>
        <v>8</v>
      </c>
      <c r="CI33" s="484"/>
      <c r="CJ33" s="494"/>
      <c r="CK33" s="405">
        <f t="shared" si="35"/>
        <v>0</v>
      </c>
      <c r="CL33" s="484">
        <v>2</v>
      </c>
      <c r="CM33" s="389" t="str">
        <f t="shared" si="36"/>
        <v>Excellent coverage</v>
      </c>
      <c r="CN33" s="490">
        <v>0</v>
      </c>
      <c r="CO33" s="491" t="s">
        <v>292</v>
      </c>
      <c r="CP33" s="525"/>
    </row>
    <row r="34" spans="2:94" s="40" customFormat="1" ht="30.75" customHeight="1" x14ac:dyDescent="0.2">
      <c r="B34" s="465" t="s">
        <v>107</v>
      </c>
      <c r="C34" s="466" t="s">
        <v>731</v>
      </c>
      <c r="D34" s="467" t="s">
        <v>256</v>
      </c>
      <c r="E34" s="466" t="s">
        <v>732</v>
      </c>
      <c r="F34" s="467">
        <v>96.341520000000003</v>
      </c>
      <c r="G34" s="467">
        <v>25.655280000000001</v>
      </c>
      <c r="H34" s="467" t="s">
        <v>448</v>
      </c>
      <c r="I34" s="467" t="s">
        <v>213</v>
      </c>
      <c r="J34" s="467"/>
      <c r="K34" s="467"/>
      <c r="L34" s="468">
        <v>50</v>
      </c>
      <c r="M34" s="468">
        <v>233</v>
      </c>
      <c r="N34" s="468"/>
      <c r="O34" s="468">
        <v>233</v>
      </c>
      <c r="P34" s="376" t="str">
        <f t="shared" si="0"/>
        <v>1. Small</v>
      </c>
      <c r="Q34" s="717" t="s">
        <v>253</v>
      </c>
      <c r="R34" s="469"/>
      <c r="S34" s="477" t="s">
        <v>275</v>
      </c>
      <c r="T34" s="398" t="str">
        <f t="shared" si="1"/>
        <v>Covered</v>
      </c>
      <c r="U34" s="478" t="s">
        <v>626</v>
      </c>
      <c r="V34" s="469" t="s">
        <v>743</v>
      </c>
      <c r="W34" s="395" t="str">
        <f t="shared" si="2"/>
        <v>Documented</v>
      </c>
      <c r="X34" s="484">
        <v>0</v>
      </c>
      <c r="Y34" s="468">
        <v>0</v>
      </c>
      <c r="Z34" s="801"/>
      <c r="AA34" s="485" t="s">
        <v>19</v>
      </c>
      <c r="AB34" s="484">
        <v>2</v>
      </c>
      <c r="AC34" s="490">
        <v>0</v>
      </c>
      <c r="AD34" s="491">
        <v>12960</v>
      </c>
      <c r="AE34" s="497">
        <v>0</v>
      </c>
      <c r="AF34" s="498">
        <v>0</v>
      </c>
      <c r="AG34" s="797"/>
      <c r="AH34" s="401">
        <f t="shared" si="3"/>
        <v>1</v>
      </c>
      <c r="AI34" s="378">
        <f t="shared" si="4"/>
        <v>233</v>
      </c>
      <c r="AJ34" s="379">
        <f t="shared" si="5"/>
        <v>1</v>
      </c>
      <c r="AK34" s="380">
        <f t="shared" si="6"/>
        <v>233</v>
      </c>
      <c r="AL34" s="377">
        <f t="shared" si="7"/>
        <v>1</v>
      </c>
      <c r="AM34" s="380">
        <f t="shared" si="8"/>
        <v>233</v>
      </c>
      <c r="AN34" s="381" t="str">
        <f t="shared" si="9"/>
        <v>80-100%</v>
      </c>
      <c r="AO34" s="377">
        <f t="shared" si="10"/>
        <v>0</v>
      </c>
      <c r="AP34" s="382">
        <f t="shared" si="11"/>
        <v>0</v>
      </c>
      <c r="AQ34" s="380">
        <f t="shared" si="12"/>
        <v>0</v>
      </c>
      <c r="AR34" s="380">
        <f t="shared" si="13"/>
        <v>0</v>
      </c>
      <c r="AS34" s="380">
        <f t="shared" si="14"/>
        <v>0</v>
      </c>
      <c r="AT34" s="501">
        <v>1</v>
      </c>
      <c r="AU34" s="502">
        <f t="shared" si="15"/>
        <v>233</v>
      </c>
      <c r="AV34" s="491"/>
      <c r="AW34" s="747">
        <v>0</v>
      </c>
      <c r="AX34" s="468">
        <v>0</v>
      </c>
      <c r="AY34" s="468"/>
      <c r="AZ34" s="468">
        <v>6</v>
      </c>
      <c r="BA34" s="468"/>
      <c r="BB34" s="468" t="s">
        <v>89</v>
      </c>
      <c r="BC34" s="383">
        <f t="shared" si="16"/>
        <v>0.51502145922746778</v>
      </c>
      <c r="BD34" s="380">
        <f t="shared" si="17"/>
        <v>120</v>
      </c>
      <c r="BE34" s="383">
        <f t="shared" si="18"/>
        <v>0</v>
      </c>
      <c r="BF34" s="380">
        <f t="shared" si="19"/>
        <v>0</v>
      </c>
      <c r="BG34" s="383">
        <f t="shared" si="20"/>
        <v>0.51502145922746778</v>
      </c>
      <c r="BH34" s="380">
        <f t="shared" si="21"/>
        <v>120</v>
      </c>
      <c r="BI34" s="490">
        <v>0</v>
      </c>
      <c r="BJ34" s="506">
        <v>1</v>
      </c>
      <c r="BK34" s="384">
        <f t="shared" si="22"/>
        <v>233</v>
      </c>
      <c r="BL34" s="385">
        <f t="shared" si="23"/>
        <v>5.65</v>
      </c>
      <c r="BM34" s="468">
        <v>1</v>
      </c>
      <c r="BN34" s="468" t="s">
        <v>89</v>
      </c>
      <c r="BO34" s="383">
        <f t="shared" si="24"/>
        <v>0.42918454935622319</v>
      </c>
      <c r="BP34" s="380">
        <f t="shared" si="25"/>
        <v>100</v>
      </c>
      <c r="BQ34" s="385">
        <f t="shared" si="26"/>
        <v>1.33</v>
      </c>
      <c r="BR34" s="501">
        <v>1</v>
      </c>
      <c r="BS34" s="380">
        <f t="shared" si="27"/>
        <v>233</v>
      </c>
      <c r="BT34" s="490">
        <v>0</v>
      </c>
      <c r="BU34" s="383">
        <f t="shared" si="28"/>
        <v>0</v>
      </c>
      <c r="BV34" s="385">
        <f t="shared" si="29"/>
        <v>2.33</v>
      </c>
      <c r="BW34" s="494">
        <v>0</v>
      </c>
      <c r="BX34" s="516"/>
      <c r="BY34" s="518"/>
      <c r="BZ34" s="804"/>
      <c r="CA34" s="807"/>
      <c r="CB34" s="386" t="str">
        <f t="shared" si="30"/>
        <v>To be realised</v>
      </c>
      <c r="CC34" s="468">
        <v>0</v>
      </c>
      <c r="CD34" s="468"/>
      <c r="CE34" s="387">
        <f t="shared" si="31"/>
        <v>50</v>
      </c>
      <c r="CF34" s="388">
        <f t="shared" si="32"/>
        <v>0</v>
      </c>
      <c r="CG34" s="380">
        <f t="shared" si="33"/>
        <v>0</v>
      </c>
      <c r="CH34" s="403" t="str">
        <f t="shared" si="34"/>
        <v>Column BN to be completed</v>
      </c>
      <c r="CI34" s="484"/>
      <c r="CJ34" s="494"/>
      <c r="CK34" s="405">
        <f t="shared" si="35"/>
        <v>0</v>
      </c>
      <c r="CL34" s="484">
        <v>0</v>
      </c>
      <c r="CM34" s="389" t="str">
        <f t="shared" si="36"/>
        <v>No coverage</v>
      </c>
      <c r="CN34" s="490">
        <v>0</v>
      </c>
      <c r="CO34" s="491" t="s">
        <v>292</v>
      </c>
      <c r="CP34" s="525"/>
    </row>
    <row r="35" spans="2:94" s="40" customFormat="1" ht="30.75" customHeight="1" x14ac:dyDescent="0.2">
      <c r="B35" s="465" t="s">
        <v>107</v>
      </c>
      <c r="C35" s="466" t="s">
        <v>529</v>
      </c>
      <c r="D35" s="467" t="s">
        <v>256</v>
      </c>
      <c r="E35" s="466" t="s">
        <v>116</v>
      </c>
      <c r="F35" s="467">
        <v>96.269199999999998</v>
      </c>
      <c r="G35" s="467">
        <v>25.566510000000001</v>
      </c>
      <c r="H35" s="467" t="s">
        <v>448</v>
      </c>
      <c r="I35" s="467" t="s">
        <v>213</v>
      </c>
      <c r="J35" s="467"/>
      <c r="K35" s="467"/>
      <c r="L35" s="468">
        <v>25</v>
      </c>
      <c r="M35" s="468">
        <v>133</v>
      </c>
      <c r="N35" s="468"/>
      <c r="O35" s="468">
        <v>133</v>
      </c>
      <c r="P35" s="376" t="str">
        <f t="shared" si="0"/>
        <v>1. Small</v>
      </c>
      <c r="Q35" s="717" t="s">
        <v>253</v>
      </c>
      <c r="R35" s="469" t="s">
        <v>275</v>
      </c>
      <c r="S35" s="477" t="s">
        <v>275</v>
      </c>
      <c r="T35" s="398" t="str">
        <f t="shared" si="1"/>
        <v>Covered</v>
      </c>
      <c r="U35" s="478" t="s">
        <v>626</v>
      </c>
      <c r="V35" s="469" t="s">
        <v>252</v>
      </c>
      <c r="W35" s="395" t="str">
        <f t="shared" si="2"/>
        <v>Documented</v>
      </c>
      <c r="X35" s="484">
        <v>0</v>
      </c>
      <c r="Y35" s="468">
        <v>0</v>
      </c>
      <c r="Z35" s="801"/>
      <c r="AA35" s="485" t="s">
        <v>19</v>
      </c>
      <c r="AB35" s="484">
        <v>1</v>
      </c>
      <c r="AC35" s="490">
        <v>0</v>
      </c>
      <c r="AD35" s="491">
        <v>3000</v>
      </c>
      <c r="AE35" s="497">
        <v>0</v>
      </c>
      <c r="AF35" s="498">
        <v>0</v>
      </c>
      <c r="AG35" s="797"/>
      <c r="AH35" s="401">
        <f t="shared" si="3"/>
        <v>1</v>
      </c>
      <c r="AI35" s="378">
        <f t="shared" si="4"/>
        <v>133</v>
      </c>
      <c r="AJ35" s="379">
        <f t="shared" si="5"/>
        <v>1</v>
      </c>
      <c r="AK35" s="380">
        <f t="shared" si="6"/>
        <v>133</v>
      </c>
      <c r="AL35" s="377">
        <f t="shared" si="7"/>
        <v>1</v>
      </c>
      <c r="AM35" s="380">
        <f t="shared" si="8"/>
        <v>133</v>
      </c>
      <c r="AN35" s="381" t="str">
        <f t="shared" si="9"/>
        <v>80-100%</v>
      </c>
      <c r="AO35" s="377">
        <f t="shared" si="10"/>
        <v>0</v>
      </c>
      <c r="AP35" s="382">
        <f t="shared" si="11"/>
        <v>0</v>
      </c>
      <c r="AQ35" s="380">
        <f t="shared" si="12"/>
        <v>0</v>
      </c>
      <c r="AR35" s="380">
        <f t="shared" si="13"/>
        <v>0</v>
      </c>
      <c r="AS35" s="380">
        <f t="shared" si="14"/>
        <v>0</v>
      </c>
      <c r="AT35" s="501">
        <v>1</v>
      </c>
      <c r="AU35" s="502">
        <f t="shared" si="15"/>
        <v>133</v>
      </c>
      <c r="AV35" s="491"/>
      <c r="AW35" s="747">
        <v>2</v>
      </c>
      <c r="AX35" s="468">
        <v>2</v>
      </c>
      <c r="AY35" s="468"/>
      <c r="AZ35" s="468">
        <v>6</v>
      </c>
      <c r="BA35" s="468"/>
      <c r="BB35" s="468" t="s">
        <v>89</v>
      </c>
      <c r="BC35" s="383">
        <f t="shared" si="16"/>
        <v>1</v>
      </c>
      <c r="BD35" s="380">
        <f t="shared" si="17"/>
        <v>133</v>
      </c>
      <c r="BE35" s="383">
        <f t="shared" si="18"/>
        <v>9.7744360902255689E-2</v>
      </c>
      <c r="BF35" s="380">
        <f t="shared" si="19"/>
        <v>13.000000000000007</v>
      </c>
      <c r="BG35" s="383">
        <f t="shared" si="20"/>
        <v>0.90225563909774431</v>
      </c>
      <c r="BH35" s="380">
        <f t="shared" si="21"/>
        <v>120</v>
      </c>
      <c r="BI35" s="490">
        <v>0</v>
      </c>
      <c r="BJ35" s="506">
        <v>1</v>
      </c>
      <c r="BK35" s="384">
        <f t="shared" si="22"/>
        <v>133</v>
      </c>
      <c r="BL35" s="385">
        <f t="shared" si="23"/>
        <v>0.65000000000000036</v>
      </c>
      <c r="BM35" s="468">
        <v>2</v>
      </c>
      <c r="BN35" s="468" t="s">
        <v>291</v>
      </c>
      <c r="BO35" s="383">
        <f t="shared" si="24"/>
        <v>1</v>
      </c>
      <c r="BP35" s="380">
        <f t="shared" si="25"/>
        <v>133</v>
      </c>
      <c r="BQ35" s="385">
        <f t="shared" si="26"/>
        <v>0</v>
      </c>
      <c r="BR35" s="501">
        <v>1</v>
      </c>
      <c r="BS35" s="380">
        <f t="shared" si="27"/>
        <v>133</v>
      </c>
      <c r="BT35" s="490">
        <v>2</v>
      </c>
      <c r="BU35" s="383">
        <f t="shared" si="28"/>
        <v>1</v>
      </c>
      <c r="BV35" s="385">
        <f t="shared" si="29"/>
        <v>0</v>
      </c>
      <c r="BW35" s="494">
        <v>1</v>
      </c>
      <c r="BX35" s="516"/>
      <c r="BY35" s="518">
        <v>41695</v>
      </c>
      <c r="BZ35" s="804"/>
      <c r="CA35" s="807"/>
      <c r="CB35" s="386" t="str">
        <f t="shared" si="30"/>
        <v>To be realised</v>
      </c>
      <c r="CC35" s="468">
        <v>25</v>
      </c>
      <c r="CD35" s="468">
        <v>10</v>
      </c>
      <c r="CE35" s="387">
        <f t="shared" si="31"/>
        <v>25</v>
      </c>
      <c r="CF35" s="388">
        <f t="shared" si="32"/>
        <v>0</v>
      </c>
      <c r="CG35" s="380">
        <f t="shared" si="33"/>
        <v>0</v>
      </c>
      <c r="CH35" s="403">
        <f t="shared" si="34"/>
        <v>8</v>
      </c>
      <c r="CI35" s="484"/>
      <c r="CJ35" s="494"/>
      <c r="CK35" s="405">
        <f t="shared" si="35"/>
        <v>0</v>
      </c>
      <c r="CL35" s="484">
        <v>2</v>
      </c>
      <c r="CM35" s="389" t="str">
        <f t="shared" si="36"/>
        <v>Excellent coverage</v>
      </c>
      <c r="CN35" s="490">
        <v>0</v>
      </c>
      <c r="CO35" s="491" t="s">
        <v>292</v>
      </c>
      <c r="CP35" s="525"/>
    </row>
    <row r="36" spans="2:94" s="40" customFormat="1" ht="30.75" customHeight="1" x14ac:dyDescent="0.2">
      <c r="B36" s="465" t="s">
        <v>107</v>
      </c>
      <c r="C36" s="466" t="s">
        <v>530</v>
      </c>
      <c r="D36" s="467" t="s">
        <v>256</v>
      </c>
      <c r="E36" s="466" t="s">
        <v>117</v>
      </c>
      <c r="F36" s="467">
        <v>96.316400000000002</v>
      </c>
      <c r="G36" s="467">
        <v>25.61842</v>
      </c>
      <c r="H36" s="467" t="s">
        <v>448</v>
      </c>
      <c r="I36" s="467" t="s">
        <v>213</v>
      </c>
      <c r="J36" s="467"/>
      <c r="K36" s="467"/>
      <c r="L36" s="468">
        <v>15</v>
      </c>
      <c r="M36" s="468">
        <v>74</v>
      </c>
      <c r="N36" s="468"/>
      <c r="O36" s="468">
        <v>74</v>
      </c>
      <c r="P36" s="376" t="str">
        <f t="shared" si="0"/>
        <v>1. Small</v>
      </c>
      <c r="Q36" s="717" t="s">
        <v>253</v>
      </c>
      <c r="R36" s="469" t="s">
        <v>275</v>
      </c>
      <c r="S36" s="477" t="s">
        <v>275</v>
      </c>
      <c r="T36" s="398" t="str">
        <f t="shared" si="1"/>
        <v>Covered</v>
      </c>
      <c r="U36" s="478" t="s">
        <v>626</v>
      </c>
      <c r="V36" s="469" t="s">
        <v>252</v>
      </c>
      <c r="W36" s="395" t="str">
        <f t="shared" si="2"/>
        <v>Documented</v>
      </c>
      <c r="X36" s="484">
        <v>0</v>
      </c>
      <c r="Y36" s="468">
        <v>0</v>
      </c>
      <c r="Z36" s="801"/>
      <c r="AA36" s="485" t="s">
        <v>19</v>
      </c>
      <c r="AB36" s="484">
        <v>1</v>
      </c>
      <c r="AC36" s="490">
        <v>0</v>
      </c>
      <c r="AD36" s="491">
        <v>2000</v>
      </c>
      <c r="AE36" s="497">
        <v>0</v>
      </c>
      <c r="AF36" s="498">
        <v>0</v>
      </c>
      <c r="AG36" s="797"/>
      <c r="AH36" s="401">
        <f t="shared" si="3"/>
        <v>1</v>
      </c>
      <c r="AI36" s="378">
        <f t="shared" si="4"/>
        <v>74</v>
      </c>
      <c r="AJ36" s="379">
        <f t="shared" si="5"/>
        <v>1</v>
      </c>
      <c r="AK36" s="380">
        <f t="shared" si="6"/>
        <v>74</v>
      </c>
      <c r="AL36" s="377">
        <f t="shared" si="7"/>
        <v>1</v>
      </c>
      <c r="AM36" s="380">
        <f t="shared" si="8"/>
        <v>74</v>
      </c>
      <c r="AN36" s="381" t="str">
        <f t="shared" si="9"/>
        <v>80-100%</v>
      </c>
      <c r="AO36" s="377">
        <f t="shared" si="10"/>
        <v>0</v>
      </c>
      <c r="AP36" s="382">
        <f t="shared" si="11"/>
        <v>0</v>
      </c>
      <c r="AQ36" s="380">
        <f t="shared" si="12"/>
        <v>0</v>
      </c>
      <c r="AR36" s="380">
        <f t="shared" si="13"/>
        <v>0</v>
      </c>
      <c r="AS36" s="380">
        <f t="shared" si="14"/>
        <v>0</v>
      </c>
      <c r="AT36" s="501">
        <v>1</v>
      </c>
      <c r="AU36" s="502">
        <f t="shared" si="15"/>
        <v>74</v>
      </c>
      <c r="AV36" s="491"/>
      <c r="AW36" s="747">
        <v>2</v>
      </c>
      <c r="AX36" s="468">
        <v>1</v>
      </c>
      <c r="AY36" s="468"/>
      <c r="AZ36" s="468">
        <v>4</v>
      </c>
      <c r="BA36" s="468"/>
      <c r="BB36" s="468" t="s">
        <v>89</v>
      </c>
      <c r="BC36" s="383">
        <f t="shared" si="16"/>
        <v>1</v>
      </c>
      <c r="BD36" s="380">
        <f t="shared" si="17"/>
        <v>74</v>
      </c>
      <c r="BE36" s="383">
        <f t="shared" si="18"/>
        <v>0</v>
      </c>
      <c r="BF36" s="380">
        <f t="shared" si="19"/>
        <v>0</v>
      </c>
      <c r="BG36" s="383">
        <f t="shared" si="20"/>
        <v>1</v>
      </c>
      <c r="BH36" s="380">
        <f t="shared" si="21"/>
        <v>74</v>
      </c>
      <c r="BI36" s="490">
        <v>0</v>
      </c>
      <c r="BJ36" s="506">
        <v>1</v>
      </c>
      <c r="BK36" s="384">
        <f t="shared" si="22"/>
        <v>74</v>
      </c>
      <c r="BL36" s="385">
        <f t="shared" si="23"/>
        <v>0</v>
      </c>
      <c r="BM36" s="468">
        <v>2</v>
      </c>
      <c r="BN36" s="468" t="s">
        <v>89</v>
      </c>
      <c r="BO36" s="383">
        <f t="shared" si="24"/>
        <v>1</v>
      </c>
      <c r="BP36" s="380">
        <f t="shared" si="25"/>
        <v>74</v>
      </c>
      <c r="BQ36" s="385">
        <f t="shared" si="26"/>
        <v>0</v>
      </c>
      <c r="BR36" s="501">
        <v>1</v>
      </c>
      <c r="BS36" s="380">
        <f t="shared" si="27"/>
        <v>74</v>
      </c>
      <c r="BT36" s="490">
        <v>1</v>
      </c>
      <c r="BU36" s="383">
        <f t="shared" si="28"/>
        <v>1</v>
      </c>
      <c r="BV36" s="385">
        <f t="shared" si="29"/>
        <v>0</v>
      </c>
      <c r="BW36" s="494">
        <v>1</v>
      </c>
      <c r="BX36" s="516"/>
      <c r="BY36" s="518">
        <v>41695</v>
      </c>
      <c r="BZ36" s="804"/>
      <c r="CA36" s="807"/>
      <c r="CB36" s="386" t="str">
        <f t="shared" si="30"/>
        <v>To be realised</v>
      </c>
      <c r="CC36" s="468">
        <v>15</v>
      </c>
      <c r="CD36" s="468">
        <v>10</v>
      </c>
      <c r="CE36" s="387">
        <f t="shared" si="31"/>
        <v>15</v>
      </c>
      <c r="CF36" s="388">
        <f t="shared" si="32"/>
        <v>0</v>
      </c>
      <c r="CG36" s="380">
        <f t="shared" si="33"/>
        <v>0</v>
      </c>
      <c r="CH36" s="403">
        <f t="shared" si="34"/>
        <v>8</v>
      </c>
      <c r="CI36" s="484"/>
      <c r="CJ36" s="494"/>
      <c r="CK36" s="405">
        <f t="shared" si="35"/>
        <v>0</v>
      </c>
      <c r="CL36" s="484">
        <v>1</v>
      </c>
      <c r="CM36" s="389" t="str">
        <f t="shared" si="36"/>
        <v>Excellent coverage</v>
      </c>
      <c r="CN36" s="490">
        <v>1</v>
      </c>
      <c r="CO36" s="485" t="s">
        <v>65</v>
      </c>
      <c r="CP36" s="525"/>
    </row>
    <row r="37" spans="2:94" s="40" customFormat="1" ht="30.75" customHeight="1" x14ac:dyDescent="0.2">
      <c r="B37" s="465" t="s">
        <v>107</v>
      </c>
      <c r="C37" s="466" t="s">
        <v>531</v>
      </c>
      <c r="D37" s="467" t="s">
        <v>256</v>
      </c>
      <c r="E37" s="466" t="s">
        <v>118</v>
      </c>
      <c r="F37" s="467">
        <v>96.319687999999999</v>
      </c>
      <c r="G37" s="467">
        <v>25.615202</v>
      </c>
      <c r="H37" s="467" t="s">
        <v>448</v>
      </c>
      <c r="I37" s="467" t="s">
        <v>213</v>
      </c>
      <c r="J37" s="467"/>
      <c r="K37" s="467"/>
      <c r="L37" s="468">
        <v>5</v>
      </c>
      <c r="M37" s="468">
        <v>26</v>
      </c>
      <c r="N37" s="468"/>
      <c r="O37" s="468">
        <v>26</v>
      </c>
      <c r="P37" s="376" t="str">
        <f t="shared" ref="P37:P68" si="37">IF(L37&gt;50,IF(L37&gt;250,IF(L37&gt;500,IF(L37&gt;1000,"5. Massive","4. Big"),"3. Large"),"2. Medium"),"1. Small")</f>
        <v>1. Small</v>
      </c>
      <c r="Q37" s="717" t="s">
        <v>253</v>
      </c>
      <c r="R37" s="469" t="s">
        <v>275</v>
      </c>
      <c r="S37" s="477" t="s">
        <v>275</v>
      </c>
      <c r="T37" s="398" t="str">
        <f t="shared" ref="T37:T68" si="38">IF(S37="None","Not covered","Covered")</f>
        <v>Covered</v>
      </c>
      <c r="U37" s="478">
        <v>42369</v>
      </c>
      <c r="V37" s="469" t="s">
        <v>252</v>
      </c>
      <c r="W37" s="395" t="str">
        <f t="shared" ref="W37:W68" si="39">IF(V37="Not documented","Not documented","Documented")</f>
        <v>Documented</v>
      </c>
      <c r="X37" s="484">
        <v>0</v>
      </c>
      <c r="Y37" s="468">
        <v>0</v>
      </c>
      <c r="Z37" s="801"/>
      <c r="AA37" s="485" t="s">
        <v>19</v>
      </c>
      <c r="AB37" s="484">
        <v>1</v>
      </c>
      <c r="AC37" s="490">
        <v>0</v>
      </c>
      <c r="AD37" s="491">
        <v>6000</v>
      </c>
      <c r="AE37" s="497">
        <v>0</v>
      </c>
      <c r="AF37" s="498">
        <v>0</v>
      </c>
      <c r="AG37" s="797"/>
      <c r="AH37" s="401">
        <f t="shared" ref="AH37:AH68" si="40">IF((((X37/15)+((Y37/30)/15)+AB37*400+AC37*500+(AD37/15))/O37)&gt;1,1,(((X37/15)+((Y37/30)/15)+AB37*400+AC37*500+(AD37/15))/O37))</f>
        <v>1</v>
      </c>
      <c r="AI37" s="378">
        <f t="shared" ref="AI37:AI68" si="41">AH37*O37</f>
        <v>26</v>
      </c>
      <c r="AJ37" s="379">
        <f t="shared" ref="AJ37:AJ68" si="42">IF(((AB37*400+AC37*500+(AD37/15))/O37)&gt;1,1,(AB37*400+AC37*500+(AD37/15))/O37)</f>
        <v>1</v>
      </c>
      <c r="AK37" s="380">
        <f t="shared" ref="AK37:AK68" si="43">AJ37*O37</f>
        <v>26</v>
      </c>
      <c r="AL37" s="377">
        <f t="shared" ref="AL37:AL68" si="44">IF(AF37=0,AH37,IF(AF37&lt;AH37,AH37,AF37))</f>
        <v>1</v>
      </c>
      <c r="AM37" s="380">
        <f t="shared" ref="AM37:AM68" si="45">AL37*O37</f>
        <v>26</v>
      </c>
      <c r="AN37" s="381" t="str">
        <f t="shared" ref="AN37:AN68" si="46">IF(AH37&gt;0.15,IF(AH37&gt;0.3,IF(AH37&gt;0.45,IF(AH37&gt;0.6,IF(AH37&gt;0.8,"80-100%","60-80%"),"45-60%"),"30-45%"),"15-30%"),"0-10%")</f>
        <v>80-100%</v>
      </c>
      <c r="AO37" s="377">
        <f t="shared" ref="AO37:AO68" si="47">IF((AH37-AJ37)&lt; 0, 0, AH37-AJ37)</f>
        <v>0</v>
      </c>
      <c r="AP37" s="382">
        <f t="shared" ref="AP37:AP68" si="48">AO37*O37</f>
        <v>0</v>
      </c>
      <c r="AQ37" s="380">
        <f t="shared" ref="AQ37:AQ68" si="49">IF(O37/400-(AB37+AC37)&lt;0,0,O37/400-(AB37+AC37))</f>
        <v>0</v>
      </c>
      <c r="AR37" s="380">
        <f t="shared" ref="AR37:AR68" si="50">AF37*L37</f>
        <v>0</v>
      </c>
      <c r="AS37" s="380">
        <f t="shared" ref="AS37:AS68" si="51">AE37*O37</f>
        <v>0</v>
      </c>
      <c r="AT37" s="501">
        <v>1</v>
      </c>
      <c r="AU37" s="502">
        <f t="shared" ref="AU37:AU68" si="52">AT37*O37</f>
        <v>26</v>
      </c>
      <c r="AV37" s="491"/>
      <c r="AW37" s="747">
        <v>5</v>
      </c>
      <c r="AX37" s="468">
        <v>2</v>
      </c>
      <c r="AY37" s="468"/>
      <c r="AZ37" s="468">
        <v>1</v>
      </c>
      <c r="BA37" s="468"/>
      <c r="BB37" s="468" t="s">
        <v>291</v>
      </c>
      <c r="BC37" s="383">
        <f t="shared" ref="BC37:BC68" si="53">IF((((AX37+AZ37)*20)/O37)&gt;1,1,(((AX37+AZ37)*20)/O37))</f>
        <v>1</v>
      </c>
      <c r="BD37" s="380">
        <f t="shared" ref="BD37:BD68" si="54">BC37*O37</f>
        <v>26</v>
      </c>
      <c r="BE37" s="383">
        <f t="shared" ref="BE37:BE68" si="55">BC37-BG37</f>
        <v>0.23076923076923073</v>
      </c>
      <c r="BF37" s="380">
        <f t="shared" ref="BF37:BF68" si="56">BE37*O37</f>
        <v>5.9999999999999991</v>
      </c>
      <c r="BG37" s="383">
        <f t="shared" ref="BG37:BG68" si="57">IF(((AZ37*20)/O37)&gt;1,1,((AZ37*20)/O37))</f>
        <v>0.76923076923076927</v>
      </c>
      <c r="BH37" s="380">
        <f t="shared" ref="BH37:BH68" si="58">BG37*O37</f>
        <v>20</v>
      </c>
      <c r="BI37" s="490">
        <v>0</v>
      </c>
      <c r="BJ37" s="506">
        <v>1</v>
      </c>
      <c r="BK37" s="384">
        <f t="shared" ref="BK37:BK68" si="59">BJ37*O37</f>
        <v>26</v>
      </c>
      <c r="BL37" s="385">
        <f t="shared" ref="BL37:BL68" si="60">IF((O37/20-AZ37+BI37)&lt;0,0,(O37/20-AZ37+BI37))</f>
        <v>0.30000000000000004</v>
      </c>
      <c r="BM37" s="468">
        <v>2</v>
      </c>
      <c r="BN37" s="468" t="s">
        <v>290</v>
      </c>
      <c r="BO37" s="383">
        <f t="shared" ref="BO37:BO68" si="61">IF((BM37*100/O37)&gt;1,1,(BM37*100/O37))</f>
        <v>1</v>
      </c>
      <c r="BP37" s="380">
        <f t="shared" ref="BP37:BP68" si="62">BO37*O37</f>
        <v>26</v>
      </c>
      <c r="BQ37" s="385">
        <f t="shared" ref="BQ37:BQ68" si="63">IF(M37/100-BM37&lt;0,0,M37/100-BM37)</f>
        <v>0</v>
      </c>
      <c r="BR37" s="501">
        <v>1</v>
      </c>
      <c r="BS37" s="380">
        <f t="shared" ref="BS37:BS68" si="64">BR37*O37</f>
        <v>26</v>
      </c>
      <c r="BT37" s="490">
        <v>3</v>
      </c>
      <c r="BU37" s="383">
        <f t="shared" ref="BU37:BU68" si="65">IF((BT37*100/O37)&gt;1,1,(BT37*100/O37))</f>
        <v>1</v>
      </c>
      <c r="BV37" s="385">
        <f t="shared" ref="BV37:BV68" si="66">IF(M37/100-BT37&lt;0,0,M37/100-BT37)</f>
        <v>0</v>
      </c>
      <c r="BW37" s="494">
        <v>1</v>
      </c>
      <c r="BX37" s="516"/>
      <c r="BY37" s="518">
        <v>41695</v>
      </c>
      <c r="BZ37" s="804"/>
      <c r="CA37" s="807"/>
      <c r="CB37" s="386" t="str">
        <f t="shared" ref="CB37:CB68" si="67">IF(BY37="","To be realised",IF(BY37="n/a","n/a",IF(BY37+365&lt;$E$2,"To be realised",BY37+365)))</f>
        <v>To be realised</v>
      </c>
      <c r="CC37" s="468">
        <v>5</v>
      </c>
      <c r="CD37" s="468">
        <v>10</v>
      </c>
      <c r="CE37" s="387">
        <f t="shared" ref="CE37:CE68" si="68">IF(CB37="n/a",0,IF(CB37="To be realised",L37,IF((L37-CC37)&lt;0,0,(L37-CC37))))</f>
        <v>5</v>
      </c>
      <c r="CF37" s="388">
        <f t="shared" ref="CF37:CF68" si="69">IF(CE37=0,1,(L37-CE37)/L37)</f>
        <v>0</v>
      </c>
      <c r="CG37" s="380">
        <f t="shared" ref="CG37:CG68" si="70">CF37*O37</f>
        <v>0</v>
      </c>
      <c r="CH37" s="403">
        <f t="shared" ref="CH37:CH68" si="71">IF(BY37="","Column BN to be completed", IF(BY37="n/a",0,IF(($E$2-BY37-30)/30-CD37&lt;0,0,ROUND((($E$2-BY37-30)/30-CD37),0))))</f>
        <v>8</v>
      </c>
      <c r="CI37" s="484"/>
      <c r="CJ37" s="494">
        <v>0</v>
      </c>
      <c r="CK37" s="405">
        <f t="shared" ref="CK37:CK68" si="72">CJ37*O37</f>
        <v>0</v>
      </c>
      <c r="CL37" s="484">
        <v>1</v>
      </c>
      <c r="CM37" s="389" t="str">
        <f t="shared" ref="CM37:CM68" si="73">IF(CL37=0,"No coverage",IF(O37/CL37&gt;1000,"Low coverage",IF(O37/CL37&gt;750,"Average coverage",IF(O37/CL37&gt;500,"Good coverage","Excellent coverage"))))</f>
        <v>Excellent coverage</v>
      </c>
      <c r="CN37" s="490">
        <v>0</v>
      </c>
      <c r="CO37" s="485" t="s">
        <v>292</v>
      </c>
      <c r="CP37" s="525"/>
    </row>
    <row r="38" spans="2:94" s="40" customFormat="1" ht="30.75" customHeight="1" x14ac:dyDescent="0.2">
      <c r="B38" s="465" t="s">
        <v>107</v>
      </c>
      <c r="C38" s="466" t="s">
        <v>532</v>
      </c>
      <c r="D38" s="467" t="s">
        <v>256</v>
      </c>
      <c r="E38" s="466" t="s">
        <v>224</v>
      </c>
      <c r="F38" s="467">
        <v>96.339590000000001</v>
      </c>
      <c r="G38" s="467">
        <v>25.617998</v>
      </c>
      <c r="H38" s="467" t="s">
        <v>448</v>
      </c>
      <c r="I38" s="467" t="s">
        <v>213</v>
      </c>
      <c r="J38" s="467"/>
      <c r="K38" s="467"/>
      <c r="L38" s="468">
        <v>17</v>
      </c>
      <c r="M38" s="468">
        <v>64</v>
      </c>
      <c r="N38" s="468"/>
      <c r="O38" s="468">
        <v>64</v>
      </c>
      <c r="P38" s="376" t="str">
        <f t="shared" si="37"/>
        <v>1. Small</v>
      </c>
      <c r="Q38" s="717" t="s">
        <v>253</v>
      </c>
      <c r="R38" s="469" t="s">
        <v>275</v>
      </c>
      <c r="S38" s="477" t="s">
        <v>275</v>
      </c>
      <c r="T38" s="398" t="str">
        <f t="shared" si="38"/>
        <v>Covered</v>
      </c>
      <c r="U38" s="478" t="s">
        <v>626</v>
      </c>
      <c r="V38" s="469" t="s">
        <v>252</v>
      </c>
      <c r="W38" s="395" t="str">
        <f t="shared" si="39"/>
        <v>Documented</v>
      </c>
      <c r="X38" s="484">
        <v>0</v>
      </c>
      <c r="Y38" s="468">
        <v>0</v>
      </c>
      <c r="Z38" s="801"/>
      <c r="AA38" s="485" t="s">
        <v>19</v>
      </c>
      <c r="AB38" s="484">
        <v>1</v>
      </c>
      <c r="AC38" s="490">
        <v>0</v>
      </c>
      <c r="AD38" s="491">
        <v>2000</v>
      </c>
      <c r="AE38" s="497">
        <v>0</v>
      </c>
      <c r="AF38" s="498">
        <v>0</v>
      </c>
      <c r="AG38" s="797"/>
      <c r="AH38" s="401">
        <f t="shared" si="40"/>
        <v>1</v>
      </c>
      <c r="AI38" s="378">
        <f t="shared" si="41"/>
        <v>64</v>
      </c>
      <c r="AJ38" s="379">
        <f t="shared" si="42"/>
        <v>1</v>
      </c>
      <c r="AK38" s="380">
        <f t="shared" si="43"/>
        <v>64</v>
      </c>
      <c r="AL38" s="377">
        <f t="shared" si="44"/>
        <v>1</v>
      </c>
      <c r="AM38" s="380">
        <f t="shared" si="45"/>
        <v>64</v>
      </c>
      <c r="AN38" s="381" t="str">
        <f t="shared" si="46"/>
        <v>80-100%</v>
      </c>
      <c r="AO38" s="377">
        <f t="shared" si="47"/>
        <v>0</v>
      </c>
      <c r="AP38" s="382">
        <f t="shared" si="48"/>
        <v>0</v>
      </c>
      <c r="AQ38" s="380">
        <f t="shared" si="49"/>
        <v>0</v>
      </c>
      <c r="AR38" s="380">
        <f t="shared" si="50"/>
        <v>0</v>
      </c>
      <c r="AS38" s="380">
        <f t="shared" si="51"/>
        <v>0</v>
      </c>
      <c r="AT38" s="501">
        <v>1</v>
      </c>
      <c r="AU38" s="502">
        <f t="shared" si="52"/>
        <v>64</v>
      </c>
      <c r="AV38" s="491"/>
      <c r="AW38" s="747">
        <v>1</v>
      </c>
      <c r="AX38" s="468">
        <v>2</v>
      </c>
      <c r="AY38" s="468"/>
      <c r="AZ38" s="468">
        <v>3</v>
      </c>
      <c r="BA38" s="468"/>
      <c r="BB38" s="468" t="s">
        <v>290</v>
      </c>
      <c r="BC38" s="383">
        <f t="shared" si="53"/>
        <v>1</v>
      </c>
      <c r="BD38" s="380">
        <f t="shared" si="54"/>
        <v>64</v>
      </c>
      <c r="BE38" s="383">
        <f t="shared" si="55"/>
        <v>6.25E-2</v>
      </c>
      <c r="BF38" s="380">
        <f t="shared" si="56"/>
        <v>4</v>
      </c>
      <c r="BG38" s="383">
        <f t="shared" si="57"/>
        <v>0.9375</v>
      </c>
      <c r="BH38" s="380">
        <f t="shared" si="58"/>
        <v>60</v>
      </c>
      <c r="BI38" s="490">
        <v>0</v>
      </c>
      <c r="BJ38" s="506">
        <v>1</v>
      </c>
      <c r="BK38" s="384">
        <f t="shared" si="59"/>
        <v>64</v>
      </c>
      <c r="BL38" s="385">
        <f t="shared" si="60"/>
        <v>0.20000000000000018</v>
      </c>
      <c r="BM38" s="468">
        <v>2</v>
      </c>
      <c r="BN38" s="468" t="s">
        <v>290</v>
      </c>
      <c r="BO38" s="383">
        <f t="shared" si="61"/>
        <v>1</v>
      </c>
      <c r="BP38" s="380">
        <f t="shared" si="62"/>
        <v>64</v>
      </c>
      <c r="BQ38" s="385">
        <f t="shared" si="63"/>
        <v>0</v>
      </c>
      <c r="BR38" s="501">
        <v>1</v>
      </c>
      <c r="BS38" s="380">
        <f t="shared" si="64"/>
        <v>64</v>
      </c>
      <c r="BT38" s="490">
        <v>4</v>
      </c>
      <c r="BU38" s="383">
        <f t="shared" si="65"/>
        <v>1</v>
      </c>
      <c r="BV38" s="385">
        <f t="shared" si="66"/>
        <v>0</v>
      </c>
      <c r="BW38" s="494">
        <v>1</v>
      </c>
      <c r="BX38" s="516"/>
      <c r="BY38" s="518">
        <v>41695</v>
      </c>
      <c r="BZ38" s="804"/>
      <c r="CA38" s="807"/>
      <c r="CB38" s="386" t="str">
        <f t="shared" si="67"/>
        <v>To be realised</v>
      </c>
      <c r="CC38" s="468">
        <v>17</v>
      </c>
      <c r="CD38" s="468">
        <v>10</v>
      </c>
      <c r="CE38" s="387">
        <f t="shared" si="68"/>
        <v>17</v>
      </c>
      <c r="CF38" s="388">
        <f t="shared" si="69"/>
        <v>0</v>
      </c>
      <c r="CG38" s="380">
        <f t="shared" si="70"/>
        <v>0</v>
      </c>
      <c r="CH38" s="403">
        <f t="shared" si="71"/>
        <v>8</v>
      </c>
      <c r="CI38" s="484"/>
      <c r="CJ38" s="494"/>
      <c r="CK38" s="405">
        <f t="shared" si="72"/>
        <v>0</v>
      </c>
      <c r="CL38" s="484">
        <v>2</v>
      </c>
      <c r="CM38" s="389" t="str">
        <f t="shared" si="73"/>
        <v>Excellent coverage</v>
      </c>
      <c r="CN38" s="490">
        <v>0</v>
      </c>
      <c r="CO38" s="485" t="s">
        <v>292</v>
      </c>
      <c r="CP38" s="525"/>
    </row>
    <row r="39" spans="2:94" s="40" customFormat="1" ht="30.75" customHeight="1" x14ac:dyDescent="0.2">
      <c r="B39" s="465" t="s">
        <v>107</v>
      </c>
      <c r="C39" s="466" t="s">
        <v>533</v>
      </c>
      <c r="D39" s="467" t="s">
        <v>256</v>
      </c>
      <c r="E39" s="466" t="s">
        <v>119</v>
      </c>
      <c r="F39" s="467">
        <v>96.341352999999998</v>
      </c>
      <c r="G39" s="467">
        <v>25.613894999999999</v>
      </c>
      <c r="H39" s="467" t="s">
        <v>448</v>
      </c>
      <c r="I39" s="467" t="s">
        <v>213</v>
      </c>
      <c r="J39" s="467"/>
      <c r="K39" s="467"/>
      <c r="L39" s="468">
        <v>55</v>
      </c>
      <c r="M39" s="468">
        <v>272</v>
      </c>
      <c r="N39" s="468"/>
      <c r="O39" s="468">
        <v>272</v>
      </c>
      <c r="P39" s="376" t="str">
        <f t="shared" si="37"/>
        <v>2. Medium</v>
      </c>
      <c r="Q39" s="717" t="s">
        <v>825</v>
      </c>
      <c r="R39" s="469" t="s">
        <v>230</v>
      </c>
      <c r="S39" s="477" t="s">
        <v>230</v>
      </c>
      <c r="T39" s="398" t="str">
        <f t="shared" si="38"/>
        <v>Covered</v>
      </c>
      <c r="U39" s="478" t="s">
        <v>626</v>
      </c>
      <c r="V39" s="469" t="s">
        <v>252</v>
      </c>
      <c r="W39" s="395" t="str">
        <f t="shared" si="39"/>
        <v>Documented</v>
      </c>
      <c r="X39" s="484">
        <v>0</v>
      </c>
      <c r="Y39" s="468">
        <v>0</v>
      </c>
      <c r="Z39" s="801"/>
      <c r="AA39" s="485" t="s">
        <v>19</v>
      </c>
      <c r="AB39" s="484">
        <v>2</v>
      </c>
      <c r="AC39" s="490">
        <v>0</v>
      </c>
      <c r="AD39" s="491">
        <v>3000</v>
      </c>
      <c r="AE39" s="497">
        <v>0</v>
      </c>
      <c r="AF39" s="498">
        <v>0</v>
      </c>
      <c r="AG39" s="797"/>
      <c r="AH39" s="401">
        <f t="shared" si="40"/>
        <v>1</v>
      </c>
      <c r="AI39" s="378">
        <f t="shared" si="41"/>
        <v>272</v>
      </c>
      <c r="AJ39" s="379">
        <f t="shared" si="42"/>
        <v>1</v>
      </c>
      <c r="AK39" s="380">
        <f t="shared" si="43"/>
        <v>272</v>
      </c>
      <c r="AL39" s="377">
        <f t="shared" si="44"/>
        <v>1</v>
      </c>
      <c r="AM39" s="380">
        <f t="shared" si="45"/>
        <v>272</v>
      </c>
      <c r="AN39" s="381" t="str">
        <f t="shared" si="46"/>
        <v>80-100%</v>
      </c>
      <c r="AO39" s="377">
        <f t="shared" si="47"/>
        <v>0</v>
      </c>
      <c r="AP39" s="382">
        <f t="shared" si="48"/>
        <v>0</v>
      </c>
      <c r="AQ39" s="380">
        <f t="shared" si="49"/>
        <v>0</v>
      </c>
      <c r="AR39" s="380">
        <f t="shared" si="50"/>
        <v>0</v>
      </c>
      <c r="AS39" s="380">
        <f t="shared" si="51"/>
        <v>0</v>
      </c>
      <c r="AT39" s="501">
        <v>1</v>
      </c>
      <c r="AU39" s="502">
        <f t="shared" si="52"/>
        <v>272</v>
      </c>
      <c r="AV39" s="491"/>
      <c r="AW39" s="747">
        <v>8</v>
      </c>
      <c r="AX39" s="468">
        <v>0</v>
      </c>
      <c r="AY39" s="468"/>
      <c r="AZ39" s="468">
        <v>10</v>
      </c>
      <c r="BA39" s="468"/>
      <c r="BB39" s="468" t="s">
        <v>89</v>
      </c>
      <c r="BC39" s="383">
        <f t="shared" si="53"/>
        <v>0.73529411764705888</v>
      </c>
      <c r="BD39" s="380">
        <f t="shared" si="54"/>
        <v>200</v>
      </c>
      <c r="BE39" s="383">
        <f t="shared" si="55"/>
        <v>0</v>
      </c>
      <c r="BF39" s="380">
        <f t="shared" si="56"/>
        <v>0</v>
      </c>
      <c r="BG39" s="383">
        <f t="shared" si="57"/>
        <v>0.73529411764705888</v>
      </c>
      <c r="BH39" s="380">
        <f t="shared" si="58"/>
        <v>200</v>
      </c>
      <c r="BI39" s="490">
        <v>0</v>
      </c>
      <c r="BJ39" s="506">
        <v>1</v>
      </c>
      <c r="BK39" s="384">
        <f t="shared" si="59"/>
        <v>272</v>
      </c>
      <c r="BL39" s="385">
        <f t="shared" si="60"/>
        <v>3.5999999999999996</v>
      </c>
      <c r="BM39" s="468">
        <v>2</v>
      </c>
      <c r="BN39" s="468" t="s">
        <v>290</v>
      </c>
      <c r="BO39" s="383">
        <f t="shared" si="61"/>
        <v>0.73529411764705888</v>
      </c>
      <c r="BP39" s="380">
        <f t="shared" si="62"/>
        <v>200</v>
      </c>
      <c r="BQ39" s="385">
        <f t="shared" si="63"/>
        <v>0.7200000000000002</v>
      </c>
      <c r="BR39" s="501">
        <v>0.74</v>
      </c>
      <c r="BS39" s="380">
        <f t="shared" si="64"/>
        <v>201.28</v>
      </c>
      <c r="BT39" s="490">
        <v>3</v>
      </c>
      <c r="BU39" s="383">
        <f t="shared" si="65"/>
        <v>1</v>
      </c>
      <c r="BV39" s="385">
        <f t="shared" si="66"/>
        <v>0</v>
      </c>
      <c r="BW39" s="494">
        <v>1</v>
      </c>
      <c r="BX39" s="516" t="s">
        <v>845</v>
      </c>
      <c r="BY39" s="518">
        <v>41817</v>
      </c>
      <c r="BZ39" s="804"/>
      <c r="CA39" s="807"/>
      <c r="CB39" s="386" t="str">
        <f t="shared" si="67"/>
        <v>To be realised</v>
      </c>
      <c r="CC39" s="468">
        <v>55</v>
      </c>
      <c r="CD39" s="468">
        <v>2</v>
      </c>
      <c r="CE39" s="387">
        <f t="shared" si="68"/>
        <v>55</v>
      </c>
      <c r="CF39" s="388">
        <f t="shared" si="69"/>
        <v>0</v>
      </c>
      <c r="CG39" s="380">
        <f t="shared" si="70"/>
        <v>0</v>
      </c>
      <c r="CH39" s="403">
        <f t="shared" si="71"/>
        <v>12</v>
      </c>
      <c r="CI39" s="484"/>
      <c r="CJ39" s="494"/>
      <c r="CK39" s="405">
        <f t="shared" si="72"/>
        <v>0</v>
      </c>
      <c r="CL39" s="484">
        <v>4</v>
      </c>
      <c r="CM39" s="389" t="str">
        <f t="shared" si="73"/>
        <v>Excellent coverage</v>
      </c>
      <c r="CN39" s="490">
        <v>0</v>
      </c>
      <c r="CO39" s="485" t="s">
        <v>292</v>
      </c>
      <c r="CP39" s="525"/>
    </row>
    <row r="40" spans="2:94" s="40" customFormat="1" ht="30.75" customHeight="1" x14ac:dyDescent="0.2">
      <c r="B40" s="465" t="s">
        <v>107</v>
      </c>
      <c r="C40" s="466" t="s">
        <v>534</v>
      </c>
      <c r="D40" s="467" t="s">
        <v>256</v>
      </c>
      <c r="E40" s="466" t="s">
        <v>120</v>
      </c>
      <c r="F40" s="467">
        <v>96.279200000000003</v>
      </c>
      <c r="G40" s="467">
        <v>25.56551</v>
      </c>
      <c r="H40" s="467" t="s">
        <v>448</v>
      </c>
      <c r="I40" s="467" t="s">
        <v>213</v>
      </c>
      <c r="J40" s="467"/>
      <c r="K40" s="467"/>
      <c r="L40" s="468">
        <v>10</v>
      </c>
      <c r="M40" s="468">
        <v>39</v>
      </c>
      <c r="N40" s="468"/>
      <c r="O40" s="468">
        <v>39</v>
      </c>
      <c r="P40" s="376" t="str">
        <f t="shared" si="37"/>
        <v>1. Small</v>
      </c>
      <c r="Q40" s="717" t="s">
        <v>253</v>
      </c>
      <c r="R40" s="469" t="s">
        <v>275</v>
      </c>
      <c r="S40" s="477" t="s">
        <v>275</v>
      </c>
      <c r="T40" s="398" t="str">
        <f t="shared" si="38"/>
        <v>Covered</v>
      </c>
      <c r="U40" s="478" t="s">
        <v>626</v>
      </c>
      <c r="V40" s="469" t="s">
        <v>252</v>
      </c>
      <c r="W40" s="395" t="str">
        <f t="shared" si="39"/>
        <v>Documented</v>
      </c>
      <c r="X40" s="484">
        <v>0</v>
      </c>
      <c r="Y40" s="468">
        <v>0</v>
      </c>
      <c r="Z40" s="801"/>
      <c r="AA40" s="485" t="s">
        <v>19</v>
      </c>
      <c r="AB40" s="484">
        <v>1</v>
      </c>
      <c r="AC40" s="490">
        <v>0</v>
      </c>
      <c r="AD40" s="491">
        <v>1600</v>
      </c>
      <c r="AE40" s="497">
        <v>0</v>
      </c>
      <c r="AF40" s="498">
        <v>0</v>
      </c>
      <c r="AG40" s="797"/>
      <c r="AH40" s="401">
        <f t="shared" si="40"/>
        <v>1</v>
      </c>
      <c r="AI40" s="378">
        <f t="shared" si="41"/>
        <v>39</v>
      </c>
      <c r="AJ40" s="379">
        <f t="shared" si="42"/>
        <v>1</v>
      </c>
      <c r="AK40" s="380">
        <f t="shared" si="43"/>
        <v>39</v>
      </c>
      <c r="AL40" s="377">
        <f t="shared" si="44"/>
        <v>1</v>
      </c>
      <c r="AM40" s="380">
        <f t="shared" si="45"/>
        <v>39</v>
      </c>
      <c r="AN40" s="381" t="str">
        <f t="shared" si="46"/>
        <v>80-100%</v>
      </c>
      <c r="AO40" s="377">
        <f t="shared" si="47"/>
        <v>0</v>
      </c>
      <c r="AP40" s="382">
        <f t="shared" si="48"/>
        <v>0</v>
      </c>
      <c r="AQ40" s="380">
        <f t="shared" si="49"/>
        <v>0</v>
      </c>
      <c r="AR40" s="380">
        <f t="shared" si="50"/>
        <v>0</v>
      </c>
      <c r="AS40" s="380">
        <f t="shared" si="51"/>
        <v>0</v>
      </c>
      <c r="AT40" s="501">
        <v>1</v>
      </c>
      <c r="AU40" s="502">
        <f t="shared" si="52"/>
        <v>39</v>
      </c>
      <c r="AV40" s="491"/>
      <c r="AW40" s="747">
        <v>9</v>
      </c>
      <c r="AX40" s="468">
        <v>2</v>
      </c>
      <c r="AY40" s="468"/>
      <c r="AZ40" s="468">
        <v>2</v>
      </c>
      <c r="BA40" s="468"/>
      <c r="BB40" s="468" t="s">
        <v>89</v>
      </c>
      <c r="BC40" s="383">
        <f t="shared" si="53"/>
        <v>1</v>
      </c>
      <c r="BD40" s="380">
        <f t="shared" si="54"/>
        <v>39</v>
      </c>
      <c r="BE40" s="383">
        <f t="shared" si="55"/>
        <v>0</v>
      </c>
      <c r="BF40" s="380">
        <f t="shared" si="56"/>
        <v>0</v>
      </c>
      <c r="BG40" s="383">
        <f t="shared" si="57"/>
        <v>1</v>
      </c>
      <c r="BH40" s="380">
        <f t="shared" si="58"/>
        <v>39</v>
      </c>
      <c r="BI40" s="490">
        <v>0</v>
      </c>
      <c r="BJ40" s="506">
        <v>1</v>
      </c>
      <c r="BK40" s="384">
        <f t="shared" si="59"/>
        <v>39</v>
      </c>
      <c r="BL40" s="385">
        <f t="shared" si="60"/>
        <v>0</v>
      </c>
      <c r="BM40" s="468">
        <v>2</v>
      </c>
      <c r="BN40" s="468" t="s">
        <v>89</v>
      </c>
      <c r="BO40" s="383">
        <f t="shared" si="61"/>
        <v>1</v>
      </c>
      <c r="BP40" s="380">
        <f t="shared" si="62"/>
        <v>39</v>
      </c>
      <c r="BQ40" s="385">
        <f t="shared" si="63"/>
        <v>0</v>
      </c>
      <c r="BR40" s="501">
        <v>1</v>
      </c>
      <c r="BS40" s="380">
        <f t="shared" si="64"/>
        <v>39</v>
      </c>
      <c r="BT40" s="490">
        <v>6</v>
      </c>
      <c r="BU40" s="383">
        <f t="shared" si="65"/>
        <v>1</v>
      </c>
      <c r="BV40" s="385">
        <f t="shared" si="66"/>
        <v>0</v>
      </c>
      <c r="BW40" s="494">
        <v>1</v>
      </c>
      <c r="BX40" s="516"/>
      <c r="BY40" s="518">
        <v>41695</v>
      </c>
      <c r="BZ40" s="804"/>
      <c r="CA40" s="807"/>
      <c r="CB40" s="386" t="str">
        <f t="shared" si="67"/>
        <v>To be realised</v>
      </c>
      <c r="CC40" s="468">
        <v>10</v>
      </c>
      <c r="CD40" s="468">
        <v>10</v>
      </c>
      <c r="CE40" s="387">
        <f t="shared" si="68"/>
        <v>10</v>
      </c>
      <c r="CF40" s="388">
        <f t="shared" si="69"/>
        <v>0</v>
      </c>
      <c r="CG40" s="380">
        <f t="shared" si="70"/>
        <v>0</v>
      </c>
      <c r="CH40" s="403">
        <f t="shared" si="71"/>
        <v>8</v>
      </c>
      <c r="CI40" s="484"/>
      <c r="CJ40" s="494"/>
      <c r="CK40" s="405">
        <f t="shared" si="72"/>
        <v>0</v>
      </c>
      <c r="CL40" s="484">
        <v>2</v>
      </c>
      <c r="CM40" s="389" t="str">
        <f t="shared" si="73"/>
        <v>Excellent coverage</v>
      </c>
      <c r="CN40" s="490">
        <v>0</v>
      </c>
      <c r="CO40" s="485" t="s">
        <v>292</v>
      </c>
      <c r="CP40" s="525"/>
    </row>
    <row r="41" spans="2:94" s="40" customFormat="1" ht="30.75" customHeight="1" x14ac:dyDescent="0.2">
      <c r="B41" s="465" t="s">
        <v>107</v>
      </c>
      <c r="C41" s="466" t="s">
        <v>535</v>
      </c>
      <c r="D41" s="467" t="s">
        <v>256</v>
      </c>
      <c r="E41" s="466" t="s">
        <v>121</v>
      </c>
      <c r="F41" s="467">
        <v>96.353030000000004</v>
      </c>
      <c r="G41" s="467">
        <v>25.668399999999998</v>
      </c>
      <c r="H41" s="467" t="s">
        <v>448</v>
      </c>
      <c r="I41" s="467" t="s">
        <v>213</v>
      </c>
      <c r="J41" s="467"/>
      <c r="K41" s="467"/>
      <c r="L41" s="468">
        <v>8</v>
      </c>
      <c r="M41" s="468">
        <v>40</v>
      </c>
      <c r="N41" s="468"/>
      <c r="O41" s="468">
        <v>40</v>
      </c>
      <c r="P41" s="376" t="str">
        <f t="shared" si="37"/>
        <v>1. Small</v>
      </c>
      <c r="Q41" s="717" t="s">
        <v>253</v>
      </c>
      <c r="R41" s="469" t="s">
        <v>275</v>
      </c>
      <c r="S41" s="477" t="s">
        <v>275</v>
      </c>
      <c r="T41" s="398" t="str">
        <f t="shared" si="38"/>
        <v>Covered</v>
      </c>
      <c r="U41" s="478" t="s">
        <v>626</v>
      </c>
      <c r="V41" s="469" t="s">
        <v>252</v>
      </c>
      <c r="W41" s="395" t="str">
        <f t="shared" si="39"/>
        <v>Documented</v>
      </c>
      <c r="X41" s="484">
        <v>0</v>
      </c>
      <c r="Y41" s="468">
        <v>0</v>
      </c>
      <c r="Z41" s="801"/>
      <c r="AA41" s="485" t="s">
        <v>19</v>
      </c>
      <c r="AB41" s="484">
        <v>0</v>
      </c>
      <c r="AC41" s="490">
        <v>0</v>
      </c>
      <c r="AD41" s="491">
        <v>3750</v>
      </c>
      <c r="AE41" s="497">
        <v>0</v>
      </c>
      <c r="AF41" s="498">
        <v>0</v>
      </c>
      <c r="AG41" s="797"/>
      <c r="AH41" s="401">
        <f t="shared" si="40"/>
        <v>1</v>
      </c>
      <c r="AI41" s="378">
        <f t="shared" si="41"/>
        <v>40</v>
      </c>
      <c r="AJ41" s="379">
        <f t="shared" si="42"/>
        <v>1</v>
      </c>
      <c r="AK41" s="380">
        <f t="shared" si="43"/>
        <v>40</v>
      </c>
      <c r="AL41" s="377">
        <f t="shared" si="44"/>
        <v>1</v>
      </c>
      <c r="AM41" s="380">
        <f t="shared" si="45"/>
        <v>40</v>
      </c>
      <c r="AN41" s="381" t="str">
        <f t="shared" si="46"/>
        <v>80-100%</v>
      </c>
      <c r="AO41" s="377">
        <f t="shared" si="47"/>
        <v>0</v>
      </c>
      <c r="AP41" s="382">
        <f t="shared" si="48"/>
        <v>0</v>
      </c>
      <c r="AQ41" s="380">
        <f t="shared" si="49"/>
        <v>0.1</v>
      </c>
      <c r="AR41" s="380">
        <f t="shared" si="50"/>
        <v>0</v>
      </c>
      <c r="AS41" s="380">
        <f t="shared" si="51"/>
        <v>0</v>
      </c>
      <c r="AT41" s="501">
        <v>1</v>
      </c>
      <c r="AU41" s="502">
        <f t="shared" si="52"/>
        <v>40</v>
      </c>
      <c r="AV41" s="491"/>
      <c r="AW41" s="747">
        <v>6</v>
      </c>
      <c r="AX41" s="468">
        <v>0</v>
      </c>
      <c r="AY41" s="468"/>
      <c r="AZ41" s="468">
        <v>8</v>
      </c>
      <c r="BA41" s="468"/>
      <c r="BB41" s="468" t="s">
        <v>289</v>
      </c>
      <c r="BC41" s="383">
        <f t="shared" si="53"/>
        <v>1</v>
      </c>
      <c r="BD41" s="380">
        <f t="shared" si="54"/>
        <v>40</v>
      </c>
      <c r="BE41" s="383">
        <f t="shared" si="55"/>
        <v>0</v>
      </c>
      <c r="BF41" s="380">
        <f t="shared" si="56"/>
        <v>0</v>
      </c>
      <c r="BG41" s="383">
        <f t="shared" si="57"/>
        <v>1</v>
      </c>
      <c r="BH41" s="380">
        <f t="shared" si="58"/>
        <v>40</v>
      </c>
      <c r="BI41" s="490">
        <v>0</v>
      </c>
      <c r="BJ41" s="506">
        <v>1</v>
      </c>
      <c r="BK41" s="384">
        <f t="shared" si="59"/>
        <v>40</v>
      </c>
      <c r="BL41" s="385">
        <f t="shared" si="60"/>
        <v>0</v>
      </c>
      <c r="BM41" s="468">
        <v>2</v>
      </c>
      <c r="BN41" s="468" t="s">
        <v>89</v>
      </c>
      <c r="BO41" s="383">
        <f t="shared" si="61"/>
        <v>1</v>
      </c>
      <c r="BP41" s="380">
        <f t="shared" si="62"/>
        <v>40</v>
      </c>
      <c r="BQ41" s="385">
        <f t="shared" si="63"/>
        <v>0</v>
      </c>
      <c r="BR41" s="501">
        <v>1</v>
      </c>
      <c r="BS41" s="380">
        <f t="shared" si="64"/>
        <v>40</v>
      </c>
      <c r="BT41" s="490">
        <v>2</v>
      </c>
      <c r="BU41" s="383">
        <f t="shared" si="65"/>
        <v>1</v>
      </c>
      <c r="BV41" s="385">
        <f t="shared" si="66"/>
        <v>0</v>
      </c>
      <c r="BW41" s="494">
        <v>1</v>
      </c>
      <c r="BX41" s="516"/>
      <c r="BY41" s="518">
        <v>41695</v>
      </c>
      <c r="BZ41" s="804"/>
      <c r="CA41" s="807"/>
      <c r="CB41" s="386" t="str">
        <f t="shared" si="67"/>
        <v>To be realised</v>
      </c>
      <c r="CC41" s="468">
        <v>8</v>
      </c>
      <c r="CD41" s="468">
        <v>10</v>
      </c>
      <c r="CE41" s="387">
        <f t="shared" si="68"/>
        <v>8</v>
      </c>
      <c r="CF41" s="388">
        <f t="shared" si="69"/>
        <v>0</v>
      </c>
      <c r="CG41" s="380">
        <f t="shared" si="70"/>
        <v>0</v>
      </c>
      <c r="CH41" s="403">
        <f t="shared" si="71"/>
        <v>8</v>
      </c>
      <c r="CI41" s="484"/>
      <c r="CJ41" s="494"/>
      <c r="CK41" s="405">
        <f t="shared" si="72"/>
        <v>0</v>
      </c>
      <c r="CL41" s="484">
        <v>2</v>
      </c>
      <c r="CM41" s="389" t="str">
        <f t="shared" si="73"/>
        <v>Excellent coverage</v>
      </c>
      <c r="CN41" s="490">
        <v>0</v>
      </c>
      <c r="CO41" s="485" t="s">
        <v>292</v>
      </c>
      <c r="CP41" s="525"/>
    </row>
    <row r="42" spans="2:94" s="40" customFormat="1" ht="30.75" customHeight="1" x14ac:dyDescent="0.2">
      <c r="B42" s="465" t="s">
        <v>107</v>
      </c>
      <c r="C42" s="466" t="s">
        <v>536</v>
      </c>
      <c r="D42" s="467" t="s">
        <v>256</v>
      </c>
      <c r="E42" s="466" t="s">
        <v>122</v>
      </c>
      <c r="F42" s="467">
        <v>96.286680000000004</v>
      </c>
      <c r="G42" s="467">
        <v>25.577559999999998</v>
      </c>
      <c r="H42" s="467" t="s">
        <v>448</v>
      </c>
      <c r="I42" s="467" t="s">
        <v>213</v>
      </c>
      <c r="J42" s="467"/>
      <c r="K42" s="467"/>
      <c r="L42" s="468">
        <v>41</v>
      </c>
      <c r="M42" s="468">
        <v>199</v>
      </c>
      <c r="N42" s="468"/>
      <c r="O42" s="468">
        <v>199</v>
      </c>
      <c r="P42" s="376" t="str">
        <f t="shared" si="37"/>
        <v>1. Small</v>
      </c>
      <c r="Q42" s="717" t="s">
        <v>253</v>
      </c>
      <c r="R42" s="469" t="s">
        <v>275</v>
      </c>
      <c r="S42" s="477" t="s">
        <v>275</v>
      </c>
      <c r="T42" s="398" t="str">
        <f t="shared" si="38"/>
        <v>Covered</v>
      </c>
      <c r="U42" s="478" t="s">
        <v>626</v>
      </c>
      <c r="V42" s="469" t="s">
        <v>252</v>
      </c>
      <c r="W42" s="395" t="str">
        <f t="shared" si="39"/>
        <v>Documented</v>
      </c>
      <c r="X42" s="484">
        <v>0</v>
      </c>
      <c r="Y42" s="468">
        <v>0</v>
      </c>
      <c r="Z42" s="801"/>
      <c r="AA42" s="485" t="s">
        <v>19</v>
      </c>
      <c r="AB42" s="484">
        <v>1</v>
      </c>
      <c r="AC42" s="490">
        <v>0</v>
      </c>
      <c r="AD42" s="491">
        <v>4800</v>
      </c>
      <c r="AE42" s="497">
        <v>0</v>
      </c>
      <c r="AF42" s="498">
        <v>0</v>
      </c>
      <c r="AG42" s="797"/>
      <c r="AH42" s="401">
        <f t="shared" si="40"/>
        <v>1</v>
      </c>
      <c r="AI42" s="378">
        <f t="shared" si="41"/>
        <v>199</v>
      </c>
      <c r="AJ42" s="379">
        <f t="shared" si="42"/>
        <v>1</v>
      </c>
      <c r="AK42" s="380">
        <f t="shared" si="43"/>
        <v>199</v>
      </c>
      <c r="AL42" s="377">
        <f t="shared" si="44"/>
        <v>1</v>
      </c>
      <c r="AM42" s="380">
        <f t="shared" si="45"/>
        <v>199</v>
      </c>
      <c r="AN42" s="381" t="str">
        <f t="shared" si="46"/>
        <v>80-100%</v>
      </c>
      <c r="AO42" s="377">
        <f t="shared" si="47"/>
        <v>0</v>
      </c>
      <c r="AP42" s="382">
        <f t="shared" si="48"/>
        <v>0</v>
      </c>
      <c r="AQ42" s="380">
        <f t="shared" si="49"/>
        <v>0</v>
      </c>
      <c r="AR42" s="380">
        <f t="shared" si="50"/>
        <v>0</v>
      </c>
      <c r="AS42" s="380">
        <f t="shared" si="51"/>
        <v>0</v>
      </c>
      <c r="AT42" s="501">
        <v>1</v>
      </c>
      <c r="AU42" s="502">
        <f t="shared" si="52"/>
        <v>199</v>
      </c>
      <c r="AV42" s="491"/>
      <c r="AW42" s="747">
        <v>0</v>
      </c>
      <c r="AX42" s="468">
        <v>5</v>
      </c>
      <c r="AY42" s="468"/>
      <c r="AZ42" s="468">
        <v>4</v>
      </c>
      <c r="BA42" s="468"/>
      <c r="BB42" s="468" t="s">
        <v>89</v>
      </c>
      <c r="BC42" s="383">
        <f t="shared" si="53"/>
        <v>0.90452261306532666</v>
      </c>
      <c r="BD42" s="380">
        <f t="shared" si="54"/>
        <v>180</v>
      </c>
      <c r="BE42" s="383">
        <f t="shared" si="55"/>
        <v>0.50251256281407031</v>
      </c>
      <c r="BF42" s="380">
        <f t="shared" si="56"/>
        <v>99.999999999999986</v>
      </c>
      <c r="BG42" s="383">
        <f t="shared" si="57"/>
        <v>0.4020100502512563</v>
      </c>
      <c r="BH42" s="380">
        <f t="shared" si="58"/>
        <v>80</v>
      </c>
      <c r="BI42" s="490">
        <v>0</v>
      </c>
      <c r="BJ42" s="506">
        <v>1</v>
      </c>
      <c r="BK42" s="384">
        <f t="shared" si="59"/>
        <v>199</v>
      </c>
      <c r="BL42" s="385">
        <f t="shared" si="60"/>
        <v>5.9499999999999993</v>
      </c>
      <c r="BM42" s="468">
        <v>3</v>
      </c>
      <c r="BN42" s="468" t="s">
        <v>89</v>
      </c>
      <c r="BO42" s="383">
        <f t="shared" si="61"/>
        <v>1</v>
      </c>
      <c r="BP42" s="380">
        <f t="shared" si="62"/>
        <v>199</v>
      </c>
      <c r="BQ42" s="385">
        <f t="shared" si="63"/>
        <v>0</v>
      </c>
      <c r="BR42" s="501">
        <v>1</v>
      </c>
      <c r="BS42" s="380">
        <f t="shared" si="64"/>
        <v>199</v>
      </c>
      <c r="BT42" s="490">
        <v>3</v>
      </c>
      <c r="BU42" s="383">
        <f t="shared" si="65"/>
        <v>1</v>
      </c>
      <c r="BV42" s="385">
        <f t="shared" si="66"/>
        <v>0</v>
      </c>
      <c r="BW42" s="494">
        <v>1</v>
      </c>
      <c r="BX42" s="516" t="s">
        <v>727</v>
      </c>
      <c r="BY42" s="518">
        <v>41695</v>
      </c>
      <c r="BZ42" s="804"/>
      <c r="CA42" s="807"/>
      <c r="CB42" s="386" t="str">
        <f t="shared" si="67"/>
        <v>To be realised</v>
      </c>
      <c r="CC42" s="468">
        <v>41</v>
      </c>
      <c r="CD42" s="468">
        <v>10</v>
      </c>
      <c r="CE42" s="387">
        <f t="shared" si="68"/>
        <v>41</v>
      </c>
      <c r="CF42" s="388">
        <f t="shared" si="69"/>
        <v>0</v>
      </c>
      <c r="CG42" s="380">
        <f t="shared" si="70"/>
        <v>0</v>
      </c>
      <c r="CH42" s="403">
        <f t="shared" si="71"/>
        <v>8</v>
      </c>
      <c r="CI42" s="484"/>
      <c r="CJ42" s="494"/>
      <c r="CK42" s="405">
        <f t="shared" si="72"/>
        <v>0</v>
      </c>
      <c r="CL42" s="484">
        <v>2</v>
      </c>
      <c r="CM42" s="389" t="str">
        <f t="shared" si="73"/>
        <v>Excellent coverage</v>
      </c>
      <c r="CN42" s="490">
        <v>0</v>
      </c>
      <c r="CO42" s="485" t="s">
        <v>292</v>
      </c>
      <c r="CP42" s="525"/>
    </row>
    <row r="43" spans="2:94" s="40" customFormat="1" ht="30.75" customHeight="1" x14ac:dyDescent="0.2">
      <c r="B43" s="465" t="s">
        <v>107</v>
      </c>
      <c r="C43" s="466" t="s">
        <v>537</v>
      </c>
      <c r="D43" s="467" t="s">
        <v>256</v>
      </c>
      <c r="E43" s="466" t="s">
        <v>123</v>
      </c>
      <c r="F43" s="467">
        <v>96.306910999999999</v>
      </c>
      <c r="G43" s="467">
        <v>25.599250000000001</v>
      </c>
      <c r="H43" s="467" t="s">
        <v>448</v>
      </c>
      <c r="I43" s="467" t="s">
        <v>213</v>
      </c>
      <c r="J43" s="467"/>
      <c r="K43" s="467"/>
      <c r="L43" s="468">
        <v>21</v>
      </c>
      <c r="M43" s="468">
        <v>77</v>
      </c>
      <c r="N43" s="468"/>
      <c r="O43" s="468">
        <v>77</v>
      </c>
      <c r="P43" s="376" t="str">
        <f t="shared" si="37"/>
        <v>1. Small</v>
      </c>
      <c r="Q43" s="717" t="s">
        <v>253</v>
      </c>
      <c r="R43" s="469" t="s">
        <v>275</v>
      </c>
      <c r="S43" s="477" t="s">
        <v>275</v>
      </c>
      <c r="T43" s="398" t="str">
        <f t="shared" si="38"/>
        <v>Covered</v>
      </c>
      <c r="U43" s="478">
        <v>42429</v>
      </c>
      <c r="V43" s="469" t="s">
        <v>252</v>
      </c>
      <c r="W43" s="395" t="str">
        <f t="shared" si="39"/>
        <v>Documented</v>
      </c>
      <c r="X43" s="484">
        <v>0</v>
      </c>
      <c r="Y43" s="468">
        <v>0</v>
      </c>
      <c r="Z43" s="801"/>
      <c r="AA43" s="485" t="s">
        <v>19</v>
      </c>
      <c r="AB43" s="484">
        <v>0</v>
      </c>
      <c r="AC43" s="490">
        <v>0</v>
      </c>
      <c r="AD43" s="491">
        <v>5600</v>
      </c>
      <c r="AE43" s="497">
        <v>0</v>
      </c>
      <c r="AF43" s="498">
        <v>0</v>
      </c>
      <c r="AG43" s="797"/>
      <c r="AH43" s="401">
        <f t="shared" si="40"/>
        <v>1</v>
      </c>
      <c r="AI43" s="378">
        <f t="shared" si="41"/>
        <v>77</v>
      </c>
      <c r="AJ43" s="379">
        <f t="shared" si="42"/>
        <v>1</v>
      </c>
      <c r="AK43" s="380">
        <f t="shared" si="43"/>
        <v>77</v>
      </c>
      <c r="AL43" s="377">
        <f t="shared" si="44"/>
        <v>1</v>
      </c>
      <c r="AM43" s="380">
        <f t="shared" si="45"/>
        <v>77</v>
      </c>
      <c r="AN43" s="381" t="str">
        <f t="shared" si="46"/>
        <v>80-100%</v>
      </c>
      <c r="AO43" s="377">
        <f t="shared" si="47"/>
        <v>0</v>
      </c>
      <c r="AP43" s="382">
        <f t="shared" si="48"/>
        <v>0</v>
      </c>
      <c r="AQ43" s="380">
        <f t="shared" si="49"/>
        <v>0.1925</v>
      </c>
      <c r="AR43" s="380">
        <f t="shared" si="50"/>
        <v>0</v>
      </c>
      <c r="AS43" s="380">
        <f t="shared" si="51"/>
        <v>0</v>
      </c>
      <c r="AT43" s="501">
        <v>1</v>
      </c>
      <c r="AU43" s="502">
        <f t="shared" si="52"/>
        <v>77</v>
      </c>
      <c r="AV43" s="491"/>
      <c r="AW43" s="747">
        <v>0</v>
      </c>
      <c r="AX43" s="468">
        <v>3</v>
      </c>
      <c r="AY43" s="468"/>
      <c r="AZ43" s="468">
        <v>1</v>
      </c>
      <c r="BA43" s="468"/>
      <c r="BB43" s="468" t="s">
        <v>289</v>
      </c>
      <c r="BC43" s="383">
        <f t="shared" si="53"/>
        <v>1</v>
      </c>
      <c r="BD43" s="380">
        <f t="shared" si="54"/>
        <v>77</v>
      </c>
      <c r="BE43" s="383">
        <f t="shared" si="55"/>
        <v>0.74025974025974028</v>
      </c>
      <c r="BF43" s="380">
        <f t="shared" si="56"/>
        <v>57</v>
      </c>
      <c r="BG43" s="383">
        <f t="shared" si="57"/>
        <v>0.25974025974025972</v>
      </c>
      <c r="BH43" s="380">
        <f t="shared" si="58"/>
        <v>19.999999999999996</v>
      </c>
      <c r="BI43" s="490">
        <v>0</v>
      </c>
      <c r="BJ43" s="506">
        <v>1</v>
      </c>
      <c r="BK43" s="384">
        <f t="shared" si="59"/>
        <v>77</v>
      </c>
      <c r="BL43" s="385">
        <f t="shared" si="60"/>
        <v>2.85</v>
      </c>
      <c r="BM43" s="468">
        <v>2</v>
      </c>
      <c r="BN43" s="468" t="s">
        <v>290</v>
      </c>
      <c r="BO43" s="383">
        <f t="shared" si="61"/>
        <v>1</v>
      </c>
      <c r="BP43" s="380">
        <f t="shared" si="62"/>
        <v>77</v>
      </c>
      <c r="BQ43" s="385">
        <f t="shared" si="63"/>
        <v>0</v>
      </c>
      <c r="BR43" s="501">
        <v>1</v>
      </c>
      <c r="BS43" s="380">
        <f t="shared" si="64"/>
        <v>77</v>
      </c>
      <c r="BT43" s="490">
        <v>3</v>
      </c>
      <c r="BU43" s="383">
        <f t="shared" si="65"/>
        <v>1</v>
      </c>
      <c r="BV43" s="385">
        <f t="shared" si="66"/>
        <v>0</v>
      </c>
      <c r="BW43" s="494">
        <v>1</v>
      </c>
      <c r="BX43" s="516" t="s">
        <v>721</v>
      </c>
      <c r="BY43" s="518">
        <v>41695</v>
      </c>
      <c r="BZ43" s="804"/>
      <c r="CA43" s="807"/>
      <c r="CB43" s="386" t="str">
        <f t="shared" si="67"/>
        <v>To be realised</v>
      </c>
      <c r="CC43" s="468">
        <v>21</v>
      </c>
      <c r="CD43" s="468">
        <v>10</v>
      </c>
      <c r="CE43" s="387">
        <f t="shared" si="68"/>
        <v>21</v>
      </c>
      <c r="CF43" s="388">
        <f t="shared" si="69"/>
        <v>0</v>
      </c>
      <c r="CG43" s="380">
        <f t="shared" si="70"/>
        <v>0</v>
      </c>
      <c r="CH43" s="403">
        <f t="shared" si="71"/>
        <v>8</v>
      </c>
      <c r="CI43" s="484"/>
      <c r="CJ43" s="494">
        <v>0</v>
      </c>
      <c r="CK43" s="405">
        <f t="shared" si="72"/>
        <v>0</v>
      </c>
      <c r="CL43" s="484">
        <v>2</v>
      </c>
      <c r="CM43" s="389" t="str">
        <f t="shared" si="73"/>
        <v>Excellent coverage</v>
      </c>
      <c r="CN43" s="490">
        <v>0</v>
      </c>
      <c r="CO43" s="485" t="s">
        <v>292</v>
      </c>
      <c r="CP43" s="525"/>
    </row>
    <row r="44" spans="2:94" s="40" customFormat="1" ht="30.75" customHeight="1" x14ac:dyDescent="0.2">
      <c r="B44" s="465" t="s">
        <v>730</v>
      </c>
      <c r="C44" s="466" t="s">
        <v>796</v>
      </c>
      <c r="D44" s="467" t="s">
        <v>267</v>
      </c>
      <c r="E44" s="466" t="s">
        <v>797</v>
      </c>
      <c r="F44" s="467"/>
      <c r="G44" s="467"/>
      <c r="H44" s="467" t="s">
        <v>448</v>
      </c>
      <c r="I44" s="467" t="s">
        <v>213</v>
      </c>
      <c r="J44" s="467"/>
      <c r="K44" s="467"/>
      <c r="L44" s="468">
        <v>44</v>
      </c>
      <c r="M44" s="468">
        <v>223</v>
      </c>
      <c r="N44" s="468"/>
      <c r="O44" s="468">
        <v>223</v>
      </c>
      <c r="P44" s="376" t="str">
        <f t="shared" si="37"/>
        <v>1. Small</v>
      </c>
      <c r="Q44" s="717" t="s">
        <v>808</v>
      </c>
      <c r="R44" s="469" t="s">
        <v>234</v>
      </c>
      <c r="S44" s="477" t="s">
        <v>232</v>
      </c>
      <c r="T44" s="398" t="str">
        <f t="shared" si="38"/>
        <v>Covered</v>
      </c>
      <c r="U44" s="478">
        <v>42521</v>
      </c>
      <c r="V44" s="469" t="s">
        <v>252</v>
      </c>
      <c r="W44" s="395" t="str">
        <f t="shared" si="39"/>
        <v>Documented</v>
      </c>
      <c r="X44" s="484">
        <v>0</v>
      </c>
      <c r="Y44" s="468">
        <v>0</v>
      </c>
      <c r="Z44" s="801"/>
      <c r="AA44" s="485" t="s">
        <v>19</v>
      </c>
      <c r="AB44" s="484">
        <v>2</v>
      </c>
      <c r="AC44" s="490">
        <v>0</v>
      </c>
      <c r="AD44" s="491">
        <v>4000</v>
      </c>
      <c r="AE44" s="497">
        <v>1</v>
      </c>
      <c r="AF44" s="498">
        <v>1</v>
      </c>
      <c r="AG44" s="797"/>
      <c r="AH44" s="401">
        <f t="shared" si="40"/>
        <v>1</v>
      </c>
      <c r="AI44" s="378">
        <f t="shared" si="41"/>
        <v>223</v>
      </c>
      <c r="AJ44" s="379">
        <f t="shared" si="42"/>
        <v>1</v>
      </c>
      <c r="AK44" s="380">
        <f t="shared" si="43"/>
        <v>223</v>
      </c>
      <c r="AL44" s="377">
        <f t="shared" si="44"/>
        <v>1</v>
      </c>
      <c r="AM44" s="380">
        <f t="shared" si="45"/>
        <v>223</v>
      </c>
      <c r="AN44" s="381" t="str">
        <f t="shared" si="46"/>
        <v>80-100%</v>
      </c>
      <c r="AO44" s="377">
        <f t="shared" si="47"/>
        <v>0</v>
      </c>
      <c r="AP44" s="382">
        <f t="shared" si="48"/>
        <v>0</v>
      </c>
      <c r="AQ44" s="380">
        <f t="shared" si="49"/>
        <v>0</v>
      </c>
      <c r="AR44" s="380">
        <f t="shared" si="50"/>
        <v>44</v>
      </c>
      <c r="AS44" s="380">
        <f t="shared" si="51"/>
        <v>223</v>
      </c>
      <c r="AT44" s="501">
        <v>1</v>
      </c>
      <c r="AU44" s="502">
        <f t="shared" si="52"/>
        <v>223</v>
      </c>
      <c r="AV44" s="491"/>
      <c r="AW44" s="747">
        <v>20</v>
      </c>
      <c r="AX44" s="468">
        <v>0</v>
      </c>
      <c r="AY44" s="468"/>
      <c r="AZ44" s="468">
        <v>10</v>
      </c>
      <c r="BA44" s="468"/>
      <c r="BB44" s="468" t="s">
        <v>290</v>
      </c>
      <c r="BC44" s="383">
        <f t="shared" si="53"/>
        <v>0.89686098654708524</v>
      </c>
      <c r="BD44" s="380">
        <f t="shared" si="54"/>
        <v>200</v>
      </c>
      <c r="BE44" s="383">
        <f t="shared" si="55"/>
        <v>0</v>
      </c>
      <c r="BF44" s="380">
        <f t="shared" si="56"/>
        <v>0</v>
      </c>
      <c r="BG44" s="383">
        <f t="shared" si="57"/>
        <v>0.89686098654708524</v>
      </c>
      <c r="BH44" s="380">
        <f t="shared" si="58"/>
        <v>200</v>
      </c>
      <c r="BI44" s="490">
        <v>0</v>
      </c>
      <c r="BJ44" s="506">
        <v>1</v>
      </c>
      <c r="BK44" s="384">
        <f t="shared" si="59"/>
        <v>223</v>
      </c>
      <c r="BL44" s="385">
        <f t="shared" si="60"/>
        <v>1.1500000000000004</v>
      </c>
      <c r="BM44" s="468">
        <v>0</v>
      </c>
      <c r="BN44" s="468"/>
      <c r="BO44" s="383">
        <f t="shared" si="61"/>
        <v>0</v>
      </c>
      <c r="BP44" s="380">
        <f t="shared" si="62"/>
        <v>0</v>
      </c>
      <c r="BQ44" s="385">
        <f t="shared" si="63"/>
        <v>2.23</v>
      </c>
      <c r="BR44" s="506">
        <v>0</v>
      </c>
      <c r="BS44" s="380">
        <f t="shared" si="64"/>
        <v>0</v>
      </c>
      <c r="BT44" s="468">
        <v>4</v>
      </c>
      <c r="BU44" s="383">
        <f t="shared" si="65"/>
        <v>1</v>
      </c>
      <c r="BV44" s="385">
        <f t="shared" si="66"/>
        <v>0</v>
      </c>
      <c r="BW44" s="498">
        <v>1</v>
      </c>
      <c r="BX44" s="516"/>
      <c r="BY44" s="518">
        <v>42125</v>
      </c>
      <c r="BZ44" s="804"/>
      <c r="CA44" s="807"/>
      <c r="CB44" s="386">
        <f t="shared" si="67"/>
        <v>42490</v>
      </c>
      <c r="CC44" s="468">
        <v>46</v>
      </c>
      <c r="CD44" s="468">
        <v>4</v>
      </c>
      <c r="CE44" s="387">
        <f t="shared" si="68"/>
        <v>0</v>
      </c>
      <c r="CF44" s="388">
        <f t="shared" si="69"/>
        <v>1</v>
      </c>
      <c r="CG44" s="380">
        <f t="shared" si="70"/>
        <v>223</v>
      </c>
      <c r="CH44" s="403">
        <f t="shared" si="71"/>
        <v>0</v>
      </c>
      <c r="CI44" s="492"/>
      <c r="CJ44" s="498">
        <v>0</v>
      </c>
      <c r="CK44" s="405">
        <f t="shared" si="72"/>
        <v>0</v>
      </c>
      <c r="CL44" s="492">
        <v>2</v>
      </c>
      <c r="CM44" s="389" t="str">
        <f t="shared" si="73"/>
        <v>Excellent coverage</v>
      </c>
      <c r="CN44" s="468">
        <v>0</v>
      </c>
      <c r="CO44" s="485" t="s">
        <v>292</v>
      </c>
      <c r="CP44" s="525"/>
    </row>
    <row r="45" spans="2:94" s="40" customFormat="1" ht="30.75" customHeight="1" x14ac:dyDescent="0.2">
      <c r="B45" s="465" t="s">
        <v>730</v>
      </c>
      <c r="C45" s="466" t="s">
        <v>544</v>
      </c>
      <c r="D45" s="467" t="s">
        <v>267</v>
      </c>
      <c r="E45" s="466" t="s">
        <v>226</v>
      </c>
      <c r="F45" s="467">
        <v>98.128</v>
      </c>
      <c r="G45" s="467">
        <v>23.24</v>
      </c>
      <c r="H45" s="467" t="s">
        <v>448</v>
      </c>
      <c r="I45" s="467" t="s">
        <v>213</v>
      </c>
      <c r="J45" s="467"/>
      <c r="K45" s="467"/>
      <c r="L45" s="468">
        <v>42</v>
      </c>
      <c r="M45" s="468">
        <v>258</v>
      </c>
      <c r="N45" s="468"/>
      <c r="O45" s="468">
        <v>258</v>
      </c>
      <c r="P45" s="376" t="str">
        <f t="shared" si="37"/>
        <v>1. Small</v>
      </c>
      <c r="Q45" s="717" t="s">
        <v>808</v>
      </c>
      <c r="R45" s="469" t="s">
        <v>281</v>
      </c>
      <c r="S45" s="477" t="s">
        <v>232</v>
      </c>
      <c r="T45" s="398" t="str">
        <f t="shared" si="38"/>
        <v>Covered</v>
      </c>
      <c r="U45" s="478">
        <v>42460</v>
      </c>
      <c r="V45" s="469" t="s">
        <v>252</v>
      </c>
      <c r="W45" s="395" t="str">
        <f t="shared" si="39"/>
        <v>Documented</v>
      </c>
      <c r="X45" s="484">
        <v>0</v>
      </c>
      <c r="Y45" s="468">
        <v>0</v>
      </c>
      <c r="Z45" s="801"/>
      <c r="AA45" s="485" t="s">
        <v>19</v>
      </c>
      <c r="AB45" s="484">
        <v>0</v>
      </c>
      <c r="AC45" s="490">
        <v>0</v>
      </c>
      <c r="AD45" s="491">
        <v>17000</v>
      </c>
      <c r="AE45" s="497">
        <v>0</v>
      </c>
      <c r="AF45" s="498">
        <v>0</v>
      </c>
      <c r="AG45" s="797"/>
      <c r="AH45" s="401">
        <f t="shared" si="40"/>
        <v>1</v>
      </c>
      <c r="AI45" s="378">
        <f t="shared" si="41"/>
        <v>258</v>
      </c>
      <c r="AJ45" s="379">
        <f t="shared" si="42"/>
        <v>1</v>
      </c>
      <c r="AK45" s="380">
        <f t="shared" si="43"/>
        <v>258</v>
      </c>
      <c r="AL45" s="377">
        <f t="shared" si="44"/>
        <v>1</v>
      </c>
      <c r="AM45" s="380">
        <f t="shared" si="45"/>
        <v>258</v>
      </c>
      <c r="AN45" s="381" t="str">
        <f t="shared" si="46"/>
        <v>80-100%</v>
      </c>
      <c r="AO45" s="377">
        <f t="shared" si="47"/>
        <v>0</v>
      </c>
      <c r="AP45" s="382">
        <f t="shared" si="48"/>
        <v>0</v>
      </c>
      <c r="AQ45" s="380">
        <f t="shared" si="49"/>
        <v>0.64500000000000002</v>
      </c>
      <c r="AR45" s="380">
        <f t="shared" si="50"/>
        <v>0</v>
      </c>
      <c r="AS45" s="380">
        <f t="shared" si="51"/>
        <v>0</v>
      </c>
      <c r="AT45" s="501">
        <v>1</v>
      </c>
      <c r="AU45" s="502">
        <f t="shared" si="52"/>
        <v>258</v>
      </c>
      <c r="AV45" s="491"/>
      <c r="AW45" s="747">
        <v>10</v>
      </c>
      <c r="AX45" s="468">
        <v>27</v>
      </c>
      <c r="AY45" s="468"/>
      <c r="AZ45" s="468">
        <v>0</v>
      </c>
      <c r="BA45" s="468"/>
      <c r="BB45" s="468" t="s">
        <v>89</v>
      </c>
      <c r="BC45" s="383">
        <f t="shared" si="53"/>
        <v>1</v>
      </c>
      <c r="BD45" s="380">
        <f t="shared" si="54"/>
        <v>258</v>
      </c>
      <c r="BE45" s="383">
        <f t="shared" si="55"/>
        <v>1</v>
      </c>
      <c r="BF45" s="380">
        <f t="shared" si="56"/>
        <v>258</v>
      </c>
      <c r="BG45" s="383">
        <f t="shared" si="57"/>
        <v>0</v>
      </c>
      <c r="BH45" s="380">
        <f t="shared" si="58"/>
        <v>0</v>
      </c>
      <c r="BI45" s="490">
        <v>0</v>
      </c>
      <c r="BJ45" s="506">
        <v>1</v>
      </c>
      <c r="BK45" s="384">
        <f t="shared" si="59"/>
        <v>258</v>
      </c>
      <c r="BL45" s="385">
        <f t="shared" si="60"/>
        <v>12.9</v>
      </c>
      <c r="BM45" s="468">
        <v>0</v>
      </c>
      <c r="BN45" s="468"/>
      <c r="BO45" s="383">
        <f t="shared" si="61"/>
        <v>0</v>
      </c>
      <c r="BP45" s="380">
        <f t="shared" si="62"/>
        <v>0</v>
      </c>
      <c r="BQ45" s="385">
        <f t="shared" si="63"/>
        <v>2.58</v>
      </c>
      <c r="BR45" s="506">
        <v>0</v>
      </c>
      <c r="BS45" s="380">
        <f t="shared" si="64"/>
        <v>0</v>
      </c>
      <c r="BT45" s="468">
        <v>0</v>
      </c>
      <c r="BU45" s="383">
        <f t="shared" si="65"/>
        <v>0</v>
      </c>
      <c r="BV45" s="385">
        <f t="shared" si="66"/>
        <v>2.58</v>
      </c>
      <c r="BW45" s="498">
        <v>0.7</v>
      </c>
      <c r="BX45" s="516" t="s">
        <v>885</v>
      </c>
      <c r="BY45" s="518"/>
      <c r="BZ45" s="804"/>
      <c r="CA45" s="807"/>
      <c r="CB45" s="386" t="str">
        <f t="shared" si="67"/>
        <v>To be realised</v>
      </c>
      <c r="CC45" s="468">
        <v>0</v>
      </c>
      <c r="CD45" s="468">
        <v>5</v>
      </c>
      <c r="CE45" s="387">
        <f t="shared" si="68"/>
        <v>42</v>
      </c>
      <c r="CF45" s="388">
        <f t="shared" si="69"/>
        <v>0</v>
      </c>
      <c r="CG45" s="380">
        <f t="shared" si="70"/>
        <v>0</v>
      </c>
      <c r="CH45" s="403" t="str">
        <f t="shared" si="71"/>
        <v>Column BN to be completed</v>
      </c>
      <c r="CI45" s="492" t="s">
        <v>901</v>
      </c>
      <c r="CJ45" s="498">
        <v>0</v>
      </c>
      <c r="CK45" s="405">
        <f t="shared" si="72"/>
        <v>0</v>
      </c>
      <c r="CL45" s="492">
        <v>1</v>
      </c>
      <c r="CM45" s="389" t="str">
        <f t="shared" si="73"/>
        <v>Excellent coverage</v>
      </c>
      <c r="CN45" s="468">
        <v>0</v>
      </c>
      <c r="CO45" s="485" t="s">
        <v>292</v>
      </c>
      <c r="CP45" s="525"/>
    </row>
    <row r="46" spans="2:94" s="40" customFormat="1" ht="30.75" customHeight="1" x14ac:dyDescent="0.2">
      <c r="B46" s="465" t="s">
        <v>124</v>
      </c>
      <c r="C46" s="466" t="s">
        <v>538</v>
      </c>
      <c r="D46" s="467" t="s">
        <v>313</v>
      </c>
      <c r="E46" s="466" t="s">
        <v>125</v>
      </c>
      <c r="F46" s="467">
        <v>98.144502500000002</v>
      </c>
      <c r="G46" s="467">
        <v>26.890058</v>
      </c>
      <c r="H46" s="467" t="s">
        <v>448</v>
      </c>
      <c r="I46" s="467" t="s">
        <v>213</v>
      </c>
      <c r="J46" s="467"/>
      <c r="K46" s="467"/>
      <c r="L46" s="468">
        <v>11</v>
      </c>
      <c r="M46" s="468">
        <v>17</v>
      </c>
      <c r="N46" s="468"/>
      <c r="O46" s="468">
        <v>17</v>
      </c>
      <c r="P46" s="376" t="str">
        <f t="shared" si="37"/>
        <v>1. Small</v>
      </c>
      <c r="Q46" s="717"/>
      <c r="R46" s="469"/>
      <c r="S46" s="477" t="s">
        <v>299</v>
      </c>
      <c r="T46" s="398" t="str">
        <f t="shared" si="38"/>
        <v>Not covered</v>
      </c>
      <c r="U46" s="478">
        <v>42429</v>
      </c>
      <c r="V46" s="469" t="s">
        <v>254</v>
      </c>
      <c r="W46" s="395" t="str">
        <f t="shared" si="39"/>
        <v>Not documented</v>
      </c>
      <c r="X46" s="484">
        <v>0</v>
      </c>
      <c r="Y46" s="468">
        <v>0</v>
      </c>
      <c r="Z46" s="801"/>
      <c r="AA46" s="485" t="s">
        <v>19</v>
      </c>
      <c r="AB46" s="484">
        <v>0</v>
      </c>
      <c r="AC46" s="490">
        <v>0</v>
      </c>
      <c r="AD46" s="491">
        <v>0</v>
      </c>
      <c r="AE46" s="497">
        <v>0</v>
      </c>
      <c r="AF46" s="498">
        <v>0</v>
      </c>
      <c r="AG46" s="797"/>
      <c r="AH46" s="401">
        <f t="shared" si="40"/>
        <v>0</v>
      </c>
      <c r="AI46" s="378">
        <f t="shared" si="41"/>
        <v>0</v>
      </c>
      <c r="AJ46" s="379">
        <f t="shared" si="42"/>
        <v>0</v>
      </c>
      <c r="AK46" s="380">
        <f t="shared" si="43"/>
        <v>0</v>
      </c>
      <c r="AL46" s="377">
        <f t="shared" si="44"/>
        <v>0</v>
      </c>
      <c r="AM46" s="380">
        <f t="shared" si="45"/>
        <v>0</v>
      </c>
      <c r="AN46" s="381" t="str">
        <f t="shared" si="46"/>
        <v>0-10%</v>
      </c>
      <c r="AO46" s="377">
        <f t="shared" si="47"/>
        <v>0</v>
      </c>
      <c r="AP46" s="382">
        <f t="shared" si="48"/>
        <v>0</v>
      </c>
      <c r="AQ46" s="380">
        <f t="shared" si="49"/>
        <v>4.2500000000000003E-2</v>
      </c>
      <c r="AR46" s="380">
        <f t="shared" si="50"/>
        <v>0</v>
      </c>
      <c r="AS46" s="380">
        <f t="shared" si="51"/>
        <v>0</v>
      </c>
      <c r="AT46" s="501">
        <v>0</v>
      </c>
      <c r="AU46" s="502">
        <f t="shared" si="52"/>
        <v>0</v>
      </c>
      <c r="AV46" s="491" t="s">
        <v>703</v>
      </c>
      <c r="AW46" s="747">
        <v>0</v>
      </c>
      <c r="AX46" s="468">
        <v>0</v>
      </c>
      <c r="AY46" s="468"/>
      <c r="AZ46" s="468">
        <v>0</v>
      </c>
      <c r="BA46" s="468"/>
      <c r="BB46" s="468" t="s">
        <v>89</v>
      </c>
      <c r="BC46" s="383">
        <f t="shared" si="53"/>
        <v>0</v>
      </c>
      <c r="BD46" s="380">
        <f t="shared" si="54"/>
        <v>0</v>
      </c>
      <c r="BE46" s="383">
        <f t="shared" si="55"/>
        <v>0</v>
      </c>
      <c r="BF46" s="380">
        <f t="shared" si="56"/>
        <v>0</v>
      </c>
      <c r="BG46" s="383">
        <f t="shared" si="57"/>
        <v>0</v>
      </c>
      <c r="BH46" s="380">
        <f t="shared" si="58"/>
        <v>0</v>
      </c>
      <c r="BI46" s="490">
        <v>0</v>
      </c>
      <c r="BJ46" s="506">
        <v>0</v>
      </c>
      <c r="BK46" s="384">
        <f t="shared" si="59"/>
        <v>0</v>
      </c>
      <c r="BL46" s="385">
        <f t="shared" si="60"/>
        <v>0.85</v>
      </c>
      <c r="BM46" s="468">
        <v>0</v>
      </c>
      <c r="BN46" s="468" t="s">
        <v>89</v>
      </c>
      <c r="BO46" s="383">
        <f t="shared" si="61"/>
        <v>0</v>
      </c>
      <c r="BP46" s="380">
        <f t="shared" si="62"/>
        <v>0</v>
      </c>
      <c r="BQ46" s="385">
        <f t="shared" si="63"/>
        <v>0.17</v>
      </c>
      <c r="BR46" s="501">
        <v>0</v>
      </c>
      <c r="BS46" s="380">
        <f t="shared" si="64"/>
        <v>0</v>
      </c>
      <c r="BT46" s="490">
        <v>0</v>
      </c>
      <c r="BU46" s="383">
        <f t="shared" si="65"/>
        <v>0</v>
      </c>
      <c r="BV46" s="385">
        <f t="shared" si="66"/>
        <v>0.17</v>
      </c>
      <c r="BW46" s="494">
        <v>0</v>
      </c>
      <c r="BX46" s="516"/>
      <c r="BY46" s="518"/>
      <c r="BZ46" s="804"/>
      <c r="CA46" s="807"/>
      <c r="CB46" s="386" t="str">
        <f t="shared" si="67"/>
        <v>To be realised</v>
      </c>
      <c r="CC46" s="468">
        <v>0</v>
      </c>
      <c r="CD46" s="468">
        <v>0</v>
      </c>
      <c r="CE46" s="387">
        <f t="shared" si="68"/>
        <v>11</v>
      </c>
      <c r="CF46" s="388">
        <f t="shared" si="69"/>
        <v>0</v>
      </c>
      <c r="CG46" s="380">
        <f t="shared" si="70"/>
        <v>0</v>
      </c>
      <c r="CH46" s="403" t="str">
        <f t="shared" si="71"/>
        <v>Column BN to be completed</v>
      </c>
      <c r="CI46" s="484"/>
      <c r="CJ46" s="494">
        <v>0</v>
      </c>
      <c r="CK46" s="405">
        <f t="shared" si="72"/>
        <v>0</v>
      </c>
      <c r="CL46" s="484">
        <v>0</v>
      </c>
      <c r="CM46" s="389" t="str">
        <f t="shared" si="73"/>
        <v>No coverage</v>
      </c>
      <c r="CN46" s="490">
        <v>0</v>
      </c>
      <c r="CO46" s="485" t="s">
        <v>292</v>
      </c>
      <c r="CP46" s="525"/>
    </row>
    <row r="47" spans="2:94" s="40" customFormat="1" ht="30.75" customHeight="1" x14ac:dyDescent="0.2">
      <c r="B47" s="465" t="s">
        <v>200</v>
      </c>
      <c r="C47" s="466" t="s">
        <v>539</v>
      </c>
      <c r="D47" s="467" t="s">
        <v>267</v>
      </c>
      <c r="E47" s="466" t="s">
        <v>201</v>
      </c>
      <c r="F47" s="467">
        <v>97.848529999999997</v>
      </c>
      <c r="G47" s="467">
        <v>23.4008</v>
      </c>
      <c r="H47" s="467" t="s">
        <v>448</v>
      </c>
      <c r="I47" s="467" t="s">
        <v>213</v>
      </c>
      <c r="J47" s="467"/>
      <c r="K47" s="467"/>
      <c r="L47" s="468">
        <v>86</v>
      </c>
      <c r="M47" s="468">
        <v>468</v>
      </c>
      <c r="N47" s="468"/>
      <c r="O47" s="468">
        <v>468</v>
      </c>
      <c r="P47" s="376" t="str">
        <f t="shared" si="37"/>
        <v>2. Medium</v>
      </c>
      <c r="Q47" s="717" t="s">
        <v>808</v>
      </c>
      <c r="R47" s="469" t="s">
        <v>234</v>
      </c>
      <c r="S47" s="477" t="s">
        <v>299</v>
      </c>
      <c r="T47" s="398" t="str">
        <f t="shared" si="38"/>
        <v>Not covered</v>
      </c>
      <c r="U47" s="478" t="s">
        <v>626</v>
      </c>
      <c r="V47" s="469" t="s">
        <v>252</v>
      </c>
      <c r="W47" s="395" t="str">
        <f t="shared" si="39"/>
        <v>Documented</v>
      </c>
      <c r="X47" s="484">
        <v>0</v>
      </c>
      <c r="Y47" s="468">
        <v>0</v>
      </c>
      <c r="Z47" s="801"/>
      <c r="AA47" s="485" t="s">
        <v>19</v>
      </c>
      <c r="AB47" s="484">
        <v>0</v>
      </c>
      <c r="AC47" s="490">
        <v>0</v>
      </c>
      <c r="AD47" s="491">
        <v>86400</v>
      </c>
      <c r="AE47" s="497">
        <v>1</v>
      </c>
      <c r="AF47" s="498">
        <v>0</v>
      </c>
      <c r="AG47" s="797"/>
      <c r="AH47" s="401">
        <f t="shared" si="40"/>
        <v>1</v>
      </c>
      <c r="AI47" s="378">
        <f t="shared" si="41"/>
        <v>468</v>
      </c>
      <c r="AJ47" s="379">
        <f t="shared" si="42"/>
        <v>1</v>
      </c>
      <c r="AK47" s="380">
        <f t="shared" si="43"/>
        <v>468</v>
      </c>
      <c r="AL47" s="377">
        <f t="shared" si="44"/>
        <v>1</v>
      </c>
      <c r="AM47" s="380">
        <f t="shared" si="45"/>
        <v>468</v>
      </c>
      <c r="AN47" s="381" t="str">
        <f t="shared" si="46"/>
        <v>80-100%</v>
      </c>
      <c r="AO47" s="377">
        <f t="shared" si="47"/>
        <v>0</v>
      </c>
      <c r="AP47" s="382">
        <f t="shared" si="48"/>
        <v>0</v>
      </c>
      <c r="AQ47" s="380">
        <f t="shared" si="49"/>
        <v>1.17</v>
      </c>
      <c r="AR47" s="380">
        <f t="shared" si="50"/>
        <v>0</v>
      </c>
      <c r="AS47" s="380">
        <f t="shared" si="51"/>
        <v>468</v>
      </c>
      <c r="AT47" s="501">
        <v>1</v>
      </c>
      <c r="AU47" s="502">
        <f t="shared" si="52"/>
        <v>468</v>
      </c>
      <c r="AV47" s="491" t="s">
        <v>810</v>
      </c>
      <c r="AW47" s="747">
        <v>0</v>
      </c>
      <c r="AX47" s="468">
        <v>86</v>
      </c>
      <c r="AY47" s="468"/>
      <c r="AZ47" s="468">
        <v>0</v>
      </c>
      <c r="BA47" s="468"/>
      <c r="BB47" s="468" t="s">
        <v>289</v>
      </c>
      <c r="BC47" s="383">
        <f t="shared" si="53"/>
        <v>1</v>
      </c>
      <c r="BD47" s="380">
        <f t="shared" si="54"/>
        <v>468</v>
      </c>
      <c r="BE47" s="383">
        <f t="shared" si="55"/>
        <v>1</v>
      </c>
      <c r="BF47" s="380">
        <f t="shared" si="56"/>
        <v>468</v>
      </c>
      <c r="BG47" s="383">
        <f t="shared" si="57"/>
        <v>0</v>
      </c>
      <c r="BH47" s="380">
        <f t="shared" si="58"/>
        <v>0</v>
      </c>
      <c r="BI47" s="490">
        <v>2</v>
      </c>
      <c r="BJ47" s="506">
        <v>1</v>
      </c>
      <c r="BK47" s="384">
        <f t="shared" si="59"/>
        <v>468</v>
      </c>
      <c r="BL47" s="385">
        <f t="shared" si="60"/>
        <v>25.4</v>
      </c>
      <c r="BM47" s="468">
        <v>1</v>
      </c>
      <c r="BN47" s="468" t="s">
        <v>89</v>
      </c>
      <c r="BO47" s="383">
        <f t="shared" si="61"/>
        <v>0.21367521367521367</v>
      </c>
      <c r="BP47" s="380">
        <f t="shared" si="62"/>
        <v>100</v>
      </c>
      <c r="BQ47" s="385">
        <f t="shared" si="63"/>
        <v>3.6799999999999997</v>
      </c>
      <c r="BR47" s="506">
        <v>0.31</v>
      </c>
      <c r="BS47" s="380">
        <f t="shared" si="64"/>
        <v>145.08000000000001</v>
      </c>
      <c r="BT47" s="468">
        <v>0</v>
      </c>
      <c r="BU47" s="383">
        <f t="shared" si="65"/>
        <v>0</v>
      </c>
      <c r="BV47" s="385">
        <f t="shared" si="66"/>
        <v>4.68</v>
      </c>
      <c r="BW47" s="498">
        <v>0.7</v>
      </c>
      <c r="BX47" s="516" t="s">
        <v>886</v>
      </c>
      <c r="BY47" s="518">
        <v>42125</v>
      </c>
      <c r="BZ47" s="804"/>
      <c r="CA47" s="807"/>
      <c r="CB47" s="386">
        <f t="shared" si="67"/>
        <v>42490</v>
      </c>
      <c r="CC47" s="468">
        <v>82</v>
      </c>
      <c r="CD47" s="468">
        <v>5</v>
      </c>
      <c r="CE47" s="387">
        <f t="shared" si="68"/>
        <v>4</v>
      </c>
      <c r="CF47" s="388">
        <f t="shared" si="69"/>
        <v>0.95348837209302328</v>
      </c>
      <c r="CG47" s="380">
        <f t="shared" si="70"/>
        <v>446.23255813953489</v>
      </c>
      <c r="CH47" s="403">
        <f t="shared" si="71"/>
        <v>0</v>
      </c>
      <c r="CI47" s="492"/>
      <c r="CJ47" s="498"/>
      <c r="CK47" s="405">
        <f t="shared" si="72"/>
        <v>0</v>
      </c>
      <c r="CL47" s="492">
        <v>3</v>
      </c>
      <c r="CM47" s="389" t="str">
        <f t="shared" si="73"/>
        <v>Excellent coverage</v>
      </c>
      <c r="CN47" s="468">
        <v>0</v>
      </c>
      <c r="CO47" s="485" t="s">
        <v>292</v>
      </c>
      <c r="CP47" s="525"/>
    </row>
    <row r="48" spans="2:94" s="40" customFormat="1" ht="30.75" customHeight="1" x14ac:dyDescent="0.2">
      <c r="B48" s="465" t="s">
        <v>200</v>
      </c>
      <c r="C48" s="466" t="s">
        <v>540</v>
      </c>
      <c r="D48" s="467" t="s">
        <v>267</v>
      </c>
      <c r="E48" s="466" t="s">
        <v>202</v>
      </c>
      <c r="F48" s="467">
        <v>97.926813999999993</v>
      </c>
      <c r="G48" s="467">
        <v>23.450914000000001</v>
      </c>
      <c r="H48" s="467" t="s">
        <v>448</v>
      </c>
      <c r="I48" s="467" t="s">
        <v>213</v>
      </c>
      <c r="J48" s="467"/>
      <c r="K48" s="467"/>
      <c r="L48" s="468">
        <v>64</v>
      </c>
      <c r="M48" s="468">
        <v>305</v>
      </c>
      <c r="N48" s="468"/>
      <c r="O48" s="468">
        <v>305</v>
      </c>
      <c r="P48" s="376" t="str">
        <f t="shared" si="37"/>
        <v>2. Medium</v>
      </c>
      <c r="Q48" s="717" t="s">
        <v>808</v>
      </c>
      <c r="R48" s="469" t="s">
        <v>234</v>
      </c>
      <c r="S48" s="477" t="s">
        <v>232</v>
      </c>
      <c r="T48" s="398" t="str">
        <f t="shared" si="38"/>
        <v>Covered</v>
      </c>
      <c r="U48" s="478">
        <v>42460</v>
      </c>
      <c r="V48" s="469" t="s">
        <v>252</v>
      </c>
      <c r="W48" s="395" t="str">
        <f t="shared" si="39"/>
        <v>Documented</v>
      </c>
      <c r="X48" s="484">
        <v>0</v>
      </c>
      <c r="Y48" s="468">
        <v>0</v>
      </c>
      <c r="Z48" s="801"/>
      <c r="AA48" s="485" t="s">
        <v>19</v>
      </c>
      <c r="AB48" s="484">
        <v>0</v>
      </c>
      <c r="AC48" s="490">
        <v>0</v>
      </c>
      <c r="AD48" s="491">
        <v>2000</v>
      </c>
      <c r="AE48" s="497">
        <v>1</v>
      </c>
      <c r="AF48" s="498">
        <v>0</v>
      </c>
      <c r="AG48" s="797"/>
      <c r="AH48" s="401">
        <f t="shared" si="40"/>
        <v>0.43715846994535523</v>
      </c>
      <c r="AI48" s="378">
        <f t="shared" si="41"/>
        <v>133.33333333333334</v>
      </c>
      <c r="AJ48" s="379">
        <f t="shared" si="42"/>
        <v>0.43715846994535523</v>
      </c>
      <c r="AK48" s="380">
        <f t="shared" si="43"/>
        <v>133.33333333333334</v>
      </c>
      <c r="AL48" s="377">
        <f t="shared" si="44"/>
        <v>0.43715846994535523</v>
      </c>
      <c r="AM48" s="380">
        <f t="shared" si="45"/>
        <v>133.33333333333334</v>
      </c>
      <c r="AN48" s="381" t="str">
        <f t="shared" si="46"/>
        <v>30-45%</v>
      </c>
      <c r="AO48" s="377">
        <f t="shared" si="47"/>
        <v>0</v>
      </c>
      <c r="AP48" s="382">
        <f t="shared" si="48"/>
        <v>0</v>
      </c>
      <c r="AQ48" s="380">
        <f t="shared" si="49"/>
        <v>0.76249999999999996</v>
      </c>
      <c r="AR48" s="380">
        <f t="shared" si="50"/>
        <v>0</v>
      </c>
      <c r="AS48" s="380">
        <f t="shared" si="51"/>
        <v>305</v>
      </c>
      <c r="AT48" s="501">
        <v>1</v>
      </c>
      <c r="AU48" s="502">
        <f t="shared" si="52"/>
        <v>305</v>
      </c>
      <c r="AV48" s="491" t="s">
        <v>811</v>
      </c>
      <c r="AW48" s="747">
        <v>65</v>
      </c>
      <c r="AX48" s="468">
        <v>6</v>
      </c>
      <c r="AY48" s="468"/>
      <c r="AZ48" s="468">
        <v>0</v>
      </c>
      <c r="BA48" s="468"/>
      <c r="BB48" s="468" t="s">
        <v>289</v>
      </c>
      <c r="BC48" s="383">
        <f t="shared" si="53"/>
        <v>0.39344262295081966</v>
      </c>
      <c r="BD48" s="380">
        <f t="shared" si="54"/>
        <v>120</v>
      </c>
      <c r="BE48" s="383">
        <f t="shared" si="55"/>
        <v>0.39344262295081966</v>
      </c>
      <c r="BF48" s="380">
        <f t="shared" si="56"/>
        <v>120</v>
      </c>
      <c r="BG48" s="383">
        <f t="shared" si="57"/>
        <v>0</v>
      </c>
      <c r="BH48" s="380">
        <f t="shared" si="58"/>
        <v>0</v>
      </c>
      <c r="BI48" s="490">
        <v>3</v>
      </c>
      <c r="BJ48" s="506">
        <v>0.41</v>
      </c>
      <c r="BK48" s="384">
        <f t="shared" si="59"/>
        <v>125.05</v>
      </c>
      <c r="BL48" s="385">
        <f t="shared" si="60"/>
        <v>18.25</v>
      </c>
      <c r="BM48" s="468">
        <v>2</v>
      </c>
      <c r="BN48" s="468" t="s">
        <v>89</v>
      </c>
      <c r="BO48" s="383">
        <f t="shared" si="61"/>
        <v>0.65573770491803274</v>
      </c>
      <c r="BP48" s="380">
        <f t="shared" si="62"/>
        <v>199.99999999999997</v>
      </c>
      <c r="BQ48" s="385">
        <f t="shared" si="63"/>
        <v>1.0499999999999998</v>
      </c>
      <c r="BR48" s="506">
        <v>0.68</v>
      </c>
      <c r="BS48" s="380">
        <f t="shared" si="64"/>
        <v>207.4</v>
      </c>
      <c r="BT48" s="468">
        <v>2</v>
      </c>
      <c r="BU48" s="383">
        <f t="shared" si="65"/>
        <v>0.65573770491803274</v>
      </c>
      <c r="BV48" s="385">
        <f t="shared" si="66"/>
        <v>1.0499999999999998</v>
      </c>
      <c r="BW48" s="498">
        <v>0.86</v>
      </c>
      <c r="BX48" s="516" t="s">
        <v>747</v>
      </c>
      <c r="BY48" s="518">
        <v>41183</v>
      </c>
      <c r="BZ48" s="804"/>
      <c r="CA48" s="807"/>
      <c r="CB48" s="386" t="str">
        <f t="shared" si="67"/>
        <v>To be realised</v>
      </c>
      <c r="CC48" s="468">
        <v>84</v>
      </c>
      <c r="CD48" s="468">
        <v>5</v>
      </c>
      <c r="CE48" s="387">
        <f t="shared" si="68"/>
        <v>64</v>
      </c>
      <c r="CF48" s="388">
        <f t="shared" si="69"/>
        <v>0</v>
      </c>
      <c r="CG48" s="380">
        <f t="shared" si="70"/>
        <v>0</v>
      </c>
      <c r="CH48" s="403">
        <f t="shared" si="71"/>
        <v>30</v>
      </c>
      <c r="CI48" s="522" t="s">
        <v>902</v>
      </c>
      <c r="CJ48" s="498">
        <v>0.3</v>
      </c>
      <c r="CK48" s="405">
        <f t="shared" si="72"/>
        <v>91.5</v>
      </c>
      <c r="CL48" s="492">
        <v>2</v>
      </c>
      <c r="CM48" s="389" t="str">
        <f t="shared" si="73"/>
        <v>Excellent coverage</v>
      </c>
      <c r="CN48" s="468">
        <v>0</v>
      </c>
      <c r="CO48" s="485" t="s">
        <v>65</v>
      </c>
      <c r="CP48" s="525"/>
    </row>
    <row r="49" spans="2:94" s="40" customFormat="1" ht="30.75" customHeight="1" x14ac:dyDescent="0.2">
      <c r="B49" s="465" t="s">
        <v>200</v>
      </c>
      <c r="C49" s="466" t="s">
        <v>541</v>
      </c>
      <c r="D49" s="467" t="s">
        <v>267</v>
      </c>
      <c r="E49" s="466" t="s">
        <v>203</v>
      </c>
      <c r="F49" s="467">
        <v>97.947360000000003</v>
      </c>
      <c r="G49" s="467">
        <v>23.460349999999998</v>
      </c>
      <c r="H49" s="467" t="s">
        <v>448</v>
      </c>
      <c r="I49" s="467" t="s">
        <v>213</v>
      </c>
      <c r="J49" s="467"/>
      <c r="K49" s="467"/>
      <c r="L49" s="468">
        <v>31</v>
      </c>
      <c r="M49" s="468">
        <v>142</v>
      </c>
      <c r="N49" s="468"/>
      <c r="O49" s="468">
        <v>142</v>
      </c>
      <c r="P49" s="376" t="str">
        <f t="shared" si="37"/>
        <v>1. Small</v>
      </c>
      <c r="Q49" s="717" t="s">
        <v>806</v>
      </c>
      <c r="R49" s="469" t="s">
        <v>230</v>
      </c>
      <c r="S49" s="477" t="s">
        <v>299</v>
      </c>
      <c r="T49" s="398" t="str">
        <f t="shared" si="38"/>
        <v>Not covered</v>
      </c>
      <c r="U49" s="478" t="s">
        <v>626</v>
      </c>
      <c r="V49" s="469" t="s">
        <v>252</v>
      </c>
      <c r="W49" s="395" t="str">
        <f t="shared" si="39"/>
        <v>Documented</v>
      </c>
      <c r="X49" s="484">
        <v>0</v>
      </c>
      <c r="Y49" s="468">
        <v>0</v>
      </c>
      <c r="Z49" s="801"/>
      <c r="AA49" s="485" t="s">
        <v>19</v>
      </c>
      <c r="AB49" s="484">
        <v>1</v>
      </c>
      <c r="AC49" s="490">
        <v>0</v>
      </c>
      <c r="AD49" s="491">
        <v>0</v>
      </c>
      <c r="AE49" s="497">
        <v>1</v>
      </c>
      <c r="AF49" s="498">
        <v>0</v>
      </c>
      <c r="AG49" s="797"/>
      <c r="AH49" s="401">
        <f t="shared" si="40"/>
        <v>1</v>
      </c>
      <c r="AI49" s="378">
        <f t="shared" si="41"/>
        <v>142</v>
      </c>
      <c r="AJ49" s="379">
        <f t="shared" si="42"/>
        <v>1</v>
      </c>
      <c r="AK49" s="380">
        <f t="shared" si="43"/>
        <v>142</v>
      </c>
      <c r="AL49" s="377">
        <f t="shared" si="44"/>
        <v>1</v>
      </c>
      <c r="AM49" s="380">
        <f t="shared" si="45"/>
        <v>142</v>
      </c>
      <c r="AN49" s="381" t="str">
        <f t="shared" si="46"/>
        <v>80-100%</v>
      </c>
      <c r="AO49" s="377">
        <f t="shared" si="47"/>
        <v>0</v>
      </c>
      <c r="AP49" s="382">
        <f t="shared" si="48"/>
        <v>0</v>
      </c>
      <c r="AQ49" s="380">
        <f t="shared" si="49"/>
        <v>0</v>
      </c>
      <c r="AR49" s="380">
        <f t="shared" si="50"/>
        <v>0</v>
      </c>
      <c r="AS49" s="380">
        <f t="shared" si="51"/>
        <v>142</v>
      </c>
      <c r="AT49" s="501">
        <v>1</v>
      </c>
      <c r="AU49" s="502">
        <f t="shared" si="52"/>
        <v>142</v>
      </c>
      <c r="AV49" s="491" t="s">
        <v>745</v>
      </c>
      <c r="AW49" s="747">
        <v>17</v>
      </c>
      <c r="AX49" s="468">
        <v>0</v>
      </c>
      <c r="AY49" s="468"/>
      <c r="AZ49" s="468">
        <v>8</v>
      </c>
      <c r="BA49" s="468"/>
      <c r="BB49" s="468" t="s">
        <v>290</v>
      </c>
      <c r="BC49" s="383">
        <f t="shared" si="53"/>
        <v>1</v>
      </c>
      <c r="BD49" s="380">
        <f t="shared" si="54"/>
        <v>142</v>
      </c>
      <c r="BE49" s="383">
        <f t="shared" si="55"/>
        <v>0</v>
      </c>
      <c r="BF49" s="380">
        <f t="shared" si="56"/>
        <v>0</v>
      </c>
      <c r="BG49" s="383">
        <f t="shared" si="57"/>
        <v>1</v>
      </c>
      <c r="BH49" s="380">
        <f t="shared" si="58"/>
        <v>142</v>
      </c>
      <c r="BI49" s="490">
        <v>2</v>
      </c>
      <c r="BJ49" s="506">
        <v>1</v>
      </c>
      <c r="BK49" s="384">
        <f t="shared" si="59"/>
        <v>142</v>
      </c>
      <c r="BL49" s="385">
        <f t="shared" si="60"/>
        <v>1.0999999999999996</v>
      </c>
      <c r="BM49" s="468">
        <v>2</v>
      </c>
      <c r="BN49" s="468" t="s">
        <v>290</v>
      </c>
      <c r="BO49" s="383">
        <f t="shared" si="61"/>
        <v>1</v>
      </c>
      <c r="BP49" s="380">
        <f t="shared" si="62"/>
        <v>142</v>
      </c>
      <c r="BQ49" s="385">
        <f t="shared" si="63"/>
        <v>0</v>
      </c>
      <c r="BR49" s="506">
        <v>1</v>
      </c>
      <c r="BS49" s="380">
        <f t="shared" si="64"/>
        <v>142</v>
      </c>
      <c r="BT49" s="468">
        <v>0</v>
      </c>
      <c r="BU49" s="383">
        <f t="shared" si="65"/>
        <v>0</v>
      </c>
      <c r="BV49" s="385">
        <f t="shared" si="66"/>
        <v>1.42</v>
      </c>
      <c r="BW49" s="498">
        <v>0</v>
      </c>
      <c r="BX49" s="516" t="s">
        <v>887</v>
      </c>
      <c r="BY49" s="518"/>
      <c r="BZ49" s="804"/>
      <c r="CA49" s="807"/>
      <c r="CB49" s="386" t="str">
        <f t="shared" si="67"/>
        <v>To be realised</v>
      </c>
      <c r="CC49" s="468">
        <v>0</v>
      </c>
      <c r="CD49" s="468">
        <v>3</v>
      </c>
      <c r="CE49" s="387">
        <f t="shared" si="68"/>
        <v>31</v>
      </c>
      <c r="CF49" s="388">
        <f t="shared" si="69"/>
        <v>0</v>
      </c>
      <c r="CG49" s="380">
        <f t="shared" si="70"/>
        <v>0</v>
      </c>
      <c r="CH49" s="403" t="str">
        <f t="shared" si="71"/>
        <v>Column BN to be completed</v>
      </c>
      <c r="CI49" s="492" t="s">
        <v>903</v>
      </c>
      <c r="CJ49" s="498"/>
      <c r="CK49" s="405">
        <f t="shared" si="72"/>
        <v>0</v>
      </c>
      <c r="CL49" s="492">
        <v>2</v>
      </c>
      <c r="CM49" s="389" t="str">
        <f t="shared" si="73"/>
        <v>Excellent coverage</v>
      </c>
      <c r="CN49" s="468">
        <v>0</v>
      </c>
      <c r="CO49" s="485" t="s">
        <v>65</v>
      </c>
      <c r="CP49" s="525"/>
    </row>
    <row r="50" spans="2:94" s="40" customFormat="1" ht="30.75" customHeight="1" x14ac:dyDescent="0.2">
      <c r="B50" s="465" t="s">
        <v>200</v>
      </c>
      <c r="C50" s="466" t="s">
        <v>542</v>
      </c>
      <c r="D50" s="467" t="s">
        <v>267</v>
      </c>
      <c r="E50" s="466" t="s">
        <v>204</v>
      </c>
      <c r="F50" s="467">
        <v>97.793306999999999</v>
      </c>
      <c r="G50" s="467">
        <v>23.589089000000001</v>
      </c>
      <c r="H50" s="467" t="s">
        <v>448</v>
      </c>
      <c r="I50" s="467" t="s">
        <v>213</v>
      </c>
      <c r="J50" s="467"/>
      <c r="K50" s="467"/>
      <c r="L50" s="468">
        <v>77</v>
      </c>
      <c r="M50" s="468">
        <v>363</v>
      </c>
      <c r="N50" s="468"/>
      <c r="O50" s="468">
        <v>363</v>
      </c>
      <c r="P50" s="376" t="str">
        <f t="shared" si="37"/>
        <v>2. Medium</v>
      </c>
      <c r="Q50" s="717" t="s">
        <v>808</v>
      </c>
      <c r="R50" s="469" t="s">
        <v>234</v>
      </c>
      <c r="S50" s="477" t="s">
        <v>299</v>
      </c>
      <c r="T50" s="398" t="str">
        <f t="shared" si="38"/>
        <v>Not covered</v>
      </c>
      <c r="U50" s="478" t="s">
        <v>626</v>
      </c>
      <c r="V50" s="469" t="s">
        <v>252</v>
      </c>
      <c r="W50" s="395" t="str">
        <f t="shared" si="39"/>
        <v>Documented</v>
      </c>
      <c r="X50" s="484">
        <v>0</v>
      </c>
      <c r="Y50" s="468">
        <v>0</v>
      </c>
      <c r="Z50" s="801"/>
      <c r="AA50" s="485" t="s">
        <v>19</v>
      </c>
      <c r="AB50" s="484">
        <v>0</v>
      </c>
      <c r="AC50" s="490">
        <v>0</v>
      </c>
      <c r="AD50" s="491">
        <v>100000</v>
      </c>
      <c r="AE50" s="497">
        <v>1</v>
      </c>
      <c r="AF50" s="498">
        <v>0</v>
      </c>
      <c r="AG50" s="797"/>
      <c r="AH50" s="401">
        <f t="shared" si="40"/>
        <v>1</v>
      </c>
      <c r="AI50" s="378">
        <f t="shared" si="41"/>
        <v>363</v>
      </c>
      <c r="AJ50" s="379">
        <f t="shared" si="42"/>
        <v>1</v>
      </c>
      <c r="AK50" s="380">
        <f t="shared" si="43"/>
        <v>363</v>
      </c>
      <c r="AL50" s="377">
        <f t="shared" si="44"/>
        <v>1</v>
      </c>
      <c r="AM50" s="380">
        <f t="shared" si="45"/>
        <v>363</v>
      </c>
      <c r="AN50" s="381" t="str">
        <f t="shared" si="46"/>
        <v>80-100%</v>
      </c>
      <c r="AO50" s="377">
        <f t="shared" si="47"/>
        <v>0</v>
      </c>
      <c r="AP50" s="382">
        <f t="shared" si="48"/>
        <v>0</v>
      </c>
      <c r="AQ50" s="380">
        <f t="shared" si="49"/>
        <v>0.90749999999999997</v>
      </c>
      <c r="AR50" s="380">
        <f t="shared" si="50"/>
        <v>0</v>
      </c>
      <c r="AS50" s="380">
        <f t="shared" si="51"/>
        <v>363</v>
      </c>
      <c r="AT50" s="501">
        <v>1</v>
      </c>
      <c r="AU50" s="502">
        <f t="shared" si="52"/>
        <v>363</v>
      </c>
      <c r="AV50" s="491"/>
      <c r="AW50" s="747">
        <v>0</v>
      </c>
      <c r="AX50" s="468">
        <v>74</v>
      </c>
      <c r="AY50" s="468"/>
      <c r="AZ50" s="468">
        <v>0</v>
      </c>
      <c r="BA50" s="468"/>
      <c r="BB50" s="468" t="s">
        <v>289</v>
      </c>
      <c r="BC50" s="383">
        <f t="shared" si="53"/>
        <v>1</v>
      </c>
      <c r="BD50" s="380">
        <f t="shared" si="54"/>
        <v>363</v>
      </c>
      <c r="BE50" s="383">
        <f t="shared" si="55"/>
        <v>1</v>
      </c>
      <c r="BF50" s="380">
        <f t="shared" si="56"/>
        <v>363</v>
      </c>
      <c r="BG50" s="383">
        <f t="shared" si="57"/>
        <v>0</v>
      </c>
      <c r="BH50" s="380">
        <f t="shared" si="58"/>
        <v>0</v>
      </c>
      <c r="BI50" s="490">
        <v>2</v>
      </c>
      <c r="BJ50" s="506">
        <v>1</v>
      </c>
      <c r="BK50" s="384">
        <f t="shared" si="59"/>
        <v>363</v>
      </c>
      <c r="BL50" s="385">
        <f t="shared" si="60"/>
        <v>20.149999999999999</v>
      </c>
      <c r="BM50" s="468">
        <v>5</v>
      </c>
      <c r="BN50" s="468"/>
      <c r="BO50" s="383">
        <f t="shared" si="61"/>
        <v>1</v>
      </c>
      <c r="BP50" s="380">
        <f t="shared" si="62"/>
        <v>363</v>
      </c>
      <c r="BQ50" s="385">
        <f t="shared" si="63"/>
        <v>0</v>
      </c>
      <c r="BR50" s="506">
        <v>1</v>
      </c>
      <c r="BS50" s="380">
        <f t="shared" si="64"/>
        <v>363</v>
      </c>
      <c r="BT50" s="468">
        <v>0</v>
      </c>
      <c r="BU50" s="383">
        <f t="shared" si="65"/>
        <v>0</v>
      </c>
      <c r="BV50" s="385">
        <f t="shared" si="66"/>
        <v>3.63</v>
      </c>
      <c r="BW50" s="498">
        <v>0</v>
      </c>
      <c r="BX50" s="516" t="s">
        <v>888</v>
      </c>
      <c r="BY50" s="518">
        <v>42125</v>
      </c>
      <c r="BZ50" s="804"/>
      <c r="CA50" s="807"/>
      <c r="CB50" s="386">
        <f t="shared" si="67"/>
        <v>42490</v>
      </c>
      <c r="CC50" s="468">
        <v>77</v>
      </c>
      <c r="CD50" s="468">
        <v>5</v>
      </c>
      <c r="CE50" s="390">
        <f t="shared" si="68"/>
        <v>0</v>
      </c>
      <c r="CF50" s="391">
        <f t="shared" si="69"/>
        <v>1</v>
      </c>
      <c r="CG50" s="384">
        <f t="shared" si="70"/>
        <v>363</v>
      </c>
      <c r="CH50" s="791">
        <f t="shared" si="71"/>
        <v>0</v>
      </c>
      <c r="CI50" s="492"/>
      <c r="CJ50" s="498"/>
      <c r="CK50" s="405">
        <f t="shared" si="72"/>
        <v>0</v>
      </c>
      <c r="CL50" s="492">
        <v>2</v>
      </c>
      <c r="CM50" s="389" t="str">
        <f t="shared" si="73"/>
        <v>Excellent coverage</v>
      </c>
      <c r="CN50" s="468">
        <v>0</v>
      </c>
      <c r="CO50" s="485" t="s">
        <v>292</v>
      </c>
      <c r="CP50" s="525"/>
    </row>
    <row r="51" spans="2:94" s="40" customFormat="1" ht="30.75" customHeight="1" x14ac:dyDescent="0.2">
      <c r="B51" s="465" t="s">
        <v>200</v>
      </c>
      <c r="C51" s="466" t="s">
        <v>543</v>
      </c>
      <c r="D51" s="467" t="s">
        <v>267</v>
      </c>
      <c r="E51" s="466" t="s">
        <v>205</v>
      </c>
      <c r="F51" s="467">
        <v>98.220614999999995</v>
      </c>
      <c r="G51" s="467">
        <v>23.400155999999999</v>
      </c>
      <c r="H51" s="467" t="s">
        <v>448</v>
      </c>
      <c r="I51" s="467" t="s">
        <v>213</v>
      </c>
      <c r="J51" s="467"/>
      <c r="K51" s="467"/>
      <c r="L51" s="468">
        <v>51</v>
      </c>
      <c r="M51" s="468">
        <v>251</v>
      </c>
      <c r="N51" s="468"/>
      <c r="O51" s="468">
        <v>251</v>
      </c>
      <c r="P51" s="376" t="str">
        <f t="shared" si="37"/>
        <v>2. Medium</v>
      </c>
      <c r="Q51" s="717" t="s">
        <v>808</v>
      </c>
      <c r="R51" s="469" t="s">
        <v>234</v>
      </c>
      <c r="S51" s="477" t="s">
        <v>299</v>
      </c>
      <c r="T51" s="398" t="str">
        <f t="shared" si="38"/>
        <v>Not covered</v>
      </c>
      <c r="U51" s="478" t="s">
        <v>626</v>
      </c>
      <c r="V51" s="469" t="s">
        <v>252</v>
      </c>
      <c r="W51" s="395" t="str">
        <f t="shared" si="39"/>
        <v>Documented</v>
      </c>
      <c r="X51" s="484">
        <v>0</v>
      </c>
      <c r="Y51" s="468">
        <v>0</v>
      </c>
      <c r="Z51" s="801"/>
      <c r="AA51" s="485" t="s">
        <v>19</v>
      </c>
      <c r="AB51" s="492">
        <v>0</v>
      </c>
      <c r="AC51" s="468">
        <v>0</v>
      </c>
      <c r="AD51" s="485">
        <v>3500</v>
      </c>
      <c r="AE51" s="497">
        <v>1</v>
      </c>
      <c r="AF51" s="498">
        <v>0</v>
      </c>
      <c r="AG51" s="797"/>
      <c r="AH51" s="401">
        <f t="shared" si="40"/>
        <v>0.92961487383798147</v>
      </c>
      <c r="AI51" s="378">
        <f t="shared" si="41"/>
        <v>233.33333333333334</v>
      </c>
      <c r="AJ51" s="379">
        <f t="shared" si="42"/>
        <v>0.92961487383798147</v>
      </c>
      <c r="AK51" s="380">
        <f t="shared" si="43"/>
        <v>233.33333333333334</v>
      </c>
      <c r="AL51" s="377">
        <f t="shared" si="44"/>
        <v>0.92961487383798147</v>
      </c>
      <c r="AM51" s="380">
        <f t="shared" si="45"/>
        <v>233.33333333333334</v>
      </c>
      <c r="AN51" s="381" t="str">
        <f t="shared" si="46"/>
        <v>80-100%</v>
      </c>
      <c r="AO51" s="377">
        <f t="shared" si="47"/>
        <v>0</v>
      </c>
      <c r="AP51" s="382">
        <f t="shared" si="48"/>
        <v>0</v>
      </c>
      <c r="AQ51" s="380">
        <f t="shared" si="49"/>
        <v>0.62749999999999995</v>
      </c>
      <c r="AR51" s="380">
        <f t="shared" si="50"/>
        <v>0</v>
      </c>
      <c r="AS51" s="380">
        <f t="shared" si="51"/>
        <v>251</v>
      </c>
      <c r="AT51" s="506">
        <v>1</v>
      </c>
      <c r="AU51" s="502">
        <f t="shared" si="52"/>
        <v>251</v>
      </c>
      <c r="AV51" s="491"/>
      <c r="AW51" s="747">
        <v>0</v>
      </c>
      <c r="AX51" s="468">
        <v>41</v>
      </c>
      <c r="AY51" s="468"/>
      <c r="AZ51" s="468">
        <v>0</v>
      </c>
      <c r="BA51" s="468"/>
      <c r="BB51" s="468" t="s">
        <v>289</v>
      </c>
      <c r="BC51" s="383">
        <f t="shared" si="53"/>
        <v>1</v>
      </c>
      <c r="BD51" s="380">
        <f t="shared" si="54"/>
        <v>251</v>
      </c>
      <c r="BE51" s="383">
        <f t="shared" si="55"/>
        <v>1</v>
      </c>
      <c r="BF51" s="380">
        <f t="shared" si="56"/>
        <v>251</v>
      </c>
      <c r="BG51" s="383">
        <f t="shared" si="57"/>
        <v>0</v>
      </c>
      <c r="BH51" s="380">
        <f t="shared" si="58"/>
        <v>0</v>
      </c>
      <c r="BI51" s="490">
        <v>2</v>
      </c>
      <c r="BJ51" s="506">
        <v>1</v>
      </c>
      <c r="BK51" s="384">
        <f t="shared" si="59"/>
        <v>251</v>
      </c>
      <c r="BL51" s="385">
        <f t="shared" si="60"/>
        <v>14.55</v>
      </c>
      <c r="BM51" s="468">
        <v>3</v>
      </c>
      <c r="BN51" s="468"/>
      <c r="BO51" s="383">
        <f t="shared" si="61"/>
        <v>1</v>
      </c>
      <c r="BP51" s="380">
        <f t="shared" si="62"/>
        <v>251</v>
      </c>
      <c r="BQ51" s="385">
        <f t="shared" si="63"/>
        <v>0</v>
      </c>
      <c r="BR51" s="506">
        <v>1</v>
      </c>
      <c r="BS51" s="380">
        <f t="shared" si="64"/>
        <v>251</v>
      </c>
      <c r="BT51" s="468">
        <v>0</v>
      </c>
      <c r="BU51" s="383">
        <f t="shared" si="65"/>
        <v>0</v>
      </c>
      <c r="BV51" s="385">
        <f t="shared" si="66"/>
        <v>2.5099999999999998</v>
      </c>
      <c r="BW51" s="498">
        <v>0</v>
      </c>
      <c r="BX51" s="516" t="s">
        <v>886</v>
      </c>
      <c r="BY51" s="518">
        <v>42125</v>
      </c>
      <c r="BZ51" s="804"/>
      <c r="CA51" s="807"/>
      <c r="CB51" s="386">
        <f t="shared" si="67"/>
        <v>42490</v>
      </c>
      <c r="CC51" s="468">
        <v>49</v>
      </c>
      <c r="CD51" s="468">
        <v>5</v>
      </c>
      <c r="CE51" s="390">
        <f t="shared" si="68"/>
        <v>2</v>
      </c>
      <c r="CF51" s="391">
        <f t="shared" si="69"/>
        <v>0.96078431372549022</v>
      </c>
      <c r="CG51" s="384">
        <f t="shared" si="70"/>
        <v>241.15686274509804</v>
      </c>
      <c r="CH51" s="791">
        <f t="shared" si="71"/>
        <v>0</v>
      </c>
      <c r="CI51" s="492" t="s">
        <v>818</v>
      </c>
      <c r="CJ51" s="498"/>
      <c r="CK51" s="405">
        <f t="shared" si="72"/>
        <v>0</v>
      </c>
      <c r="CL51" s="492">
        <v>1</v>
      </c>
      <c r="CM51" s="389" t="str">
        <f t="shared" si="73"/>
        <v>Excellent coverage</v>
      </c>
      <c r="CN51" s="468">
        <v>0</v>
      </c>
      <c r="CO51" s="485" t="s">
        <v>292</v>
      </c>
      <c r="CP51" s="525"/>
    </row>
    <row r="52" spans="2:94" s="40" customFormat="1" ht="30.75" customHeight="1" x14ac:dyDescent="0.2">
      <c r="B52" s="465" t="s">
        <v>200</v>
      </c>
      <c r="C52" s="466" t="s">
        <v>544</v>
      </c>
      <c r="D52" s="467" t="s">
        <v>267</v>
      </c>
      <c r="E52" s="466" t="s">
        <v>206</v>
      </c>
      <c r="F52" s="467">
        <v>98.213958000000005</v>
      </c>
      <c r="G52" s="467">
        <v>23.391741</v>
      </c>
      <c r="H52" s="467" t="s">
        <v>448</v>
      </c>
      <c r="I52" s="467" t="s">
        <v>213</v>
      </c>
      <c r="J52" s="467"/>
      <c r="K52" s="467"/>
      <c r="L52" s="468">
        <v>23</v>
      </c>
      <c r="M52" s="468">
        <v>107</v>
      </c>
      <c r="N52" s="468"/>
      <c r="O52" s="468">
        <v>107</v>
      </c>
      <c r="P52" s="376" t="str">
        <f t="shared" si="37"/>
        <v>1. Small</v>
      </c>
      <c r="Q52" s="717" t="s">
        <v>806</v>
      </c>
      <c r="R52" s="469" t="s">
        <v>230</v>
      </c>
      <c r="S52" s="477" t="s">
        <v>299</v>
      </c>
      <c r="T52" s="398" t="str">
        <f t="shared" si="38"/>
        <v>Not covered</v>
      </c>
      <c r="U52" s="478" t="s">
        <v>626</v>
      </c>
      <c r="V52" s="469" t="s">
        <v>252</v>
      </c>
      <c r="W52" s="395" t="str">
        <f t="shared" si="39"/>
        <v>Documented</v>
      </c>
      <c r="X52" s="484">
        <v>0</v>
      </c>
      <c r="Y52" s="468">
        <v>0</v>
      </c>
      <c r="Z52" s="801"/>
      <c r="AA52" s="485" t="s">
        <v>19</v>
      </c>
      <c r="AB52" s="492">
        <v>0</v>
      </c>
      <c r="AC52" s="468">
        <v>0</v>
      </c>
      <c r="AD52" s="485">
        <v>14400</v>
      </c>
      <c r="AE52" s="497">
        <v>1</v>
      </c>
      <c r="AF52" s="498">
        <v>0</v>
      </c>
      <c r="AG52" s="797"/>
      <c r="AH52" s="401">
        <f t="shared" si="40"/>
        <v>1</v>
      </c>
      <c r="AI52" s="378">
        <f t="shared" si="41"/>
        <v>107</v>
      </c>
      <c r="AJ52" s="379">
        <f t="shared" si="42"/>
        <v>1</v>
      </c>
      <c r="AK52" s="380">
        <f t="shared" si="43"/>
        <v>107</v>
      </c>
      <c r="AL52" s="377">
        <f t="shared" si="44"/>
        <v>1</v>
      </c>
      <c r="AM52" s="380">
        <f t="shared" si="45"/>
        <v>107</v>
      </c>
      <c r="AN52" s="381" t="str">
        <f t="shared" si="46"/>
        <v>80-100%</v>
      </c>
      <c r="AO52" s="377">
        <f t="shared" si="47"/>
        <v>0</v>
      </c>
      <c r="AP52" s="382">
        <f t="shared" si="48"/>
        <v>0</v>
      </c>
      <c r="AQ52" s="380">
        <f t="shared" si="49"/>
        <v>0.26750000000000002</v>
      </c>
      <c r="AR52" s="380">
        <f t="shared" si="50"/>
        <v>0</v>
      </c>
      <c r="AS52" s="380">
        <f t="shared" si="51"/>
        <v>107</v>
      </c>
      <c r="AT52" s="506">
        <v>1</v>
      </c>
      <c r="AU52" s="502">
        <f t="shared" si="52"/>
        <v>107</v>
      </c>
      <c r="AV52" s="485" t="s">
        <v>745</v>
      </c>
      <c r="AW52" s="747">
        <v>5</v>
      </c>
      <c r="AX52" s="468">
        <v>12</v>
      </c>
      <c r="AY52" s="468"/>
      <c r="AZ52" s="468">
        <v>8</v>
      </c>
      <c r="BA52" s="468"/>
      <c r="BB52" s="468" t="s">
        <v>290</v>
      </c>
      <c r="BC52" s="383">
        <f t="shared" si="53"/>
        <v>1</v>
      </c>
      <c r="BD52" s="380">
        <f t="shared" si="54"/>
        <v>107</v>
      </c>
      <c r="BE52" s="383">
        <f t="shared" si="55"/>
        <v>0</v>
      </c>
      <c r="BF52" s="380">
        <f t="shared" si="56"/>
        <v>0</v>
      </c>
      <c r="BG52" s="383">
        <f t="shared" si="57"/>
        <v>1</v>
      </c>
      <c r="BH52" s="380">
        <f t="shared" si="58"/>
        <v>107</v>
      </c>
      <c r="BI52" s="490">
        <v>2</v>
      </c>
      <c r="BJ52" s="506">
        <v>1</v>
      </c>
      <c r="BK52" s="384">
        <f t="shared" si="59"/>
        <v>107</v>
      </c>
      <c r="BL52" s="385">
        <f t="shared" si="60"/>
        <v>0</v>
      </c>
      <c r="BM52" s="468">
        <v>2</v>
      </c>
      <c r="BN52" s="468" t="s">
        <v>290</v>
      </c>
      <c r="BO52" s="383">
        <f t="shared" si="61"/>
        <v>1</v>
      </c>
      <c r="BP52" s="380">
        <f t="shared" si="62"/>
        <v>107</v>
      </c>
      <c r="BQ52" s="385">
        <f t="shared" si="63"/>
        <v>0</v>
      </c>
      <c r="BR52" s="506">
        <v>1</v>
      </c>
      <c r="BS52" s="380">
        <f t="shared" si="64"/>
        <v>107</v>
      </c>
      <c r="BT52" s="468">
        <v>0</v>
      </c>
      <c r="BU52" s="383">
        <f t="shared" si="65"/>
        <v>0</v>
      </c>
      <c r="BV52" s="385">
        <f t="shared" si="66"/>
        <v>1.07</v>
      </c>
      <c r="BW52" s="498">
        <v>0</v>
      </c>
      <c r="BX52" s="516" t="s">
        <v>887</v>
      </c>
      <c r="BY52" s="518"/>
      <c r="BZ52" s="804"/>
      <c r="CA52" s="807"/>
      <c r="CB52" s="386" t="str">
        <f t="shared" si="67"/>
        <v>To be realised</v>
      </c>
      <c r="CC52" s="468">
        <v>0</v>
      </c>
      <c r="CD52" s="468">
        <v>3</v>
      </c>
      <c r="CE52" s="390">
        <f t="shared" si="68"/>
        <v>23</v>
      </c>
      <c r="CF52" s="391">
        <f t="shared" si="69"/>
        <v>0</v>
      </c>
      <c r="CG52" s="384">
        <f t="shared" si="70"/>
        <v>0</v>
      </c>
      <c r="CH52" s="791" t="str">
        <f t="shared" si="71"/>
        <v>Column BN to be completed</v>
      </c>
      <c r="CI52" s="492" t="s">
        <v>903</v>
      </c>
      <c r="CJ52" s="498"/>
      <c r="CK52" s="405">
        <f t="shared" si="72"/>
        <v>0</v>
      </c>
      <c r="CL52" s="492">
        <v>2</v>
      </c>
      <c r="CM52" s="389" t="str">
        <f t="shared" si="73"/>
        <v>Excellent coverage</v>
      </c>
      <c r="CN52" s="468">
        <v>0</v>
      </c>
      <c r="CO52" s="485" t="s">
        <v>292</v>
      </c>
      <c r="CP52" s="525"/>
    </row>
    <row r="53" spans="2:94" s="40" customFormat="1" ht="30.75" customHeight="1" x14ac:dyDescent="0.2">
      <c r="B53" s="465" t="s">
        <v>200</v>
      </c>
      <c r="C53" s="466" t="s">
        <v>544</v>
      </c>
      <c r="D53" s="467" t="s">
        <v>267</v>
      </c>
      <c r="E53" s="466" t="s">
        <v>207</v>
      </c>
      <c r="F53" s="467">
        <v>97.819062000000002</v>
      </c>
      <c r="G53" s="467">
        <v>23.694047000000001</v>
      </c>
      <c r="H53" s="467" t="s">
        <v>448</v>
      </c>
      <c r="I53" s="467" t="s">
        <v>213</v>
      </c>
      <c r="J53" s="467"/>
      <c r="K53" s="467"/>
      <c r="L53" s="468">
        <v>70</v>
      </c>
      <c r="M53" s="468">
        <v>273</v>
      </c>
      <c r="N53" s="468"/>
      <c r="O53" s="468">
        <v>273</v>
      </c>
      <c r="P53" s="376" t="str">
        <f t="shared" si="37"/>
        <v>2. Medium</v>
      </c>
      <c r="Q53" s="717" t="s">
        <v>808</v>
      </c>
      <c r="R53" s="469" t="s">
        <v>234</v>
      </c>
      <c r="S53" s="477" t="s">
        <v>299</v>
      </c>
      <c r="T53" s="398" t="str">
        <f t="shared" si="38"/>
        <v>Not covered</v>
      </c>
      <c r="U53" s="478" t="s">
        <v>626</v>
      </c>
      <c r="V53" s="469" t="s">
        <v>252</v>
      </c>
      <c r="W53" s="395" t="str">
        <f t="shared" si="39"/>
        <v>Documented</v>
      </c>
      <c r="X53" s="484">
        <v>0</v>
      </c>
      <c r="Y53" s="468">
        <v>0</v>
      </c>
      <c r="Z53" s="801"/>
      <c r="AA53" s="485" t="s">
        <v>19</v>
      </c>
      <c r="AB53" s="492">
        <v>0</v>
      </c>
      <c r="AC53" s="468">
        <v>0</v>
      </c>
      <c r="AD53" s="485">
        <v>57600</v>
      </c>
      <c r="AE53" s="497">
        <v>1</v>
      </c>
      <c r="AF53" s="498">
        <v>0</v>
      </c>
      <c r="AG53" s="797"/>
      <c r="AH53" s="401">
        <f t="shared" si="40"/>
        <v>1</v>
      </c>
      <c r="AI53" s="378">
        <f t="shared" si="41"/>
        <v>273</v>
      </c>
      <c r="AJ53" s="379">
        <f t="shared" si="42"/>
        <v>1</v>
      </c>
      <c r="AK53" s="380">
        <f t="shared" si="43"/>
        <v>273</v>
      </c>
      <c r="AL53" s="377">
        <f t="shared" si="44"/>
        <v>1</v>
      </c>
      <c r="AM53" s="380">
        <f t="shared" si="45"/>
        <v>273</v>
      </c>
      <c r="AN53" s="381" t="str">
        <f t="shared" si="46"/>
        <v>80-100%</v>
      </c>
      <c r="AO53" s="377">
        <f t="shared" si="47"/>
        <v>0</v>
      </c>
      <c r="AP53" s="382">
        <f t="shared" si="48"/>
        <v>0</v>
      </c>
      <c r="AQ53" s="380">
        <f t="shared" si="49"/>
        <v>0.6825</v>
      </c>
      <c r="AR53" s="380">
        <f t="shared" si="50"/>
        <v>0</v>
      </c>
      <c r="AS53" s="380">
        <f t="shared" si="51"/>
        <v>273</v>
      </c>
      <c r="AT53" s="506">
        <v>1</v>
      </c>
      <c r="AU53" s="502">
        <f t="shared" si="52"/>
        <v>273</v>
      </c>
      <c r="AV53" s="491"/>
      <c r="AW53" s="747">
        <v>21</v>
      </c>
      <c r="AX53" s="468">
        <v>9</v>
      </c>
      <c r="AY53" s="468"/>
      <c r="AZ53" s="468">
        <v>9</v>
      </c>
      <c r="BA53" s="468"/>
      <c r="BB53" s="468" t="s">
        <v>89</v>
      </c>
      <c r="BC53" s="383">
        <f t="shared" si="53"/>
        <v>1</v>
      </c>
      <c r="BD53" s="380">
        <f t="shared" si="54"/>
        <v>273</v>
      </c>
      <c r="BE53" s="383">
        <f t="shared" si="55"/>
        <v>0.34065934065934067</v>
      </c>
      <c r="BF53" s="380">
        <f t="shared" si="56"/>
        <v>93</v>
      </c>
      <c r="BG53" s="383">
        <f t="shared" si="57"/>
        <v>0.65934065934065933</v>
      </c>
      <c r="BH53" s="380">
        <f t="shared" si="58"/>
        <v>180</v>
      </c>
      <c r="BI53" s="490">
        <v>4</v>
      </c>
      <c r="BJ53" s="506">
        <v>1</v>
      </c>
      <c r="BK53" s="384">
        <f t="shared" si="59"/>
        <v>273</v>
      </c>
      <c r="BL53" s="385">
        <f t="shared" si="60"/>
        <v>8.65</v>
      </c>
      <c r="BM53" s="468">
        <v>2</v>
      </c>
      <c r="BN53" s="468" t="s">
        <v>89</v>
      </c>
      <c r="BO53" s="383">
        <f t="shared" si="61"/>
        <v>0.73260073260073255</v>
      </c>
      <c r="BP53" s="380">
        <f t="shared" si="62"/>
        <v>200</v>
      </c>
      <c r="BQ53" s="385">
        <f t="shared" si="63"/>
        <v>0.73</v>
      </c>
      <c r="BR53" s="506">
        <v>0.75</v>
      </c>
      <c r="BS53" s="380">
        <f t="shared" si="64"/>
        <v>204.75</v>
      </c>
      <c r="BT53" s="468">
        <v>4</v>
      </c>
      <c r="BU53" s="383">
        <f t="shared" si="65"/>
        <v>1</v>
      </c>
      <c r="BV53" s="385">
        <f t="shared" si="66"/>
        <v>0</v>
      </c>
      <c r="BW53" s="494">
        <v>1</v>
      </c>
      <c r="BX53" s="516" t="s">
        <v>637</v>
      </c>
      <c r="BY53" s="518">
        <v>42135</v>
      </c>
      <c r="BZ53" s="804"/>
      <c r="CA53" s="807"/>
      <c r="CB53" s="386">
        <f t="shared" si="67"/>
        <v>42500</v>
      </c>
      <c r="CC53" s="468">
        <v>85</v>
      </c>
      <c r="CD53" s="468">
        <v>5</v>
      </c>
      <c r="CE53" s="390">
        <f t="shared" si="68"/>
        <v>0</v>
      </c>
      <c r="CF53" s="391">
        <f t="shared" si="69"/>
        <v>1</v>
      </c>
      <c r="CG53" s="384">
        <f t="shared" si="70"/>
        <v>273</v>
      </c>
      <c r="CH53" s="791">
        <f t="shared" si="71"/>
        <v>0</v>
      </c>
      <c r="CI53" s="523"/>
      <c r="CJ53" s="498"/>
      <c r="CK53" s="405">
        <f t="shared" si="72"/>
        <v>0</v>
      </c>
      <c r="CL53" s="492">
        <v>2</v>
      </c>
      <c r="CM53" s="389" t="str">
        <f t="shared" si="73"/>
        <v>Excellent coverage</v>
      </c>
      <c r="CN53" s="468">
        <v>0</v>
      </c>
      <c r="CO53" s="485" t="s">
        <v>292</v>
      </c>
      <c r="CP53" s="525"/>
    </row>
    <row r="54" spans="2:94" s="40" customFormat="1" ht="30.75" customHeight="1" x14ac:dyDescent="0.2">
      <c r="B54" s="465" t="s">
        <v>200</v>
      </c>
      <c r="C54" s="466"/>
      <c r="D54" s="467" t="s">
        <v>267</v>
      </c>
      <c r="E54" s="466" t="s">
        <v>742</v>
      </c>
      <c r="F54" s="467">
        <v>97.875889999999998</v>
      </c>
      <c r="G54" s="467">
        <v>23.44744</v>
      </c>
      <c r="H54" s="467" t="s">
        <v>448</v>
      </c>
      <c r="I54" s="467" t="s">
        <v>213</v>
      </c>
      <c r="J54" s="467"/>
      <c r="K54" s="467"/>
      <c r="L54" s="468">
        <v>105</v>
      </c>
      <c r="M54" s="468">
        <v>481</v>
      </c>
      <c r="N54" s="468"/>
      <c r="O54" s="468">
        <v>481</v>
      </c>
      <c r="P54" s="376" t="str">
        <f t="shared" si="37"/>
        <v>2. Medium</v>
      </c>
      <c r="Q54" s="717" t="s">
        <v>808</v>
      </c>
      <c r="R54" s="469"/>
      <c r="S54" s="477" t="s">
        <v>232</v>
      </c>
      <c r="T54" s="398" t="str">
        <f t="shared" si="38"/>
        <v>Covered</v>
      </c>
      <c r="U54" s="478">
        <v>42369</v>
      </c>
      <c r="V54" s="469" t="s">
        <v>252</v>
      </c>
      <c r="W54" s="395" t="str">
        <f t="shared" si="39"/>
        <v>Documented</v>
      </c>
      <c r="X54" s="484">
        <v>0</v>
      </c>
      <c r="Y54" s="468">
        <v>0</v>
      </c>
      <c r="Z54" s="801"/>
      <c r="AA54" s="485" t="s">
        <v>19</v>
      </c>
      <c r="AB54" s="492">
        <v>1</v>
      </c>
      <c r="AC54" s="468">
        <v>0</v>
      </c>
      <c r="AD54" s="485">
        <v>2000</v>
      </c>
      <c r="AE54" s="497">
        <v>1</v>
      </c>
      <c r="AF54" s="498">
        <v>0</v>
      </c>
      <c r="AG54" s="797"/>
      <c r="AH54" s="401">
        <f t="shared" si="40"/>
        <v>1</v>
      </c>
      <c r="AI54" s="378">
        <f t="shared" si="41"/>
        <v>481</v>
      </c>
      <c r="AJ54" s="379">
        <f t="shared" si="42"/>
        <v>1</v>
      </c>
      <c r="AK54" s="380">
        <f t="shared" si="43"/>
        <v>481</v>
      </c>
      <c r="AL54" s="377">
        <f t="shared" si="44"/>
        <v>1</v>
      </c>
      <c r="AM54" s="380">
        <f t="shared" si="45"/>
        <v>481</v>
      </c>
      <c r="AN54" s="381" t="str">
        <f t="shared" si="46"/>
        <v>80-100%</v>
      </c>
      <c r="AO54" s="377">
        <f t="shared" si="47"/>
        <v>0</v>
      </c>
      <c r="AP54" s="382">
        <f t="shared" si="48"/>
        <v>0</v>
      </c>
      <c r="AQ54" s="380">
        <f t="shared" si="49"/>
        <v>0.2024999999999999</v>
      </c>
      <c r="AR54" s="380">
        <f t="shared" si="50"/>
        <v>0</v>
      </c>
      <c r="AS54" s="380">
        <f t="shared" si="51"/>
        <v>481</v>
      </c>
      <c r="AT54" s="506">
        <v>1</v>
      </c>
      <c r="AU54" s="502">
        <f t="shared" si="52"/>
        <v>481</v>
      </c>
      <c r="AV54" s="491"/>
      <c r="AW54" s="747">
        <v>10</v>
      </c>
      <c r="AX54" s="468">
        <v>90</v>
      </c>
      <c r="AY54" s="468"/>
      <c r="AZ54" s="468">
        <v>0</v>
      </c>
      <c r="BA54" s="468"/>
      <c r="BB54" s="468" t="s">
        <v>89</v>
      </c>
      <c r="BC54" s="383">
        <f t="shared" si="53"/>
        <v>1</v>
      </c>
      <c r="BD54" s="380">
        <f t="shared" si="54"/>
        <v>481</v>
      </c>
      <c r="BE54" s="383">
        <f t="shared" si="55"/>
        <v>1</v>
      </c>
      <c r="BF54" s="380">
        <f t="shared" si="56"/>
        <v>481</v>
      </c>
      <c r="BG54" s="383">
        <f t="shared" si="57"/>
        <v>0</v>
      </c>
      <c r="BH54" s="380">
        <f t="shared" si="58"/>
        <v>0</v>
      </c>
      <c r="BI54" s="490">
        <v>0</v>
      </c>
      <c r="BJ54" s="506">
        <v>1</v>
      </c>
      <c r="BK54" s="384">
        <f t="shared" si="59"/>
        <v>481</v>
      </c>
      <c r="BL54" s="385">
        <f t="shared" si="60"/>
        <v>24.05</v>
      </c>
      <c r="BM54" s="468">
        <v>0</v>
      </c>
      <c r="BN54" s="468" t="s">
        <v>89</v>
      </c>
      <c r="BO54" s="383">
        <f t="shared" si="61"/>
        <v>0</v>
      </c>
      <c r="BP54" s="380">
        <f t="shared" si="62"/>
        <v>0</v>
      </c>
      <c r="BQ54" s="385">
        <f t="shared" si="63"/>
        <v>4.8099999999999996</v>
      </c>
      <c r="BR54" s="506">
        <v>0</v>
      </c>
      <c r="BS54" s="380">
        <f t="shared" si="64"/>
        <v>0</v>
      </c>
      <c r="BT54" s="468">
        <v>0</v>
      </c>
      <c r="BU54" s="383">
        <f t="shared" si="65"/>
        <v>0</v>
      </c>
      <c r="BV54" s="385">
        <f t="shared" si="66"/>
        <v>4.8099999999999996</v>
      </c>
      <c r="BW54" s="494">
        <v>0</v>
      </c>
      <c r="BX54" s="516" t="s">
        <v>889</v>
      </c>
      <c r="BY54" s="518">
        <v>42102</v>
      </c>
      <c r="BZ54" s="804"/>
      <c r="CA54" s="807"/>
      <c r="CB54" s="386">
        <f t="shared" si="67"/>
        <v>42467</v>
      </c>
      <c r="CC54" s="468">
        <v>105</v>
      </c>
      <c r="CD54" s="468">
        <v>3</v>
      </c>
      <c r="CE54" s="390">
        <f t="shared" si="68"/>
        <v>0</v>
      </c>
      <c r="CF54" s="391">
        <f t="shared" si="69"/>
        <v>1</v>
      </c>
      <c r="CG54" s="384">
        <f t="shared" si="70"/>
        <v>481</v>
      </c>
      <c r="CH54" s="791">
        <f t="shared" si="71"/>
        <v>2</v>
      </c>
      <c r="CI54" s="523"/>
      <c r="CJ54" s="498">
        <v>0</v>
      </c>
      <c r="CK54" s="405">
        <f t="shared" si="72"/>
        <v>0</v>
      </c>
      <c r="CL54" s="492">
        <v>0</v>
      </c>
      <c r="CM54" s="389" t="str">
        <f t="shared" si="73"/>
        <v>No coverage</v>
      </c>
      <c r="CN54" s="468">
        <v>0</v>
      </c>
      <c r="CO54" s="485" t="s">
        <v>65</v>
      </c>
      <c r="CP54" s="525"/>
    </row>
    <row r="55" spans="2:94" s="40" customFormat="1" ht="30.75" customHeight="1" x14ac:dyDescent="0.2">
      <c r="B55" s="465" t="s">
        <v>200</v>
      </c>
      <c r="C55" s="466" t="s">
        <v>544</v>
      </c>
      <c r="D55" s="467" t="s">
        <v>267</v>
      </c>
      <c r="E55" s="466" t="s">
        <v>208</v>
      </c>
      <c r="F55" s="467">
        <v>97.837040000000002</v>
      </c>
      <c r="G55" s="467">
        <v>23.38503</v>
      </c>
      <c r="H55" s="467" t="s">
        <v>448</v>
      </c>
      <c r="I55" s="467" t="s">
        <v>213</v>
      </c>
      <c r="J55" s="467"/>
      <c r="K55" s="467"/>
      <c r="L55" s="468">
        <v>178</v>
      </c>
      <c r="M55" s="468">
        <v>846</v>
      </c>
      <c r="N55" s="468"/>
      <c r="O55" s="468">
        <v>826</v>
      </c>
      <c r="P55" s="376" t="str">
        <f t="shared" si="37"/>
        <v>2. Medium</v>
      </c>
      <c r="Q55" s="717" t="s">
        <v>808</v>
      </c>
      <c r="R55" s="469" t="s">
        <v>234</v>
      </c>
      <c r="S55" s="477" t="s">
        <v>232</v>
      </c>
      <c r="T55" s="398" t="str">
        <f t="shared" si="38"/>
        <v>Covered</v>
      </c>
      <c r="U55" s="478">
        <v>42460</v>
      </c>
      <c r="V55" s="469" t="s">
        <v>252</v>
      </c>
      <c r="W55" s="395" t="str">
        <f t="shared" si="39"/>
        <v>Documented</v>
      </c>
      <c r="X55" s="484">
        <v>0</v>
      </c>
      <c r="Y55" s="468">
        <v>0</v>
      </c>
      <c r="Z55" s="801"/>
      <c r="AA55" s="485" t="s">
        <v>19</v>
      </c>
      <c r="AB55" s="492">
        <v>0</v>
      </c>
      <c r="AC55" s="468">
        <v>0</v>
      </c>
      <c r="AD55" s="485">
        <v>17000</v>
      </c>
      <c r="AE55" s="497">
        <v>1</v>
      </c>
      <c r="AF55" s="498">
        <v>0</v>
      </c>
      <c r="AG55" s="797"/>
      <c r="AH55" s="401">
        <f t="shared" si="40"/>
        <v>1</v>
      </c>
      <c r="AI55" s="378">
        <f t="shared" si="41"/>
        <v>826</v>
      </c>
      <c r="AJ55" s="379">
        <f t="shared" si="42"/>
        <v>1</v>
      </c>
      <c r="AK55" s="380">
        <f t="shared" si="43"/>
        <v>826</v>
      </c>
      <c r="AL55" s="377">
        <f t="shared" si="44"/>
        <v>1</v>
      </c>
      <c r="AM55" s="380">
        <f t="shared" si="45"/>
        <v>826</v>
      </c>
      <c r="AN55" s="381" t="str">
        <f t="shared" si="46"/>
        <v>80-100%</v>
      </c>
      <c r="AO55" s="377">
        <f t="shared" si="47"/>
        <v>0</v>
      </c>
      <c r="AP55" s="382">
        <f t="shared" si="48"/>
        <v>0</v>
      </c>
      <c r="AQ55" s="380">
        <f t="shared" si="49"/>
        <v>2.0649999999999999</v>
      </c>
      <c r="AR55" s="380">
        <f t="shared" si="50"/>
        <v>0</v>
      </c>
      <c r="AS55" s="380">
        <f t="shared" si="51"/>
        <v>826</v>
      </c>
      <c r="AT55" s="506">
        <v>1</v>
      </c>
      <c r="AU55" s="502">
        <f t="shared" si="52"/>
        <v>826</v>
      </c>
      <c r="AV55" s="485" t="s">
        <v>838</v>
      </c>
      <c r="AW55" s="747">
        <v>138</v>
      </c>
      <c r="AX55" s="468">
        <v>81</v>
      </c>
      <c r="AY55" s="468"/>
      <c r="AZ55" s="468">
        <v>0</v>
      </c>
      <c r="BA55" s="468"/>
      <c r="BB55" s="468" t="s">
        <v>289</v>
      </c>
      <c r="BC55" s="383">
        <f t="shared" si="53"/>
        <v>1</v>
      </c>
      <c r="BD55" s="380">
        <f t="shared" si="54"/>
        <v>826</v>
      </c>
      <c r="BE55" s="383">
        <f t="shared" si="55"/>
        <v>1</v>
      </c>
      <c r="BF55" s="380">
        <f t="shared" si="56"/>
        <v>826</v>
      </c>
      <c r="BG55" s="383">
        <f t="shared" si="57"/>
        <v>0</v>
      </c>
      <c r="BH55" s="380">
        <f t="shared" si="58"/>
        <v>0</v>
      </c>
      <c r="BI55" s="490">
        <v>3</v>
      </c>
      <c r="BJ55" s="506">
        <v>1</v>
      </c>
      <c r="BK55" s="384">
        <f t="shared" si="59"/>
        <v>826</v>
      </c>
      <c r="BL55" s="385">
        <f t="shared" si="60"/>
        <v>44.3</v>
      </c>
      <c r="BM55" s="468">
        <v>9</v>
      </c>
      <c r="BN55" s="468"/>
      <c r="BO55" s="383">
        <f t="shared" si="61"/>
        <v>1</v>
      </c>
      <c r="BP55" s="380">
        <f t="shared" si="62"/>
        <v>826</v>
      </c>
      <c r="BQ55" s="385">
        <f t="shared" si="63"/>
        <v>0</v>
      </c>
      <c r="BR55" s="506">
        <v>1</v>
      </c>
      <c r="BS55" s="380">
        <f t="shared" si="64"/>
        <v>826</v>
      </c>
      <c r="BT55" s="468">
        <v>1</v>
      </c>
      <c r="BU55" s="383">
        <f t="shared" si="65"/>
        <v>0.12106537530266344</v>
      </c>
      <c r="BV55" s="385">
        <f t="shared" si="66"/>
        <v>7.4600000000000009</v>
      </c>
      <c r="BW55" s="494">
        <v>0.12</v>
      </c>
      <c r="BX55" s="516" t="s">
        <v>638</v>
      </c>
      <c r="BY55" s="518">
        <v>42125</v>
      </c>
      <c r="BZ55" s="804"/>
      <c r="CA55" s="807"/>
      <c r="CB55" s="386">
        <f t="shared" si="67"/>
        <v>42490</v>
      </c>
      <c r="CC55" s="468">
        <v>178</v>
      </c>
      <c r="CD55" s="468">
        <v>5</v>
      </c>
      <c r="CE55" s="390">
        <f t="shared" si="68"/>
        <v>0</v>
      </c>
      <c r="CF55" s="391">
        <f t="shared" si="69"/>
        <v>1</v>
      </c>
      <c r="CG55" s="384">
        <f t="shared" si="70"/>
        <v>826</v>
      </c>
      <c r="CH55" s="791">
        <f t="shared" si="71"/>
        <v>0</v>
      </c>
      <c r="CI55" s="484" t="s">
        <v>818</v>
      </c>
      <c r="CJ55" s="498">
        <v>0</v>
      </c>
      <c r="CK55" s="405">
        <f t="shared" si="72"/>
        <v>0</v>
      </c>
      <c r="CL55" s="492">
        <v>1</v>
      </c>
      <c r="CM55" s="389" t="str">
        <f t="shared" si="73"/>
        <v>Average coverage</v>
      </c>
      <c r="CN55" s="468">
        <v>0</v>
      </c>
      <c r="CO55" s="485" t="s">
        <v>65</v>
      </c>
      <c r="CP55" s="525"/>
    </row>
    <row r="56" spans="2:94" s="40" customFormat="1" ht="30.75" customHeight="1" x14ac:dyDescent="0.25">
      <c r="B56" s="465" t="s">
        <v>181</v>
      </c>
      <c r="C56" s="466" t="s">
        <v>545</v>
      </c>
      <c r="D56" s="467" t="s">
        <v>265</v>
      </c>
      <c r="E56" s="466" t="s">
        <v>613</v>
      </c>
      <c r="F56" s="467">
        <v>97.609832999999995</v>
      </c>
      <c r="G56" s="467">
        <v>24.002433</v>
      </c>
      <c r="H56" s="467" t="s">
        <v>448</v>
      </c>
      <c r="I56" s="467" t="s">
        <v>221</v>
      </c>
      <c r="J56" s="467"/>
      <c r="K56" s="467"/>
      <c r="L56" s="471">
        <v>169</v>
      </c>
      <c r="M56" s="471">
        <v>742</v>
      </c>
      <c r="N56" s="471"/>
      <c r="O56" s="471">
        <v>742</v>
      </c>
      <c r="P56" s="376" t="str">
        <f t="shared" si="37"/>
        <v>2. Medium</v>
      </c>
      <c r="Q56" s="717" t="s">
        <v>410</v>
      </c>
      <c r="R56" s="472" t="s">
        <v>230</v>
      </c>
      <c r="S56" s="479" t="s">
        <v>299</v>
      </c>
      <c r="T56" s="398" t="str">
        <f t="shared" si="38"/>
        <v>Not covered</v>
      </c>
      <c r="U56" s="478" t="s">
        <v>626</v>
      </c>
      <c r="V56" s="481" t="s">
        <v>252</v>
      </c>
      <c r="W56" s="395" t="str">
        <f t="shared" si="39"/>
        <v>Documented</v>
      </c>
      <c r="X56" s="486">
        <v>0</v>
      </c>
      <c r="Y56" s="471">
        <v>0</v>
      </c>
      <c r="Z56" s="800"/>
      <c r="AA56" s="487" t="s">
        <v>19</v>
      </c>
      <c r="AB56" s="486">
        <v>2</v>
      </c>
      <c r="AC56" s="471">
        <v>0</v>
      </c>
      <c r="AD56" s="487">
        <v>81090</v>
      </c>
      <c r="AE56" s="495">
        <v>0</v>
      </c>
      <c r="AF56" s="496">
        <v>0.95</v>
      </c>
      <c r="AG56" s="796"/>
      <c r="AH56" s="401">
        <f t="shared" si="40"/>
        <v>1</v>
      </c>
      <c r="AI56" s="378">
        <f t="shared" si="41"/>
        <v>742</v>
      </c>
      <c r="AJ56" s="379">
        <f t="shared" si="42"/>
        <v>1</v>
      </c>
      <c r="AK56" s="380">
        <f t="shared" si="43"/>
        <v>742</v>
      </c>
      <c r="AL56" s="377">
        <f t="shared" si="44"/>
        <v>1</v>
      </c>
      <c r="AM56" s="380">
        <f t="shared" si="45"/>
        <v>742</v>
      </c>
      <c r="AN56" s="381" t="str">
        <f t="shared" si="46"/>
        <v>80-100%</v>
      </c>
      <c r="AO56" s="377">
        <f t="shared" si="47"/>
        <v>0</v>
      </c>
      <c r="AP56" s="382">
        <f t="shared" si="48"/>
        <v>0</v>
      </c>
      <c r="AQ56" s="380">
        <f t="shared" si="49"/>
        <v>0</v>
      </c>
      <c r="AR56" s="380">
        <f t="shared" si="50"/>
        <v>160.54999999999998</v>
      </c>
      <c r="AS56" s="380">
        <f t="shared" si="51"/>
        <v>0</v>
      </c>
      <c r="AT56" s="504">
        <v>1</v>
      </c>
      <c r="AU56" s="502">
        <f t="shared" si="52"/>
        <v>742</v>
      </c>
      <c r="AV56" s="496"/>
      <c r="AW56" s="748">
        <v>0</v>
      </c>
      <c r="AX56" s="471">
        <v>42</v>
      </c>
      <c r="AY56" s="471"/>
      <c r="AZ56" s="471">
        <v>14</v>
      </c>
      <c r="BA56" s="471"/>
      <c r="BB56" s="471" t="s">
        <v>290</v>
      </c>
      <c r="BC56" s="383">
        <f t="shared" si="53"/>
        <v>1</v>
      </c>
      <c r="BD56" s="380">
        <f t="shared" si="54"/>
        <v>742</v>
      </c>
      <c r="BE56" s="383">
        <f t="shared" si="55"/>
        <v>0.62264150943396224</v>
      </c>
      <c r="BF56" s="380">
        <f t="shared" si="56"/>
        <v>462</v>
      </c>
      <c r="BG56" s="383">
        <f t="shared" si="57"/>
        <v>0.37735849056603776</v>
      </c>
      <c r="BH56" s="380">
        <f t="shared" si="58"/>
        <v>280</v>
      </c>
      <c r="BI56" s="509">
        <v>0</v>
      </c>
      <c r="BJ56" s="504">
        <v>1</v>
      </c>
      <c r="BK56" s="384">
        <f t="shared" si="59"/>
        <v>742</v>
      </c>
      <c r="BL56" s="385">
        <f t="shared" si="60"/>
        <v>23.1</v>
      </c>
      <c r="BM56" s="471">
        <v>4</v>
      </c>
      <c r="BN56" s="471" t="s">
        <v>89</v>
      </c>
      <c r="BO56" s="383">
        <f t="shared" si="61"/>
        <v>0.53908355795148244</v>
      </c>
      <c r="BP56" s="380">
        <f t="shared" si="62"/>
        <v>399.99999999999994</v>
      </c>
      <c r="BQ56" s="385">
        <f t="shared" si="63"/>
        <v>3.42</v>
      </c>
      <c r="BR56" s="510">
        <v>0.54</v>
      </c>
      <c r="BS56" s="380">
        <f t="shared" si="64"/>
        <v>400.68</v>
      </c>
      <c r="BT56" s="471">
        <v>1</v>
      </c>
      <c r="BU56" s="383">
        <f t="shared" si="65"/>
        <v>0.13477088948787061</v>
      </c>
      <c r="BV56" s="385">
        <f t="shared" si="66"/>
        <v>6.42</v>
      </c>
      <c r="BW56" s="496">
        <v>0.13</v>
      </c>
      <c r="BX56" s="517"/>
      <c r="BY56" s="519">
        <v>41726</v>
      </c>
      <c r="BZ56" s="803"/>
      <c r="CA56" s="806"/>
      <c r="CB56" s="386" t="str">
        <f t="shared" si="67"/>
        <v>To be realised</v>
      </c>
      <c r="CC56" s="509">
        <v>166</v>
      </c>
      <c r="CD56" s="509">
        <v>3</v>
      </c>
      <c r="CE56" s="387">
        <f t="shared" si="68"/>
        <v>169</v>
      </c>
      <c r="CF56" s="388">
        <f t="shared" si="69"/>
        <v>0</v>
      </c>
      <c r="CG56" s="380">
        <f t="shared" si="70"/>
        <v>0</v>
      </c>
      <c r="CH56" s="403">
        <f t="shared" si="71"/>
        <v>14</v>
      </c>
      <c r="CI56" s="521"/>
      <c r="CJ56" s="496"/>
      <c r="CK56" s="405">
        <f t="shared" si="72"/>
        <v>0</v>
      </c>
      <c r="CL56" s="521">
        <v>7</v>
      </c>
      <c r="CM56" s="389" t="str">
        <f t="shared" si="73"/>
        <v>Excellent coverage</v>
      </c>
      <c r="CN56" s="490">
        <v>0</v>
      </c>
      <c r="CO56" s="529" t="s">
        <v>66</v>
      </c>
      <c r="CP56" s="528"/>
    </row>
    <row r="57" spans="2:94" s="40" customFormat="1" ht="30.75" customHeight="1" x14ac:dyDescent="0.25">
      <c r="B57" s="465" t="s">
        <v>181</v>
      </c>
      <c r="C57" s="466" t="s">
        <v>546</v>
      </c>
      <c r="D57" s="467" t="s">
        <v>265</v>
      </c>
      <c r="E57" s="466" t="s">
        <v>614</v>
      </c>
      <c r="F57" s="467">
        <v>97.609832999999995</v>
      </c>
      <c r="G57" s="467">
        <v>24.002433</v>
      </c>
      <c r="H57" s="467" t="s">
        <v>448</v>
      </c>
      <c r="I57" s="467" t="s">
        <v>221</v>
      </c>
      <c r="J57" s="467"/>
      <c r="K57" s="467"/>
      <c r="L57" s="471">
        <v>207</v>
      </c>
      <c r="M57" s="471">
        <v>878</v>
      </c>
      <c r="N57" s="471"/>
      <c r="O57" s="471">
        <v>878</v>
      </c>
      <c r="P57" s="376" t="str">
        <f t="shared" si="37"/>
        <v>2. Medium</v>
      </c>
      <c r="Q57" s="717" t="s">
        <v>410</v>
      </c>
      <c r="R57" s="472" t="s">
        <v>277</v>
      </c>
      <c r="S57" s="479" t="s">
        <v>299</v>
      </c>
      <c r="T57" s="398" t="str">
        <f t="shared" si="38"/>
        <v>Not covered</v>
      </c>
      <c r="U57" s="478" t="s">
        <v>626</v>
      </c>
      <c r="V57" s="481" t="s">
        <v>252</v>
      </c>
      <c r="W57" s="395" t="str">
        <f t="shared" si="39"/>
        <v>Documented</v>
      </c>
      <c r="X57" s="486">
        <v>0</v>
      </c>
      <c r="Y57" s="471">
        <v>0</v>
      </c>
      <c r="Z57" s="800"/>
      <c r="AA57" s="487" t="s">
        <v>19</v>
      </c>
      <c r="AB57" s="486">
        <v>3</v>
      </c>
      <c r="AC57" s="471">
        <v>0</v>
      </c>
      <c r="AD57" s="487">
        <v>38340</v>
      </c>
      <c r="AE57" s="495">
        <v>0</v>
      </c>
      <c r="AF57" s="496">
        <v>0.45</v>
      </c>
      <c r="AG57" s="796"/>
      <c r="AH57" s="401">
        <f t="shared" si="40"/>
        <v>1</v>
      </c>
      <c r="AI57" s="378">
        <f t="shared" si="41"/>
        <v>878</v>
      </c>
      <c r="AJ57" s="379">
        <f t="shared" si="42"/>
        <v>1</v>
      </c>
      <c r="AK57" s="380">
        <f t="shared" si="43"/>
        <v>878</v>
      </c>
      <c r="AL57" s="377">
        <f t="shared" si="44"/>
        <v>1</v>
      </c>
      <c r="AM57" s="380">
        <f t="shared" si="45"/>
        <v>878</v>
      </c>
      <c r="AN57" s="381" t="str">
        <f t="shared" si="46"/>
        <v>80-100%</v>
      </c>
      <c r="AO57" s="377">
        <f t="shared" si="47"/>
        <v>0</v>
      </c>
      <c r="AP57" s="382">
        <f t="shared" si="48"/>
        <v>0</v>
      </c>
      <c r="AQ57" s="380">
        <f t="shared" si="49"/>
        <v>0</v>
      </c>
      <c r="AR57" s="380">
        <f t="shared" si="50"/>
        <v>93.15</v>
      </c>
      <c r="AS57" s="380">
        <f t="shared" si="51"/>
        <v>0</v>
      </c>
      <c r="AT57" s="504">
        <v>1</v>
      </c>
      <c r="AU57" s="502">
        <f t="shared" si="52"/>
        <v>878</v>
      </c>
      <c r="AV57" s="496"/>
      <c r="AW57" s="748">
        <v>0</v>
      </c>
      <c r="AX57" s="471">
        <v>21</v>
      </c>
      <c r="AY57" s="471"/>
      <c r="AZ57" s="471">
        <v>31</v>
      </c>
      <c r="BA57" s="471"/>
      <c r="BB57" s="471" t="s">
        <v>290</v>
      </c>
      <c r="BC57" s="383">
        <f t="shared" si="53"/>
        <v>1</v>
      </c>
      <c r="BD57" s="380">
        <f t="shared" si="54"/>
        <v>878</v>
      </c>
      <c r="BE57" s="383">
        <f t="shared" si="55"/>
        <v>0.29384965831435084</v>
      </c>
      <c r="BF57" s="380">
        <f t="shared" si="56"/>
        <v>258.00000000000006</v>
      </c>
      <c r="BG57" s="383">
        <f t="shared" si="57"/>
        <v>0.70615034168564916</v>
      </c>
      <c r="BH57" s="380">
        <f t="shared" si="58"/>
        <v>620</v>
      </c>
      <c r="BI57" s="509">
        <v>0</v>
      </c>
      <c r="BJ57" s="504">
        <v>1</v>
      </c>
      <c r="BK57" s="384">
        <f t="shared" si="59"/>
        <v>878</v>
      </c>
      <c r="BL57" s="385">
        <f t="shared" si="60"/>
        <v>12.899999999999999</v>
      </c>
      <c r="BM57" s="471">
        <v>3</v>
      </c>
      <c r="BN57" s="471" t="s">
        <v>290</v>
      </c>
      <c r="BO57" s="383">
        <f t="shared" si="61"/>
        <v>0.34168564920273348</v>
      </c>
      <c r="BP57" s="380">
        <f t="shared" si="62"/>
        <v>300</v>
      </c>
      <c r="BQ57" s="385">
        <f t="shared" si="63"/>
        <v>5.7799999999999994</v>
      </c>
      <c r="BR57" s="510">
        <v>0.34</v>
      </c>
      <c r="BS57" s="380">
        <f t="shared" si="64"/>
        <v>298.52000000000004</v>
      </c>
      <c r="BT57" s="471">
        <v>3</v>
      </c>
      <c r="BU57" s="383">
        <f t="shared" si="65"/>
        <v>0.34168564920273348</v>
      </c>
      <c r="BV57" s="385">
        <f t="shared" si="66"/>
        <v>5.7799999999999994</v>
      </c>
      <c r="BW57" s="496">
        <v>0.34</v>
      </c>
      <c r="BX57" s="517"/>
      <c r="BY57" s="519">
        <v>41996</v>
      </c>
      <c r="BZ57" s="803"/>
      <c r="CA57" s="806"/>
      <c r="CB57" s="386">
        <f t="shared" si="67"/>
        <v>42361</v>
      </c>
      <c r="CC57" s="509">
        <v>206</v>
      </c>
      <c r="CD57" s="509">
        <v>0</v>
      </c>
      <c r="CE57" s="387">
        <f t="shared" si="68"/>
        <v>1</v>
      </c>
      <c r="CF57" s="388">
        <f t="shared" si="69"/>
        <v>0.99516908212560384</v>
      </c>
      <c r="CG57" s="380">
        <f t="shared" si="70"/>
        <v>873.75845410628017</v>
      </c>
      <c r="CH57" s="403">
        <f t="shared" si="71"/>
        <v>8</v>
      </c>
      <c r="CI57" s="521"/>
      <c r="CJ57" s="496"/>
      <c r="CK57" s="405">
        <f t="shared" si="72"/>
        <v>0</v>
      </c>
      <c r="CL57" s="521">
        <v>12</v>
      </c>
      <c r="CM57" s="389" t="str">
        <f t="shared" si="73"/>
        <v>Excellent coverage</v>
      </c>
      <c r="CN57" s="490">
        <v>0</v>
      </c>
      <c r="CO57" s="529" t="s">
        <v>292</v>
      </c>
      <c r="CP57" s="528"/>
    </row>
    <row r="58" spans="2:94" s="40" customFormat="1" ht="30.75" customHeight="1" x14ac:dyDescent="0.25">
      <c r="B58" s="465" t="s">
        <v>181</v>
      </c>
      <c r="C58" s="466" t="s">
        <v>545</v>
      </c>
      <c r="D58" s="467" t="s">
        <v>265</v>
      </c>
      <c r="E58" s="466" t="s">
        <v>718</v>
      </c>
      <c r="F58" s="467">
        <v>97.602490000000003</v>
      </c>
      <c r="G58" s="467">
        <v>24.000039999999998</v>
      </c>
      <c r="H58" s="467" t="s">
        <v>448</v>
      </c>
      <c r="I58" s="467" t="s">
        <v>221</v>
      </c>
      <c r="J58" s="467"/>
      <c r="K58" s="467"/>
      <c r="L58" s="471">
        <v>53</v>
      </c>
      <c r="M58" s="471">
        <v>201</v>
      </c>
      <c r="N58" s="471"/>
      <c r="O58" s="471">
        <v>201</v>
      </c>
      <c r="P58" s="376" t="str">
        <f t="shared" si="37"/>
        <v>2. Medium</v>
      </c>
      <c r="Q58" s="717"/>
      <c r="R58" s="472"/>
      <c r="S58" s="479" t="s">
        <v>299</v>
      </c>
      <c r="T58" s="398" t="str">
        <f t="shared" si="38"/>
        <v>Not covered</v>
      </c>
      <c r="U58" s="478" t="s">
        <v>626</v>
      </c>
      <c r="V58" s="481" t="s">
        <v>252</v>
      </c>
      <c r="W58" s="395" t="str">
        <f t="shared" si="39"/>
        <v>Documented</v>
      </c>
      <c r="X58" s="486">
        <v>0</v>
      </c>
      <c r="Y58" s="471">
        <v>0</v>
      </c>
      <c r="Z58" s="800"/>
      <c r="AA58" s="487" t="s">
        <v>19</v>
      </c>
      <c r="AB58" s="486">
        <v>1</v>
      </c>
      <c r="AC58" s="471">
        <v>0</v>
      </c>
      <c r="AD58" s="487">
        <v>10000</v>
      </c>
      <c r="AE58" s="495">
        <v>0</v>
      </c>
      <c r="AF58" s="496">
        <v>0</v>
      </c>
      <c r="AG58" s="796"/>
      <c r="AH58" s="401">
        <f t="shared" si="40"/>
        <v>1</v>
      </c>
      <c r="AI58" s="378">
        <f t="shared" si="41"/>
        <v>201</v>
      </c>
      <c r="AJ58" s="379">
        <f t="shared" si="42"/>
        <v>1</v>
      </c>
      <c r="AK58" s="380">
        <f t="shared" si="43"/>
        <v>201</v>
      </c>
      <c r="AL58" s="377">
        <f t="shared" si="44"/>
        <v>1</v>
      </c>
      <c r="AM58" s="380">
        <f t="shared" si="45"/>
        <v>201</v>
      </c>
      <c r="AN58" s="381" t="str">
        <f t="shared" si="46"/>
        <v>80-100%</v>
      </c>
      <c r="AO58" s="377">
        <f t="shared" si="47"/>
        <v>0</v>
      </c>
      <c r="AP58" s="382">
        <f t="shared" si="48"/>
        <v>0</v>
      </c>
      <c r="AQ58" s="380">
        <f t="shared" si="49"/>
        <v>0</v>
      </c>
      <c r="AR58" s="380">
        <f t="shared" si="50"/>
        <v>0</v>
      </c>
      <c r="AS58" s="380">
        <f t="shared" si="51"/>
        <v>0</v>
      </c>
      <c r="AT58" s="504">
        <v>1</v>
      </c>
      <c r="AU58" s="502">
        <f t="shared" si="52"/>
        <v>201</v>
      </c>
      <c r="AV58" s="496"/>
      <c r="AW58" s="748">
        <v>0</v>
      </c>
      <c r="AX58" s="471">
        <v>0</v>
      </c>
      <c r="AY58" s="471"/>
      <c r="AZ58" s="471">
        <v>20</v>
      </c>
      <c r="BA58" s="471"/>
      <c r="BB58" s="471" t="s">
        <v>290</v>
      </c>
      <c r="BC58" s="383">
        <f t="shared" si="53"/>
        <v>1</v>
      </c>
      <c r="BD58" s="380">
        <f t="shared" si="54"/>
        <v>201</v>
      </c>
      <c r="BE58" s="383">
        <f t="shared" si="55"/>
        <v>0</v>
      </c>
      <c r="BF58" s="380">
        <f t="shared" si="56"/>
        <v>0</v>
      </c>
      <c r="BG58" s="383">
        <f t="shared" si="57"/>
        <v>1</v>
      </c>
      <c r="BH58" s="380">
        <f t="shared" si="58"/>
        <v>201</v>
      </c>
      <c r="BI58" s="509">
        <v>0</v>
      </c>
      <c r="BJ58" s="504">
        <v>1</v>
      </c>
      <c r="BK58" s="384">
        <f t="shared" si="59"/>
        <v>201</v>
      </c>
      <c r="BL58" s="385">
        <f t="shared" si="60"/>
        <v>0</v>
      </c>
      <c r="BM58" s="471">
        <v>4</v>
      </c>
      <c r="BN58" s="471" t="s">
        <v>290</v>
      </c>
      <c r="BO58" s="383">
        <f t="shared" si="61"/>
        <v>1</v>
      </c>
      <c r="BP58" s="380">
        <f t="shared" si="62"/>
        <v>201</v>
      </c>
      <c r="BQ58" s="385">
        <f t="shared" si="63"/>
        <v>0</v>
      </c>
      <c r="BR58" s="510">
        <v>1</v>
      </c>
      <c r="BS58" s="380">
        <f t="shared" si="64"/>
        <v>201</v>
      </c>
      <c r="BT58" s="471">
        <v>5</v>
      </c>
      <c r="BU58" s="383">
        <f t="shared" si="65"/>
        <v>1</v>
      </c>
      <c r="BV58" s="385">
        <f t="shared" si="66"/>
        <v>0</v>
      </c>
      <c r="BW58" s="496">
        <v>1</v>
      </c>
      <c r="BX58" s="517" t="s">
        <v>722</v>
      </c>
      <c r="BY58" s="519">
        <v>42107</v>
      </c>
      <c r="BZ58" s="803"/>
      <c r="CA58" s="806"/>
      <c r="CB58" s="386">
        <f t="shared" si="67"/>
        <v>42472</v>
      </c>
      <c r="CC58" s="509">
        <v>47</v>
      </c>
      <c r="CD58" s="509">
        <v>0</v>
      </c>
      <c r="CE58" s="387">
        <f t="shared" si="68"/>
        <v>6</v>
      </c>
      <c r="CF58" s="388">
        <f t="shared" si="69"/>
        <v>0.8867924528301887</v>
      </c>
      <c r="CG58" s="380">
        <f t="shared" si="70"/>
        <v>178.24528301886792</v>
      </c>
      <c r="CH58" s="403">
        <f t="shared" si="71"/>
        <v>5</v>
      </c>
      <c r="CI58" s="521"/>
      <c r="CJ58" s="496"/>
      <c r="CK58" s="405">
        <f t="shared" si="72"/>
        <v>0</v>
      </c>
      <c r="CL58" s="521">
        <v>2</v>
      </c>
      <c r="CM58" s="389" t="str">
        <f t="shared" si="73"/>
        <v>Excellent coverage</v>
      </c>
      <c r="CN58" s="490">
        <v>0</v>
      </c>
      <c r="CO58" s="529" t="s">
        <v>292</v>
      </c>
      <c r="CP58" s="528"/>
    </row>
    <row r="59" spans="2:94" s="40" customFormat="1" ht="30.75" customHeight="1" x14ac:dyDescent="0.2">
      <c r="B59" s="465" t="s">
        <v>181</v>
      </c>
      <c r="C59" s="466" t="s">
        <v>695</v>
      </c>
      <c r="D59" s="467" t="s">
        <v>266</v>
      </c>
      <c r="E59" s="466" t="s">
        <v>669</v>
      </c>
      <c r="F59" s="467">
        <v>97.590767</v>
      </c>
      <c r="G59" s="467">
        <v>23.829599000000002</v>
      </c>
      <c r="H59" s="467" t="s">
        <v>448</v>
      </c>
      <c r="I59" s="467" t="s">
        <v>213</v>
      </c>
      <c r="J59" s="467"/>
      <c r="K59" s="467"/>
      <c r="L59" s="468">
        <v>114</v>
      </c>
      <c r="M59" s="468">
        <v>499</v>
      </c>
      <c r="N59" s="468"/>
      <c r="O59" s="468">
        <v>499</v>
      </c>
      <c r="P59" s="376" t="str">
        <f t="shared" si="37"/>
        <v>2. Medium</v>
      </c>
      <c r="Q59" s="717" t="s">
        <v>808</v>
      </c>
      <c r="R59" s="469" t="s">
        <v>234</v>
      </c>
      <c r="S59" s="477" t="s">
        <v>232</v>
      </c>
      <c r="T59" s="398" t="str">
        <f t="shared" si="38"/>
        <v>Covered</v>
      </c>
      <c r="U59" s="478">
        <v>42460</v>
      </c>
      <c r="V59" s="469" t="s">
        <v>252</v>
      </c>
      <c r="W59" s="395" t="str">
        <f t="shared" si="39"/>
        <v>Documented</v>
      </c>
      <c r="X59" s="484">
        <v>0</v>
      </c>
      <c r="Y59" s="468">
        <v>0</v>
      </c>
      <c r="Z59" s="801"/>
      <c r="AA59" s="485" t="s">
        <v>19</v>
      </c>
      <c r="AB59" s="492">
        <v>0</v>
      </c>
      <c r="AC59" s="468">
        <v>0</v>
      </c>
      <c r="AD59" s="485">
        <v>28000</v>
      </c>
      <c r="AE59" s="497">
        <v>0</v>
      </c>
      <c r="AF59" s="498">
        <v>1</v>
      </c>
      <c r="AG59" s="797"/>
      <c r="AH59" s="401">
        <f t="shared" si="40"/>
        <v>1</v>
      </c>
      <c r="AI59" s="378">
        <f t="shared" si="41"/>
        <v>499</v>
      </c>
      <c r="AJ59" s="379">
        <f t="shared" si="42"/>
        <v>1</v>
      </c>
      <c r="AK59" s="380">
        <f t="shared" si="43"/>
        <v>499</v>
      </c>
      <c r="AL59" s="377">
        <f t="shared" si="44"/>
        <v>1</v>
      </c>
      <c r="AM59" s="380">
        <f t="shared" si="45"/>
        <v>499</v>
      </c>
      <c r="AN59" s="381" t="str">
        <f t="shared" si="46"/>
        <v>80-100%</v>
      </c>
      <c r="AO59" s="377">
        <f t="shared" si="47"/>
        <v>0</v>
      </c>
      <c r="AP59" s="382">
        <f t="shared" si="48"/>
        <v>0</v>
      </c>
      <c r="AQ59" s="380">
        <f t="shared" si="49"/>
        <v>1.2475000000000001</v>
      </c>
      <c r="AR59" s="380">
        <f t="shared" si="50"/>
        <v>114</v>
      </c>
      <c r="AS59" s="380">
        <f t="shared" si="51"/>
        <v>0</v>
      </c>
      <c r="AT59" s="506">
        <v>1</v>
      </c>
      <c r="AU59" s="502">
        <f t="shared" si="52"/>
        <v>499</v>
      </c>
      <c r="AV59" s="485" t="s">
        <v>809</v>
      </c>
      <c r="AW59" s="747">
        <v>15</v>
      </c>
      <c r="AX59" s="468">
        <v>0</v>
      </c>
      <c r="AY59" s="468"/>
      <c r="AZ59" s="468">
        <v>9</v>
      </c>
      <c r="BA59" s="468"/>
      <c r="BB59" s="468" t="s">
        <v>290</v>
      </c>
      <c r="BC59" s="383">
        <f t="shared" si="53"/>
        <v>0.36072144288577157</v>
      </c>
      <c r="BD59" s="380">
        <f t="shared" si="54"/>
        <v>180</v>
      </c>
      <c r="BE59" s="383">
        <f t="shared" si="55"/>
        <v>0</v>
      </c>
      <c r="BF59" s="380">
        <f t="shared" si="56"/>
        <v>0</v>
      </c>
      <c r="BG59" s="383">
        <f t="shared" si="57"/>
        <v>0.36072144288577157</v>
      </c>
      <c r="BH59" s="380">
        <f t="shared" si="58"/>
        <v>180</v>
      </c>
      <c r="BI59" s="490">
        <v>7</v>
      </c>
      <c r="BJ59" s="506">
        <v>1</v>
      </c>
      <c r="BK59" s="384">
        <f t="shared" si="59"/>
        <v>499</v>
      </c>
      <c r="BL59" s="385">
        <f t="shared" si="60"/>
        <v>22.95</v>
      </c>
      <c r="BM59" s="468">
        <v>5</v>
      </c>
      <c r="BN59" s="468" t="s">
        <v>290</v>
      </c>
      <c r="BO59" s="383">
        <f t="shared" si="61"/>
        <v>1</v>
      </c>
      <c r="BP59" s="380">
        <f t="shared" si="62"/>
        <v>499</v>
      </c>
      <c r="BQ59" s="385">
        <f t="shared" si="63"/>
        <v>0</v>
      </c>
      <c r="BR59" s="506">
        <v>1</v>
      </c>
      <c r="BS59" s="380">
        <f t="shared" si="64"/>
        <v>499</v>
      </c>
      <c r="BT59" s="468">
        <v>4</v>
      </c>
      <c r="BU59" s="383">
        <f t="shared" si="65"/>
        <v>0.80160320641282568</v>
      </c>
      <c r="BV59" s="385">
        <f t="shared" si="66"/>
        <v>0.99000000000000021</v>
      </c>
      <c r="BW59" s="494">
        <v>0.82</v>
      </c>
      <c r="BX59" s="516" t="s">
        <v>747</v>
      </c>
      <c r="BY59" s="518">
        <v>41741</v>
      </c>
      <c r="BZ59" s="804"/>
      <c r="CA59" s="807"/>
      <c r="CB59" s="386" t="str">
        <f t="shared" si="67"/>
        <v>To be realised</v>
      </c>
      <c r="CC59" s="468">
        <v>117</v>
      </c>
      <c r="CD59" s="468">
        <v>3</v>
      </c>
      <c r="CE59" s="390">
        <f t="shared" si="68"/>
        <v>114</v>
      </c>
      <c r="CF59" s="391">
        <f t="shared" si="69"/>
        <v>0</v>
      </c>
      <c r="CG59" s="384">
        <f t="shared" si="70"/>
        <v>0</v>
      </c>
      <c r="CH59" s="791">
        <f t="shared" si="71"/>
        <v>14</v>
      </c>
      <c r="CI59" s="484" t="s">
        <v>902</v>
      </c>
      <c r="CJ59" s="498">
        <v>1</v>
      </c>
      <c r="CK59" s="405">
        <f t="shared" si="72"/>
        <v>499</v>
      </c>
      <c r="CL59" s="492">
        <v>9</v>
      </c>
      <c r="CM59" s="389" t="str">
        <f t="shared" si="73"/>
        <v>Excellent coverage</v>
      </c>
      <c r="CN59" s="468">
        <v>0</v>
      </c>
      <c r="CO59" s="485" t="s">
        <v>65</v>
      </c>
      <c r="CP59" s="525"/>
    </row>
    <row r="60" spans="2:94" s="40" customFormat="1" ht="30.75" customHeight="1" x14ac:dyDescent="0.25">
      <c r="B60" s="465" t="s">
        <v>181</v>
      </c>
      <c r="C60" s="466" t="s">
        <v>547</v>
      </c>
      <c r="D60" s="467" t="s">
        <v>265</v>
      </c>
      <c r="E60" s="466" t="s">
        <v>822</v>
      </c>
      <c r="F60" s="467">
        <v>97.625617000000005</v>
      </c>
      <c r="G60" s="467">
        <v>24.056132999999999</v>
      </c>
      <c r="H60" s="467" t="s">
        <v>448</v>
      </c>
      <c r="I60" s="467" t="s">
        <v>221</v>
      </c>
      <c r="J60" s="467"/>
      <c r="K60" s="467"/>
      <c r="L60" s="471">
        <v>545</v>
      </c>
      <c r="M60" s="471">
        <v>2561</v>
      </c>
      <c r="N60" s="471"/>
      <c r="O60" s="471">
        <v>2561</v>
      </c>
      <c r="P60" s="376" t="str">
        <f t="shared" si="37"/>
        <v>4. Big</v>
      </c>
      <c r="Q60" s="717" t="s">
        <v>410</v>
      </c>
      <c r="R60" s="472" t="s">
        <v>230</v>
      </c>
      <c r="S60" s="479" t="s">
        <v>299</v>
      </c>
      <c r="T60" s="398" t="str">
        <f t="shared" si="38"/>
        <v>Not covered</v>
      </c>
      <c r="U60" s="478" t="s">
        <v>626</v>
      </c>
      <c r="V60" s="481" t="s">
        <v>252</v>
      </c>
      <c r="W60" s="395" t="str">
        <f t="shared" si="39"/>
        <v>Documented</v>
      </c>
      <c r="X60" s="486">
        <v>0</v>
      </c>
      <c r="Y60" s="471">
        <v>0</v>
      </c>
      <c r="Z60" s="800"/>
      <c r="AA60" s="487" t="s">
        <v>19</v>
      </c>
      <c r="AB60" s="486">
        <v>2</v>
      </c>
      <c r="AC60" s="471">
        <v>0</v>
      </c>
      <c r="AD60" s="487">
        <v>128565</v>
      </c>
      <c r="AE60" s="495">
        <v>0</v>
      </c>
      <c r="AF60" s="496">
        <v>0.5</v>
      </c>
      <c r="AG60" s="796"/>
      <c r="AH60" s="401">
        <f t="shared" si="40"/>
        <v>1</v>
      </c>
      <c r="AI60" s="378">
        <f t="shared" si="41"/>
        <v>2561</v>
      </c>
      <c r="AJ60" s="379">
        <f t="shared" si="42"/>
        <v>1</v>
      </c>
      <c r="AK60" s="380">
        <f t="shared" si="43"/>
        <v>2561</v>
      </c>
      <c r="AL60" s="377">
        <f t="shared" si="44"/>
        <v>1</v>
      </c>
      <c r="AM60" s="380">
        <f t="shared" si="45"/>
        <v>2561</v>
      </c>
      <c r="AN60" s="381" t="str">
        <f t="shared" si="46"/>
        <v>80-100%</v>
      </c>
      <c r="AO60" s="377">
        <f t="shared" si="47"/>
        <v>0</v>
      </c>
      <c r="AP60" s="382">
        <f t="shared" si="48"/>
        <v>0</v>
      </c>
      <c r="AQ60" s="380">
        <f t="shared" si="49"/>
        <v>4.4024999999999999</v>
      </c>
      <c r="AR60" s="380">
        <f t="shared" si="50"/>
        <v>272.5</v>
      </c>
      <c r="AS60" s="380">
        <f t="shared" si="51"/>
        <v>0</v>
      </c>
      <c r="AT60" s="504">
        <v>1</v>
      </c>
      <c r="AU60" s="502">
        <f t="shared" si="52"/>
        <v>2561</v>
      </c>
      <c r="AV60" s="496"/>
      <c r="AW60" s="748">
        <v>0</v>
      </c>
      <c r="AX60" s="471">
        <v>20</v>
      </c>
      <c r="AY60" s="471"/>
      <c r="AZ60" s="471">
        <v>82</v>
      </c>
      <c r="BA60" s="471"/>
      <c r="BB60" s="471" t="s">
        <v>291</v>
      </c>
      <c r="BC60" s="383">
        <f t="shared" si="53"/>
        <v>0.79656384224912147</v>
      </c>
      <c r="BD60" s="380">
        <f t="shared" si="54"/>
        <v>2040</v>
      </c>
      <c r="BE60" s="383">
        <f t="shared" si="55"/>
        <v>0.15618898867629838</v>
      </c>
      <c r="BF60" s="380">
        <f t="shared" si="56"/>
        <v>400.00000000000017</v>
      </c>
      <c r="BG60" s="383">
        <f t="shared" si="57"/>
        <v>0.64037485357282309</v>
      </c>
      <c r="BH60" s="380">
        <f t="shared" si="58"/>
        <v>1640</v>
      </c>
      <c r="BI60" s="509">
        <v>1</v>
      </c>
      <c r="BJ60" s="504">
        <v>0.8</v>
      </c>
      <c r="BK60" s="384">
        <f t="shared" si="59"/>
        <v>2048.8000000000002</v>
      </c>
      <c r="BL60" s="385">
        <f t="shared" si="60"/>
        <v>47.050000000000011</v>
      </c>
      <c r="BM60" s="471">
        <v>3</v>
      </c>
      <c r="BN60" s="471" t="s">
        <v>89</v>
      </c>
      <c r="BO60" s="383">
        <f t="shared" si="61"/>
        <v>0.11714174150722374</v>
      </c>
      <c r="BP60" s="380">
        <f t="shared" si="62"/>
        <v>300</v>
      </c>
      <c r="BQ60" s="385">
        <f t="shared" si="63"/>
        <v>22.61</v>
      </c>
      <c r="BR60" s="510">
        <v>0.12</v>
      </c>
      <c r="BS60" s="380">
        <f t="shared" si="64"/>
        <v>307.32</v>
      </c>
      <c r="BT60" s="471">
        <v>0</v>
      </c>
      <c r="BU60" s="383">
        <f t="shared" si="65"/>
        <v>0</v>
      </c>
      <c r="BV60" s="385">
        <f t="shared" si="66"/>
        <v>25.61</v>
      </c>
      <c r="BW60" s="496">
        <v>0</v>
      </c>
      <c r="BX60" s="517"/>
      <c r="BY60" s="519">
        <v>41996</v>
      </c>
      <c r="BZ60" s="803"/>
      <c r="CA60" s="806"/>
      <c r="CB60" s="386">
        <f t="shared" si="67"/>
        <v>42361</v>
      </c>
      <c r="CC60" s="509">
        <v>563</v>
      </c>
      <c r="CD60" s="509">
        <v>0</v>
      </c>
      <c r="CE60" s="387">
        <f t="shared" si="68"/>
        <v>0</v>
      </c>
      <c r="CF60" s="388">
        <f t="shared" si="69"/>
        <v>1</v>
      </c>
      <c r="CG60" s="380">
        <f t="shared" si="70"/>
        <v>2561</v>
      </c>
      <c r="CH60" s="403">
        <f t="shared" si="71"/>
        <v>8</v>
      </c>
      <c r="CI60" s="521"/>
      <c r="CJ60" s="496"/>
      <c r="CK60" s="405">
        <f t="shared" si="72"/>
        <v>0</v>
      </c>
      <c r="CL60" s="521">
        <v>23</v>
      </c>
      <c r="CM60" s="389" t="str">
        <f t="shared" si="73"/>
        <v>Excellent coverage</v>
      </c>
      <c r="CN60" s="490">
        <v>0</v>
      </c>
      <c r="CO60" s="529" t="s">
        <v>292</v>
      </c>
      <c r="CP60" s="528"/>
    </row>
    <row r="61" spans="2:94" s="40" customFormat="1" ht="30.75" customHeight="1" x14ac:dyDescent="0.2">
      <c r="B61" s="465" t="s">
        <v>181</v>
      </c>
      <c r="C61" s="466" t="s">
        <v>548</v>
      </c>
      <c r="D61" s="467" t="s">
        <v>265</v>
      </c>
      <c r="E61" s="466" t="s">
        <v>311</v>
      </c>
      <c r="F61" s="467">
        <v>97.710989999999995</v>
      </c>
      <c r="G61" s="467">
        <v>24.181640000000002</v>
      </c>
      <c r="H61" s="467" t="s">
        <v>448</v>
      </c>
      <c r="I61" s="467" t="s">
        <v>213</v>
      </c>
      <c r="J61" s="467"/>
      <c r="K61" s="467"/>
      <c r="L61" s="471">
        <v>367</v>
      </c>
      <c r="M61" s="471">
        <v>1430</v>
      </c>
      <c r="N61" s="471"/>
      <c r="O61" s="468">
        <v>1430</v>
      </c>
      <c r="P61" s="376" t="str">
        <f t="shared" si="37"/>
        <v>3. Large</v>
      </c>
      <c r="Q61" s="717" t="s">
        <v>322</v>
      </c>
      <c r="R61" s="469" t="s">
        <v>234</v>
      </c>
      <c r="S61" s="477" t="s">
        <v>299</v>
      </c>
      <c r="T61" s="398" t="str">
        <f t="shared" si="38"/>
        <v>Not covered</v>
      </c>
      <c r="U61" s="478" t="s">
        <v>626</v>
      </c>
      <c r="V61" s="469" t="s">
        <v>252</v>
      </c>
      <c r="W61" s="395" t="str">
        <f t="shared" si="39"/>
        <v>Documented</v>
      </c>
      <c r="X61" s="484">
        <v>0</v>
      </c>
      <c r="Y61" s="468">
        <v>0</v>
      </c>
      <c r="Z61" s="801"/>
      <c r="AA61" s="485" t="s">
        <v>19</v>
      </c>
      <c r="AB61" s="484">
        <v>2</v>
      </c>
      <c r="AC61" s="490">
        <v>0</v>
      </c>
      <c r="AD61" s="491">
        <v>36000</v>
      </c>
      <c r="AE61" s="497">
        <v>0</v>
      </c>
      <c r="AF61" s="498">
        <v>0</v>
      </c>
      <c r="AG61" s="797"/>
      <c r="AH61" s="401">
        <f t="shared" si="40"/>
        <v>1</v>
      </c>
      <c r="AI61" s="378">
        <f t="shared" si="41"/>
        <v>1430</v>
      </c>
      <c r="AJ61" s="379">
        <f t="shared" si="42"/>
        <v>1</v>
      </c>
      <c r="AK61" s="380">
        <f t="shared" si="43"/>
        <v>1430</v>
      </c>
      <c r="AL61" s="377">
        <f t="shared" si="44"/>
        <v>1</v>
      </c>
      <c r="AM61" s="380">
        <f t="shared" si="45"/>
        <v>1430</v>
      </c>
      <c r="AN61" s="381" t="str">
        <f t="shared" si="46"/>
        <v>80-100%</v>
      </c>
      <c r="AO61" s="377">
        <f t="shared" si="47"/>
        <v>0</v>
      </c>
      <c r="AP61" s="382">
        <f t="shared" si="48"/>
        <v>0</v>
      </c>
      <c r="AQ61" s="380">
        <f t="shared" si="49"/>
        <v>1.5750000000000002</v>
      </c>
      <c r="AR61" s="380">
        <f t="shared" si="50"/>
        <v>0</v>
      </c>
      <c r="AS61" s="380">
        <f t="shared" si="51"/>
        <v>0</v>
      </c>
      <c r="AT61" s="501">
        <v>1</v>
      </c>
      <c r="AU61" s="502">
        <f t="shared" si="52"/>
        <v>1430</v>
      </c>
      <c r="AV61" s="491"/>
      <c r="AW61" s="747">
        <v>64</v>
      </c>
      <c r="AX61" s="471">
        <v>19</v>
      </c>
      <c r="AY61" s="471"/>
      <c r="AZ61" s="471">
        <v>64</v>
      </c>
      <c r="BA61" s="471"/>
      <c r="BB61" s="468" t="s">
        <v>89</v>
      </c>
      <c r="BC61" s="383">
        <f t="shared" si="53"/>
        <v>1</v>
      </c>
      <c r="BD61" s="380">
        <f t="shared" si="54"/>
        <v>1430</v>
      </c>
      <c r="BE61" s="383">
        <f t="shared" si="55"/>
        <v>0.1048951048951049</v>
      </c>
      <c r="BF61" s="380">
        <f t="shared" si="56"/>
        <v>150</v>
      </c>
      <c r="BG61" s="383">
        <f t="shared" si="57"/>
        <v>0.8951048951048951</v>
      </c>
      <c r="BH61" s="380">
        <f t="shared" si="58"/>
        <v>1280</v>
      </c>
      <c r="BI61" s="490">
        <v>6</v>
      </c>
      <c r="BJ61" s="506">
        <v>1</v>
      </c>
      <c r="BK61" s="384">
        <f t="shared" si="59"/>
        <v>1430</v>
      </c>
      <c r="BL61" s="385">
        <f t="shared" si="60"/>
        <v>13.5</v>
      </c>
      <c r="BM61" s="468">
        <v>5</v>
      </c>
      <c r="BN61" s="468" t="s">
        <v>290</v>
      </c>
      <c r="BO61" s="383">
        <f t="shared" si="61"/>
        <v>0.34965034965034963</v>
      </c>
      <c r="BP61" s="380">
        <f t="shared" si="62"/>
        <v>500</v>
      </c>
      <c r="BQ61" s="385">
        <f t="shared" si="63"/>
        <v>9.3000000000000007</v>
      </c>
      <c r="BR61" s="506">
        <v>0.35</v>
      </c>
      <c r="BS61" s="380">
        <f t="shared" si="64"/>
        <v>500.49999999999994</v>
      </c>
      <c r="BT61" s="468">
        <v>32</v>
      </c>
      <c r="BU61" s="383">
        <f t="shared" si="65"/>
        <v>1</v>
      </c>
      <c r="BV61" s="385">
        <f t="shared" si="66"/>
        <v>0</v>
      </c>
      <c r="BW61" s="494">
        <v>1</v>
      </c>
      <c r="BX61" s="516"/>
      <c r="BY61" s="518">
        <v>42055</v>
      </c>
      <c r="BZ61" s="804"/>
      <c r="CA61" s="807"/>
      <c r="CB61" s="386">
        <f t="shared" si="67"/>
        <v>42420</v>
      </c>
      <c r="CC61" s="468">
        <v>285</v>
      </c>
      <c r="CD61" s="468">
        <v>3</v>
      </c>
      <c r="CE61" s="387">
        <f t="shared" si="68"/>
        <v>82</v>
      </c>
      <c r="CF61" s="388">
        <f t="shared" si="69"/>
        <v>0.77656675749318804</v>
      </c>
      <c r="CG61" s="380">
        <f t="shared" si="70"/>
        <v>1110.4904632152588</v>
      </c>
      <c r="CH61" s="403">
        <f t="shared" si="71"/>
        <v>3</v>
      </c>
      <c r="CI61" s="484"/>
      <c r="CJ61" s="494"/>
      <c r="CK61" s="405">
        <f t="shared" si="72"/>
        <v>0</v>
      </c>
      <c r="CL61" s="484">
        <v>2</v>
      </c>
      <c r="CM61" s="389" t="str">
        <f t="shared" si="73"/>
        <v>Good coverage</v>
      </c>
      <c r="CN61" s="490">
        <v>0</v>
      </c>
      <c r="CO61" s="485" t="s">
        <v>65</v>
      </c>
      <c r="CP61" s="525"/>
    </row>
    <row r="62" spans="2:94" s="40" customFormat="1" ht="30.75" customHeight="1" x14ac:dyDescent="0.2">
      <c r="B62" s="465" t="s">
        <v>181</v>
      </c>
      <c r="C62" s="466" t="s">
        <v>549</v>
      </c>
      <c r="D62" s="467" t="s">
        <v>265</v>
      </c>
      <c r="E62" s="466" t="s">
        <v>312</v>
      </c>
      <c r="F62" s="467">
        <v>97.710989999999995</v>
      </c>
      <c r="G62" s="467">
        <v>24.181640000000002</v>
      </c>
      <c r="H62" s="467" t="s">
        <v>448</v>
      </c>
      <c r="I62" s="467" t="s">
        <v>213</v>
      </c>
      <c r="J62" s="467"/>
      <c r="K62" s="467"/>
      <c r="L62" s="471">
        <v>129</v>
      </c>
      <c r="M62" s="471">
        <v>598</v>
      </c>
      <c r="N62" s="471"/>
      <c r="O62" s="468">
        <v>598</v>
      </c>
      <c r="P62" s="376" t="str">
        <f t="shared" si="37"/>
        <v>2. Medium</v>
      </c>
      <c r="Q62" s="717" t="s">
        <v>322</v>
      </c>
      <c r="R62" s="469" t="s">
        <v>230</v>
      </c>
      <c r="S62" s="477" t="s">
        <v>299</v>
      </c>
      <c r="T62" s="398" t="str">
        <f t="shared" si="38"/>
        <v>Not covered</v>
      </c>
      <c r="U62" s="478" t="s">
        <v>626</v>
      </c>
      <c r="V62" s="469" t="s">
        <v>252</v>
      </c>
      <c r="W62" s="395" t="str">
        <f t="shared" si="39"/>
        <v>Documented</v>
      </c>
      <c r="X62" s="484">
        <v>0</v>
      </c>
      <c r="Y62" s="468">
        <v>0</v>
      </c>
      <c r="Z62" s="801"/>
      <c r="AA62" s="485" t="s">
        <v>19</v>
      </c>
      <c r="AB62" s="484">
        <v>1</v>
      </c>
      <c r="AC62" s="490">
        <v>0</v>
      </c>
      <c r="AD62" s="491">
        <v>13500</v>
      </c>
      <c r="AE62" s="497">
        <v>0</v>
      </c>
      <c r="AF62" s="498">
        <v>0</v>
      </c>
      <c r="AG62" s="797"/>
      <c r="AH62" s="401">
        <f t="shared" si="40"/>
        <v>1</v>
      </c>
      <c r="AI62" s="378">
        <f t="shared" si="41"/>
        <v>598</v>
      </c>
      <c r="AJ62" s="379">
        <f t="shared" si="42"/>
        <v>1</v>
      </c>
      <c r="AK62" s="380">
        <f t="shared" si="43"/>
        <v>598</v>
      </c>
      <c r="AL62" s="377">
        <f t="shared" si="44"/>
        <v>1</v>
      </c>
      <c r="AM62" s="380">
        <f t="shared" si="45"/>
        <v>598</v>
      </c>
      <c r="AN62" s="381" t="str">
        <f t="shared" si="46"/>
        <v>80-100%</v>
      </c>
      <c r="AO62" s="377">
        <f t="shared" si="47"/>
        <v>0</v>
      </c>
      <c r="AP62" s="382">
        <f t="shared" si="48"/>
        <v>0</v>
      </c>
      <c r="AQ62" s="380">
        <f t="shared" si="49"/>
        <v>0.49500000000000011</v>
      </c>
      <c r="AR62" s="380">
        <f t="shared" si="50"/>
        <v>0</v>
      </c>
      <c r="AS62" s="380">
        <f t="shared" si="51"/>
        <v>0</v>
      </c>
      <c r="AT62" s="501">
        <v>1</v>
      </c>
      <c r="AU62" s="502">
        <f t="shared" si="52"/>
        <v>598</v>
      </c>
      <c r="AV62" s="491" t="s">
        <v>836</v>
      </c>
      <c r="AW62" s="747">
        <v>12</v>
      </c>
      <c r="AX62" s="471">
        <v>9</v>
      </c>
      <c r="AY62" s="471"/>
      <c r="AZ62" s="471">
        <v>32</v>
      </c>
      <c r="BA62" s="471"/>
      <c r="BB62" s="468" t="s">
        <v>291</v>
      </c>
      <c r="BC62" s="383">
        <f t="shared" si="53"/>
        <v>1</v>
      </c>
      <c r="BD62" s="380">
        <f t="shared" si="54"/>
        <v>598</v>
      </c>
      <c r="BE62" s="383">
        <f t="shared" si="55"/>
        <v>0</v>
      </c>
      <c r="BF62" s="380">
        <f t="shared" si="56"/>
        <v>0</v>
      </c>
      <c r="BG62" s="383">
        <f t="shared" si="57"/>
        <v>1</v>
      </c>
      <c r="BH62" s="380">
        <f t="shared" si="58"/>
        <v>598</v>
      </c>
      <c r="BI62" s="490">
        <v>0</v>
      </c>
      <c r="BJ62" s="506">
        <v>1</v>
      </c>
      <c r="BK62" s="384">
        <f t="shared" si="59"/>
        <v>598</v>
      </c>
      <c r="BL62" s="385">
        <f t="shared" si="60"/>
        <v>0</v>
      </c>
      <c r="BM62" s="468">
        <v>4</v>
      </c>
      <c r="BN62" s="468" t="s">
        <v>290</v>
      </c>
      <c r="BO62" s="383">
        <f t="shared" si="61"/>
        <v>0.66889632107023411</v>
      </c>
      <c r="BP62" s="380">
        <f t="shared" si="62"/>
        <v>400</v>
      </c>
      <c r="BQ62" s="385">
        <f t="shared" si="63"/>
        <v>1.9800000000000004</v>
      </c>
      <c r="BR62" s="506">
        <v>0.67</v>
      </c>
      <c r="BS62" s="380">
        <f t="shared" si="64"/>
        <v>400.66</v>
      </c>
      <c r="BT62" s="468">
        <v>17</v>
      </c>
      <c r="BU62" s="383">
        <f t="shared" si="65"/>
        <v>1</v>
      </c>
      <c r="BV62" s="385">
        <f t="shared" si="66"/>
        <v>0</v>
      </c>
      <c r="BW62" s="494">
        <v>1</v>
      </c>
      <c r="BX62" s="516" t="s">
        <v>884</v>
      </c>
      <c r="BY62" s="518">
        <v>42055</v>
      </c>
      <c r="BZ62" s="804"/>
      <c r="CA62" s="807"/>
      <c r="CB62" s="386">
        <f t="shared" si="67"/>
        <v>42420</v>
      </c>
      <c r="CC62" s="468">
        <v>135</v>
      </c>
      <c r="CD62" s="468">
        <v>3</v>
      </c>
      <c r="CE62" s="387">
        <f t="shared" si="68"/>
        <v>0</v>
      </c>
      <c r="CF62" s="388">
        <f t="shared" si="69"/>
        <v>1</v>
      </c>
      <c r="CG62" s="380">
        <f t="shared" si="70"/>
        <v>598</v>
      </c>
      <c r="CH62" s="403">
        <f t="shared" si="71"/>
        <v>3</v>
      </c>
      <c r="CI62" s="484" t="s">
        <v>899</v>
      </c>
      <c r="CJ62" s="494"/>
      <c r="CK62" s="405">
        <f t="shared" si="72"/>
        <v>0</v>
      </c>
      <c r="CL62" s="484">
        <v>1</v>
      </c>
      <c r="CM62" s="389" t="str">
        <f t="shared" si="73"/>
        <v>Good coverage</v>
      </c>
      <c r="CN62" s="490">
        <v>0</v>
      </c>
      <c r="CO62" s="485" t="s">
        <v>65</v>
      </c>
      <c r="CP62" s="525"/>
    </row>
    <row r="63" spans="2:94" s="40" customFormat="1" ht="30.75" customHeight="1" x14ac:dyDescent="0.2">
      <c r="B63" s="465" t="s">
        <v>181</v>
      </c>
      <c r="C63" s="466" t="s">
        <v>550</v>
      </c>
      <c r="D63" s="467" t="s">
        <v>266</v>
      </c>
      <c r="E63" s="466" t="s">
        <v>278</v>
      </c>
      <c r="F63" s="467">
        <v>97.587900000000005</v>
      </c>
      <c r="G63" s="467">
        <v>23.83</v>
      </c>
      <c r="H63" s="467" t="s">
        <v>448</v>
      </c>
      <c r="I63" s="467" t="s">
        <v>213</v>
      </c>
      <c r="J63" s="467"/>
      <c r="K63" s="467"/>
      <c r="L63" s="468">
        <v>115</v>
      </c>
      <c r="M63" s="468">
        <v>680</v>
      </c>
      <c r="N63" s="468"/>
      <c r="O63" s="468">
        <v>680</v>
      </c>
      <c r="P63" s="376" t="str">
        <f t="shared" si="37"/>
        <v>2. Medium</v>
      </c>
      <c r="Q63" s="717" t="s">
        <v>322</v>
      </c>
      <c r="R63" s="469" t="s">
        <v>234</v>
      </c>
      <c r="S63" s="477" t="s">
        <v>410</v>
      </c>
      <c r="T63" s="398" t="str">
        <f t="shared" si="38"/>
        <v>Covered</v>
      </c>
      <c r="U63" s="478">
        <v>42460</v>
      </c>
      <c r="V63" s="469" t="s">
        <v>252</v>
      </c>
      <c r="W63" s="395" t="str">
        <f t="shared" si="39"/>
        <v>Documented</v>
      </c>
      <c r="X63" s="484">
        <v>0</v>
      </c>
      <c r="Y63" s="468">
        <v>0</v>
      </c>
      <c r="Z63" s="801"/>
      <c r="AA63" s="485" t="s">
        <v>19</v>
      </c>
      <c r="AB63" s="492">
        <v>0</v>
      </c>
      <c r="AC63" s="468">
        <v>0</v>
      </c>
      <c r="AD63" s="485">
        <v>54000</v>
      </c>
      <c r="AE63" s="497">
        <v>1</v>
      </c>
      <c r="AF63" s="498">
        <v>0</v>
      </c>
      <c r="AG63" s="797"/>
      <c r="AH63" s="401">
        <f t="shared" si="40"/>
        <v>1</v>
      </c>
      <c r="AI63" s="378">
        <f t="shared" si="41"/>
        <v>680</v>
      </c>
      <c r="AJ63" s="379">
        <f t="shared" si="42"/>
        <v>1</v>
      </c>
      <c r="AK63" s="380">
        <f t="shared" si="43"/>
        <v>680</v>
      </c>
      <c r="AL63" s="377">
        <f t="shared" si="44"/>
        <v>1</v>
      </c>
      <c r="AM63" s="380">
        <f t="shared" si="45"/>
        <v>680</v>
      </c>
      <c r="AN63" s="381" t="str">
        <f t="shared" si="46"/>
        <v>80-100%</v>
      </c>
      <c r="AO63" s="377">
        <f t="shared" si="47"/>
        <v>0</v>
      </c>
      <c r="AP63" s="382">
        <f t="shared" si="48"/>
        <v>0</v>
      </c>
      <c r="AQ63" s="380">
        <f t="shared" si="49"/>
        <v>1.7</v>
      </c>
      <c r="AR63" s="380">
        <f t="shared" si="50"/>
        <v>0</v>
      </c>
      <c r="AS63" s="380">
        <f t="shared" si="51"/>
        <v>680</v>
      </c>
      <c r="AT63" s="506">
        <v>1</v>
      </c>
      <c r="AU63" s="502">
        <f t="shared" si="52"/>
        <v>680</v>
      </c>
      <c r="AV63" s="485"/>
      <c r="AW63" s="747">
        <v>10</v>
      </c>
      <c r="AX63" s="468">
        <v>0</v>
      </c>
      <c r="AY63" s="468"/>
      <c r="AZ63" s="468">
        <v>14</v>
      </c>
      <c r="BA63" s="468"/>
      <c r="BB63" s="468" t="s">
        <v>290</v>
      </c>
      <c r="BC63" s="383">
        <f t="shared" si="53"/>
        <v>0.41176470588235292</v>
      </c>
      <c r="BD63" s="380">
        <f t="shared" si="54"/>
        <v>280</v>
      </c>
      <c r="BE63" s="383">
        <f t="shared" si="55"/>
        <v>0</v>
      </c>
      <c r="BF63" s="380">
        <f t="shared" si="56"/>
        <v>0</v>
      </c>
      <c r="BG63" s="383">
        <f t="shared" si="57"/>
        <v>0.41176470588235292</v>
      </c>
      <c r="BH63" s="380">
        <f t="shared" si="58"/>
        <v>280</v>
      </c>
      <c r="BI63" s="490">
        <v>0</v>
      </c>
      <c r="BJ63" s="506">
        <v>0.49</v>
      </c>
      <c r="BK63" s="384">
        <f t="shared" si="59"/>
        <v>333.2</v>
      </c>
      <c r="BL63" s="385">
        <f t="shared" si="60"/>
        <v>20</v>
      </c>
      <c r="BM63" s="468">
        <v>2</v>
      </c>
      <c r="BN63" s="468" t="s">
        <v>291</v>
      </c>
      <c r="BO63" s="383">
        <f t="shared" si="61"/>
        <v>0.29411764705882354</v>
      </c>
      <c r="BP63" s="380">
        <f t="shared" si="62"/>
        <v>200</v>
      </c>
      <c r="BQ63" s="385">
        <f t="shared" si="63"/>
        <v>4.8</v>
      </c>
      <c r="BR63" s="506">
        <v>0.3</v>
      </c>
      <c r="BS63" s="380">
        <f t="shared" si="64"/>
        <v>204</v>
      </c>
      <c r="BT63" s="468">
        <v>2</v>
      </c>
      <c r="BU63" s="383">
        <f t="shared" si="65"/>
        <v>0.29411764705882354</v>
      </c>
      <c r="BV63" s="385">
        <f t="shared" si="66"/>
        <v>4.8</v>
      </c>
      <c r="BW63" s="494">
        <v>0.72</v>
      </c>
      <c r="BX63" s="516" t="s">
        <v>890</v>
      </c>
      <c r="BY63" s="518">
        <v>41983</v>
      </c>
      <c r="BZ63" s="804"/>
      <c r="CA63" s="807"/>
      <c r="CB63" s="386">
        <f t="shared" si="67"/>
        <v>42348</v>
      </c>
      <c r="CC63" s="468">
        <v>115</v>
      </c>
      <c r="CD63" s="468">
        <v>15</v>
      </c>
      <c r="CE63" s="390">
        <f t="shared" si="68"/>
        <v>0</v>
      </c>
      <c r="CF63" s="391">
        <f t="shared" si="69"/>
        <v>1</v>
      </c>
      <c r="CG63" s="384">
        <f t="shared" si="70"/>
        <v>680</v>
      </c>
      <c r="CH63" s="791">
        <f t="shared" si="71"/>
        <v>0</v>
      </c>
      <c r="CI63" s="484" t="s">
        <v>817</v>
      </c>
      <c r="CJ63" s="498">
        <v>0.9</v>
      </c>
      <c r="CK63" s="405">
        <f t="shared" si="72"/>
        <v>612</v>
      </c>
      <c r="CL63" s="492">
        <v>2</v>
      </c>
      <c r="CM63" s="389" t="str">
        <f t="shared" si="73"/>
        <v>Excellent coverage</v>
      </c>
      <c r="CN63" s="468">
        <v>0</v>
      </c>
      <c r="CO63" s="485" t="s">
        <v>66</v>
      </c>
      <c r="CP63" s="525"/>
    </row>
    <row r="64" spans="2:94" s="40" customFormat="1" ht="30.75" customHeight="1" x14ac:dyDescent="0.2">
      <c r="B64" s="465" t="s">
        <v>181</v>
      </c>
      <c r="C64" s="466" t="s">
        <v>551</v>
      </c>
      <c r="D64" s="467" t="s">
        <v>266</v>
      </c>
      <c r="E64" s="466" t="s">
        <v>279</v>
      </c>
      <c r="F64" s="467">
        <v>97.596000000000004</v>
      </c>
      <c r="G64" s="467">
        <v>23.831</v>
      </c>
      <c r="H64" s="467" t="s">
        <v>448</v>
      </c>
      <c r="I64" s="467" t="s">
        <v>213</v>
      </c>
      <c r="J64" s="467"/>
      <c r="K64" s="467"/>
      <c r="L64" s="468">
        <v>506</v>
      </c>
      <c r="M64" s="468">
        <v>2374</v>
      </c>
      <c r="N64" s="468"/>
      <c r="O64" s="468">
        <v>2101</v>
      </c>
      <c r="P64" s="376" t="str">
        <f t="shared" si="37"/>
        <v>4. Big</v>
      </c>
      <c r="Q64" s="717" t="s">
        <v>322</v>
      </c>
      <c r="R64" s="469" t="s">
        <v>230</v>
      </c>
      <c r="S64" s="477" t="s">
        <v>410</v>
      </c>
      <c r="T64" s="398" t="str">
        <f t="shared" si="38"/>
        <v>Covered</v>
      </c>
      <c r="U64" s="478">
        <v>42460</v>
      </c>
      <c r="V64" s="469" t="s">
        <v>252</v>
      </c>
      <c r="W64" s="395" t="str">
        <f t="shared" si="39"/>
        <v>Documented</v>
      </c>
      <c r="X64" s="484">
        <v>0</v>
      </c>
      <c r="Y64" s="468">
        <v>0</v>
      </c>
      <c r="Z64" s="801"/>
      <c r="AA64" s="485" t="s">
        <v>19</v>
      </c>
      <c r="AB64" s="492">
        <v>2</v>
      </c>
      <c r="AC64" s="468">
        <v>1</v>
      </c>
      <c r="AD64" s="485">
        <v>21600</v>
      </c>
      <c r="AE64" s="497">
        <v>1</v>
      </c>
      <c r="AF64" s="498">
        <v>0</v>
      </c>
      <c r="AG64" s="797"/>
      <c r="AH64" s="401">
        <f t="shared" si="40"/>
        <v>1</v>
      </c>
      <c r="AI64" s="378">
        <f t="shared" si="41"/>
        <v>2101</v>
      </c>
      <c r="AJ64" s="379">
        <f t="shared" si="42"/>
        <v>1</v>
      </c>
      <c r="AK64" s="380">
        <f t="shared" si="43"/>
        <v>2101</v>
      </c>
      <c r="AL64" s="377">
        <f t="shared" si="44"/>
        <v>1</v>
      </c>
      <c r="AM64" s="380">
        <f t="shared" si="45"/>
        <v>2101</v>
      </c>
      <c r="AN64" s="381" t="str">
        <f t="shared" si="46"/>
        <v>80-100%</v>
      </c>
      <c r="AO64" s="377">
        <f t="shared" si="47"/>
        <v>0</v>
      </c>
      <c r="AP64" s="382">
        <f t="shared" si="48"/>
        <v>0</v>
      </c>
      <c r="AQ64" s="380">
        <f t="shared" si="49"/>
        <v>2.2525000000000004</v>
      </c>
      <c r="AR64" s="380">
        <f t="shared" si="50"/>
        <v>0</v>
      </c>
      <c r="AS64" s="380">
        <f t="shared" si="51"/>
        <v>2101</v>
      </c>
      <c r="AT64" s="506">
        <v>1</v>
      </c>
      <c r="AU64" s="502">
        <f t="shared" si="52"/>
        <v>2101</v>
      </c>
      <c r="AV64" s="485" t="s">
        <v>839</v>
      </c>
      <c r="AW64" s="747">
        <v>74</v>
      </c>
      <c r="AX64" s="468">
        <v>39</v>
      </c>
      <c r="AY64" s="468"/>
      <c r="AZ64" s="468">
        <v>101</v>
      </c>
      <c r="BA64" s="468"/>
      <c r="BB64" s="468" t="s">
        <v>290</v>
      </c>
      <c r="BC64" s="383">
        <f t="shared" si="53"/>
        <v>1</v>
      </c>
      <c r="BD64" s="380">
        <f t="shared" si="54"/>
        <v>2101</v>
      </c>
      <c r="BE64" s="383">
        <f t="shared" si="55"/>
        <v>3.8553069966682507E-2</v>
      </c>
      <c r="BF64" s="380">
        <f t="shared" si="56"/>
        <v>80.999999999999943</v>
      </c>
      <c r="BG64" s="383">
        <f t="shared" si="57"/>
        <v>0.96144693003331749</v>
      </c>
      <c r="BH64" s="380">
        <f t="shared" si="58"/>
        <v>2020</v>
      </c>
      <c r="BI64" s="490">
        <v>18</v>
      </c>
      <c r="BJ64" s="506">
        <v>1</v>
      </c>
      <c r="BK64" s="384">
        <f t="shared" si="59"/>
        <v>2101</v>
      </c>
      <c r="BL64" s="385">
        <f t="shared" si="60"/>
        <v>22.049999999999997</v>
      </c>
      <c r="BM64" s="468">
        <v>8</v>
      </c>
      <c r="BN64" s="468" t="s">
        <v>89</v>
      </c>
      <c r="BO64" s="383">
        <f t="shared" si="61"/>
        <v>0.38077106139933364</v>
      </c>
      <c r="BP64" s="380">
        <f t="shared" si="62"/>
        <v>800</v>
      </c>
      <c r="BQ64" s="385">
        <f t="shared" si="63"/>
        <v>15.739999999999998</v>
      </c>
      <c r="BR64" s="506">
        <v>0.4</v>
      </c>
      <c r="BS64" s="380">
        <f t="shared" si="64"/>
        <v>840.40000000000009</v>
      </c>
      <c r="BT64" s="468">
        <v>4</v>
      </c>
      <c r="BU64" s="383">
        <f t="shared" si="65"/>
        <v>0.19038553069966682</v>
      </c>
      <c r="BV64" s="385">
        <f t="shared" si="66"/>
        <v>19.739999999999998</v>
      </c>
      <c r="BW64" s="494">
        <v>0.76</v>
      </c>
      <c r="BX64" s="516" t="s">
        <v>891</v>
      </c>
      <c r="BY64" s="518">
        <v>41983</v>
      </c>
      <c r="BZ64" s="804"/>
      <c r="CA64" s="807"/>
      <c r="CB64" s="386">
        <f t="shared" si="67"/>
        <v>42348</v>
      </c>
      <c r="CC64" s="468">
        <v>477</v>
      </c>
      <c r="CD64" s="468">
        <v>12</v>
      </c>
      <c r="CE64" s="390">
        <f t="shared" si="68"/>
        <v>29</v>
      </c>
      <c r="CF64" s="391">
        <f t="shared" si="69"/>
        <v>0.94268774703557312</v>
      </c>
      <c r="CG64" s="384">
        <f t="shared" si="70"/>
        <v>1980.5869565217392</v>
      </c>
      <c r="CH64" s="791">
        <f t="shared" si="71"/>
        <v>0</v>
      </c>
      <c r="CI64" s="484"/>
      <c r="CJ64" s="498">
        <v>0.75</v>
      </c>
      <c r="CK64" s="405">
        <f t="shared" si="72"/>
        <v>1575.75</v>
      </c>
      <c r="CL64" s="492">
        <v>8</v>
      </c>
      <c r="CM64" s="389" t="str">
        <f t="shared" si="73"/>
        <v>Excellent coverage</v>
      </c>
      <c r="CN64" s="468">
        <v>0</v>
      </c>
      <c r="CO64" s="485" t="s">
        <v>65</v>
      </c>
      <c r="CP64" s="525"/>
    </row>
    <row r="65" spans="2:94" s="40" customFormat="1" ht="30.75" customHeight="1" x14ac:dyDescent="0.25">
      <c r="B65" s="465" t="s">
        <v>181</v>
      </c>
      <c r="C65" s="466" t="s">
        <v>552</v>
      </c>
      <c r="D65" s="467" t="s">
        <v>259</v>
      </c>
      <c r="E65" s="466" t="s">
        <v>280</v>
      </c>
      <c r="F65" s="467">
        <v>97.291820000000001</v>
      </c>
      <c r="G65" s="467">
        <v>24.129059999999999</v>
      </c>
      <c r="H65" s="467" t="s">
        <v>448</v>
      </c>
      <c r="I65" s="467" t="s">
        <v>213</v>
      </c>
      <c r="J65" s="467"/>
      <c r="K65" s="467"/>
      <c r="L65" s="471">
        <v>150</v>
      </c>
      <c r="M65" s="471">
        <v>696</v>
      </c>
      <c r="N65" s="471"/>
      <c r="O65" s="471">
        <v>696</v>
      </c>
      <c r="P65" s="376" t="str">
        <f t="shared" si="37"/>
        <v>2. Medium</v>
      </c>
      <c r="Q65" s="717" t="s">
        <v>823</v>
      </c>
      <c r="R65" s="472" t="s">
        <v>234</v>
      </c>
      <c r="S65" s="479" t="s">
        <v>232</v>
      </c>
      <c r="T65" s="398" t="str">
        <f t="shared" si="38"/>
        <v>Covered</v>
      </c>
      <c r="U65" s="480">
        <v>42459</v>
      </c>
      <c r="V65" s="481" t="s">
        <v>252</v>
      </c>
      <c r="W65" s="395" t="str">
        <f t="shared" si="39"/>
        <v>Documented</v>
      </c>
      <c r="X65" s="486">
        <v>0</v>
      </c>
      <c r="Y65" s="471">
        <v>0</v>
      </c>
      <c r="Z65" s="800"/>
      <c r="AA65" s="487" t="s">
        <v>19</v>
      </c>
      <c r="AB65" s="486">
        <v>3</v>
      </c>
      <c r="AC65" s="471">
        <v>0</v>
      </c>
      <c r="AD65" s="487">
        <v>20335</v>
      </c>
      <c r="AE65" s="495">
        <v>0.5</v>
      </c>
      <c r="AF65" s="496">
        <v>0.3</v>
      </c>
      <c r="AG65" s="796"/>
      <c r="AH65" s="401">
        <f t="shared" si="40"/>
        <v>1</v>
      </c>
      <c r="AI65" s="378">
        <f t="shared" si="41"/>
        <v>696</v>
      </c>
      <c r="AJ65" s="379">
        <f t="shared" si="42"/>
        <v>1</v>
      </c>
      <c r="AK65" s="380">
        <f t="shared" si="43"/>
        <v>696</v>
      </c>
      <c r="AL65" s="377">
        <f t="shared" si="44"/>
        <v>1</v>
      </c>
      <c r="AM65" s="380">
        <f t="shared" si="45"/>
        <v>696</v>
      </c>
      <c r="AN65" s="381" t="str">
        <f t="shared" si="46"/>
        <v>80-100%</v>
      </c>
      <c r="AO65" s="377">
        <f t="shared" si="47"/>
        <v>0</v>
      </c>
      <c r="AP65" s="382">
        <f t="shared" si="48"/>
        <v>0</v>
      </c>
      <c r="AQ65" s="380">
        <f t="shared" si="49"/>
        <v>0</v>
      </c>
      <c r="AR65" s="380">
        <f t="shared" si="50"/>
        <v>45</v>
      </c>
      <c r="AS65" s="380">
        <f t="shared" si="51"/>
        <v>348</v>
      </c>
      <c r="AT65" s="504">
        <v>1</v>
      </c>
      <c r="AU65" s="502">
        <f t="shared" si="52"/>
        <v>696</v>
      </c>
      <c r="AV65" s="496"/>
      <c r="AW65" s="748">
        <v>113</v>
      </c>
      <c r="AX65" s="471">
        <v>10</v>
      </c>
      <c r="AY65" s="471"/>
      <c r="AZ65" s="471">
        <v>24</v>
      </c>
      <c r="BA65" s="471"/>
      <c r="BB65" s="471" t="s">
        <v>289</v>
      </c>
      <c r="BC65" s="383">
        <f t="shared" si="53"/>
        <v>0.97701149425287359</v>
      </c>
      <c r="BD65" s="380">
        <f t="shared" si="54"/>
        <v>680</v>
      </c>
      <c r="BE65" s="383">
        <f t="shared" si="55"/>
        <v>0.28735632183908044</v>
      </c>
      <c r="BF65" s="380">
        <f t="shared" si="56"/>
        <v>200</v>
      </c>
      <c r="BG65" s="383">
        <f t="shared" si="57"/>
        <v>0.68965517241379315</v>
      </c>
      <c r="BH65" s="380">
        <f t="shared" si="58"/>
        <v>480.00000000000006</v>
      </c>
      <c r="BI65" s="509">
        <v>0</v>
      </c>
      <c r="BJ65" s="504">
        <v>0.98</v>
      </c>
      <c r="BK65" s="384">
        <f t="shared" si="59"/>
        <v>682.08</v>
      </c>
      <c r="BL65" s="385">
        <f t="shared" si="60"/>
        <v>10.799999999999997</v>
      </c>
      <c r="BM65" s="471">
        <v>6</v>
      </c>
      <c r="BN65" s="471" t="s">
        <v>291</v>
      </c>
      <c r="BO65" s="383">
        <f t="shared" si="61"/>
        <v>0.86206896551724133</v>
      </c>
      <c r="BP65" s="380">
        <f t="shared" si="62"/>
        <v>600</v>
      </c>
      <c r="BQ65" s="385">
        <f t="shared" si="63"/>
        <v>0.96</v>
      </c>
      <c r="BR65" s="510">
        <v>0.86</v>
      </c>
      <c r="BS65" s="380">
        <f t="shared" si="64"/>
        <v>598.55999999999995</v>
      </c>
      <c r="BT65" s="471">
        <v>10</v>
      </c>
      <c r="BU65" s="383">
        <f t="shared" si="65"/>
        <v>1</v>
      </c>
      <c r="BV65" s="385">
        <f t="shared" si="66"/>
        <v>0</v>
      </c>
      <c r="BW65" s="496">
        <v>1</v>
      </c>
      <c r="BX65" s="517" t="s">
        <v>879</v>
      </c>
      <c r="BY65" s="519">
        <v>41835</v>
      </c>
      <c r="BZ65" s="803"/>
      <c r="CA65" s="806"/>
      <c r="CB65" s="386" t="str">
        <f t="shared" si="67"/>
        <v>To be realised</v>
      </c>
      <c r="CC65" s="509">
        <v>153</v>
      </c>
      <c r="CD65" s="509">
        <v>6</v>
      </c>
      <c r="CE65" s="387">
        <f t="shared" si="68"/>
        <v>150</v>
      </c>
      <c r="CF65" s="388">
        <f t="shared" si="69"/>
        <v>0</v>
      </c>
      <c r="CG65" s="380">
        <f t="shared" si="70"/>
        <v>0</v>
      </c>
      <c r="CH65" s="403">
        <f t="shared" si="71"/>
        <v>8</v>
      </c>
      <c r="CI65" s="521"/>
      <c r="CJ65" s="496">
        <v>0.75</v>
      </c>
      <c r="CK65" s="405">
        <f t="shared" si="72"/>
        <v>522</v>
      </c>
      <c r="CL65" s="521">
        <v>2</v>
      </c>
      <c r="CM65" s="389" t="str">
        <f t="shared" si="73"/>
        <v>Excellent coverage</v>
      </c>
      <c r="CN65" s="490">
        <v>0</v>
      </c>
      <c r="CO65" s="529" t="s">
        <v>65</v>
      </c>
      <c r="CP65" s="528"/>
    </row>
    <row r="66" spans="2:94" s="40" customFormat="1" ht="30.75" customHeight="1" x14ac:dyDescent="0.2">
      <c r="B66" s="465" t="s">
        <v>181</v>
      </c>
      <c r="C66" s="466" t="s">
        <v>693</v>
      </c>
      <c r="D66" s="467" t="s">
        <v>259</v>
      </c>
      <c r="E66" s="466" t="s">
        <v>737</v>
      </c>
      <c r="F66" s="467">
        <v>97.291820000000001</v>
      </c>
      <c r="G66" s="467">
        <v>24.129059999999999</v>
      </c>
      <c r="H66" s="467" t="s">
        <v>459</v>
      </c>
      <c r="I66" s="467" t="s">
        <v>213</v>
      </c>
      <c r="J66" s="467"/>
      <c r="K66" s="467"/>
      <c r="L66" s="471">
        <v>135</v>
      </c>
      <c r="M66" s="471">
        <v>499</v>
      </c>
      <c r="N66" s="471"/>
      <c r="O66" s="471">
        <v>499</v>
      </c>
      <c r="P66" s="376" t="str">
        <f t="shared" si="37"/>
        <v>2. Medium</v>
      </c>
      <c r="Q66" s="717"/>
      <c r="R66" s="472" t="s">
        <v>234</v>
      </c>
      <c r="S66" s="479" t="s">
        <v>299</v>
      </c>
      <c r="T66" s="398" t="str">
        <f t="shared" si="38"/>
        <v>Not covered</v>
      </c>
      <c r="U66" s="478" t="s">
        <v>626</v>
      </c>
      <c r="V66" s="481" t="s">
        <v>254</v>
      </c>
      <c r="W66" s="395" t="str">
        <f t="shared" si="39"/>
        <v>Not documented</v>
      </c>
      <c r="X66" s="486">
        <v>0</v>
      </c>
      <c r="Y66" s="471">
        <v>0</v>
      </c>
      <c r="Z66" s="800"/>
      <c r="AA66" s="487" t="s">
        <v>19</v>
      </c>
      <c r="AB66" s="486">
        <v>0</v>
      </c>
      <c r="AC66" s="471">
        <v>0</v>
      </c>
      <c r="AD66" s="487">
        <v>0</v>
      </c>
      <c r="AE66" s="495">
        <v>0</v>
      </c>
      <c r="AF66" s="496">
        <v>0</v>
      </c>
      <c r="AG66" s="796"/>
      <c r="AH66" s="401">
        <f t="shared" si="40"/>
        <v>0</v>
      </c>
      <c r="AI66" s="378">
        <f t="shared" si="41"/>
        <v>0</v>
      </c>
      <c r="AJ66" s="379">
        <f t="shared" si="42"/>
        <v>0</v>
      </c>
      <c r="AK66" s="380">
        <f t="shared" si="43"/>
        <v>0</v>
      </c>
      <c r="AL66" s="377">
        <f t="shared" si="44"/>
        <v>0</v>
      </c>
      <c r="AM66" s="380">
        <f t="shared" si="45"/>
        <v>0</v>
      </c>
      <c r="AN66" s="381" t="str">
        <f t="shared" si="46"/>
        <v>0-10%</v>
      </c>
      <c r="AO66" s="377">
        <f t="shared" si="47"/>
        <v>0</v>
      </c>
      <c r="AP66" s="382">
        <f t="shared" si="48"/>
        <v>0</v>
      </c>
      <c r="AQ66" s="380">
        <f t="shared" si="49"/>
        <v>1.2475000000000001</v>
      </c>
      <c r="AR66" s="380">
        <f t="shared" si="50"/>
        <v>0</v>
      </c>
      <c r="AS66" s="380">
        <f t="shared" si="51"/>
        <v>0</v>
      </c>
      <c r="AT66" s="504">
        <v>0</v>
      </c>
      <c r="AU66" s="502">
        <f t="shared" si="52"/>
        <v>0</v>
      </c>
      <c r="AV66" s="496" t="s">
        <v>469</v>
      </c>
      <c r="AW66" s="748">
        <v>0</v>
      </c>
      <c r="AX66" s="471">
        <v>0</v>
      </c>
      <c r="AY66" s="471"/>
      <c r="AZ66" s="471">
        <v>0</v>
      </c>
      <c r="BA66" s="471"/>
      <c r="BB66" s="471" t="s">
        <v>89</v>
      </c>
      <c r="BC66" s="383">
        <f t="shared" si="53"/>
        <v>0</v>
      </c>
      <c r="BD66" s="380">
        <f t="shared" si="54"/>
        <v>0</v>
      </c>
      <c r="BE66" s="383">
        <f t="shared" si="55"/>
        <v>0</v>
      </c>
      <c r="BF66" s="380">
        <f t="shared" si="56"/>
        <v>0</v>
      </c>
      <c r="BG66" s="383">
        <f t="shared" si="57"/>
        <v>0</v>
      </c>
      <c r="BH66" s="380">
        <f t="shared" si="58"/>
        <v>0</v>
      </c>
      <c r="BI66" s="509">
        <v>0</v>
      </c>
      <c r="BJ66" s="504">
        <v>0</v>
      </c>
      <c r="BK66" s="384">
        <f t="shared" si="59"/>
        <v>0</v>
      </c>
      <c r="BL66" s="385">
        <f t="shared" si="60"/>
        <v>24.95</v>
      </c>
      <c r="BM66" s="471">
        <v>0</v>
      </c>
      <c r="BN66" s="471" t="s">
        <v>89</v>
      </c>
      <c r="BO66" s="383">
        <f t="shared" si="61"/>
        <v>0</v>
      </c>
      <c r="BP66" s="380">
        <f t="shared" si="62"/>
        <v>0</v>
      </c>
      <c r="BQ66" s="385">
        <f t="shared" si="63"/>
        <v>4.99</v>
      </c>
      <c r="BR66" s="510">
        <v>0</v>
      </c>
      <c r="BS66" s="380">
        <f t="shared" si="64"/>
        <v>0</v>
      </c>
      <c r="BT66" s="471">
        <v>0</v>
      </c>
      <c r="BU66" s="383">
        <f t="shared" si="65"/>
        <v>0</v>
      </c>
      <c r="BV66" s="385">
        <f t="shared" si="66"/>
        <v>4.99</v>
      </c>
      <c r="BW66" s="496">
        <v>0</v>
      </c>
      <c r="BX66" s="517"/>
      <c r="BY66" s="519">
        <v>41744</v>
      </c>
      <c r="BZ66" s="803"/>
      <c r="CA66" s="806"/>
      <c r="CB66" s="386" t="str">
        <f t="shared" si="67"/>
        <v>To be realised</v>
      </c>
      <c r="CC66" s="509">
        <v>20</v>
      </c>
      <c r="CD66" s="509">
        <v>0</v>
      </c>
      <c r="CE66" s="387">
        <f t="shared" si="68"/>
        <v>135</v>
      </c>
      <c r="CF66" s="388">
        <f t="shared" si="69"/>
        <v>0</v>
      </c>
      <c r="CG66" s="380">
        <f t="shared" si="70"/>
        <v>0</v>
      </c>
      <c r="CH66" s="403">
        <f t="shared" si="71"/>
        <v>17</v>
      </c>
      <c r="CI66" s="521"/>
      <c r="CJ66" s="496"/>
      <c r="CK66" s="405">
        <f t="shared" si="72"/>
        <v>0</v>
      </c>
      <c r="CL66" s="521">
        <v>0</v>
      </c>
      <c r="CM66" s="389" t="str">
        <f t="shared" si="73"/>
        <v>No coverage</v>
      </c>
      <c r="CN66" s="490">
        <v>0</v>
      </c>
      <c r="CO66" s="529" t="s">
        <v>66</v>
      </c>
      <c r="CP66" s="527"/>
    </row>
    <row r="67" spans="2:94" s="40" customFormat="1" ht="30.75" customHeight="1" x14ac:dyDescent="0.2">
      <c r="B67" s="465" t="s">
        <v>181</v>
      </c>
      <c r="C67" s="466" t="s">
        <v>696</v>
      </c>
      <c r="D67" s="467" t="s">
        <v>266</v>
      </c>
      <c r="E67" s="466" t="s">
        <v>621</v>
      </c>
      <c r="F67" s="467">
        <v>97.577347000000003</v>
      </c>
      <c r="G67" s="467">
        <v>23.836462999999998</v>
      </c>
      <c r="H67" s="467" t="s">
        <v>448</v>
      </c>
      <c r="I67" s="467" t="s">
        <v>213</v>
      </c>
      <c r="J67" s="467"/>
      <c r="K67" s="467"/>
      <c r="L67" s="468">
        <v>121</v>
      </c>
      <c r="M67" s="468">
        <v>549</v>
      </c>
      <c r="N67" s="468"/>
      <c r="O67" s="468">
        <v>549</v>
      </c>
      <c r="P67" s="376" t="str">
        <f t="shared" si="37"/>
        <v>2. Medium</v>
      </c>
      <c r="Q67" s="717" t="s">
        <v>322</v>
      </c>
      <c r="R67" s="469" t="s">
        <v>230</v>
      </c>
      <c r="S67" s="477" t="s">
        <v>410</v>
      </c>
      <c r="T67" s="398" t="str">
        <f t="shared" si="38"/>
        <v>Covered</v>
      </c>
      <c r="U67" s="478">
        <v>42460</v>
      </c>
      <c r="V67" s="469" t="s">
        <v>252</v>
      </c>
      <c r="W67" s="395" t="str">
        <f t="shared" si="39"/>
        <v>Documented</v>
      </c>
      <c r="X67" s="484">
        <v>0</v>
      </c>
      <c r="Y67" s="468">
        <v>0</v>
      </c>
      <c r="Z67" s="801"/>
      <c r="AA67" s="485" t="s">
        <v>19</v>
      </c>
      <c r="AB67" s="492">
        <v>0</v>
      </c>
      <c r="AC67" s="468">
        <v>0</v>
      </c>
      <c r="AD67" s="485">
        <v>27000</v>
      </c>
      <c r="AE67" s="497">
        <v>1</v>
      </c>
      <c r="AF67" s="498">
        <v>0</v>
      </c>
      <c r="AG67" s="797"/>
      <c r="AH67" s="401">
        <f t="shared" si="40"/>
        <v>1</v>
      </c>
      <c r="AI67" s="378">
        <f t="shared" si="41"/>
        <v>549</v>
      </c>
      <c r="AJ67" s="379">
        <f t="shared" si="42"/>
        <v>1</v>
      </c>
      <c r="AK67" s="380">
        <f t="shared" si="43"/>
        <v>549</v>
      </c>
      <c r="AL67" s="377">
        <f t="shared" si="44"/>
        <v>1</v>
      </c>
      <c r="AM67" s="380">
        <f t="shared" si="45"/>
        <v>549</v>
      </c>
      <c r="AN67" s="381" t="str">
        <f t="shared" si="46"/>
        <v>80-100%</v>
      </c>
      <c r="AO67" s="377">
        <f t="shared" si="47"/>
        <v>0</v>
      </c>
      <c r="AP67" s="382">
        <f t="shared" si="48"/>
        <v>0</v>
      </c>
      <c r="AQ67" s="380">
        <f t="shared" si="49"/>
        <v>1.3725000000000001</v>
      </c>
      <c r="AR67" s="380">
        <f t="shared" si="50"/>
        <v>0</v>
      </c>
      <c r="AS67" s="380">
        <f t="shared" si="51"/>
        <v>549</v>
      </c>
      <c r="AT67" s="506">
        <v>1</v>
      </c>
      <c r="AU67" s="502">
        <f t="shared" si="52"/>
        <v>549</v>
      </c>
      <c r="AV67" s="485"/>
      <c r="AW67" s="747">
        <v>49</v>
      </c>
      <c r="AX67" s="468">
        <v>12</v>
      </c>
      <c r="AY67" s="468"/>
      <c r="AZ67" s="468">
        <v>4</v>
      </c>
      <c r="BA67" s="468"/>
      <c r="BB67" s="468" t="s">
        <v>289</v>
      </c>
      <c r="BC67" s="383">
        <f t="shared" si="53"/>
        <v>0.58287795992714031</v>
      </c>
      <c r="BD67" s="380">
        <f t="shared" si="54"/>
        <v>320.00000000000006</v>
      </c>
      <c r="BE67" s="383">
        <f t="shared" si="55"/>
        <v>0.43715846994535523</v>
      </c>
      <c r="BF67" s="380">
        <f t="shared" si="56"/>
        <v>240.00000000000003</v>
      </c>
      <c r="BG67" s="383">
        <f t="shared" si="57"/>
        <v>0.14571948998178508</v>
      </c>
      <c r="BH67" s="380">
        <f t="shared" si="58"/>
        <v>80.000000000000014</v>
      </c>
      <c r="BI67" s="490">
        <v>0</v>
      </c>
      <c r="BJ67" s="506">
        <v>0.87</v>
      </c>
      <c r="BK67" s="384">
        <f t="shared" si="59"/>
        <v>477.63</v>
      </c>
      <c r="BL67" s="385">
        <f t="shared" si="60"/>
        <v>23.45</v>
      </c>
      <c r="BM67" s="468">
        <v>2</v>
      </c>
      <c r="BN67" s="468" t="s">
        <v>290</v>
      </c>
      <c r="BO67" s="383">
        <f t="shared" si="61"/>
        <v>0.36429872495446264</v>
      </c>
      <c r="BP67" s="380">
        <f t="shared" si="62"/>
        <v>200</v>
      </c>
      <c r="BQ67" s="385">
        <f t="shared" si="63"/>
        <v>3.49</v>
      </c>
      <c r="BR67" s="506">
        <v>0.42</v>
      </c>
      <c r="BS67" s="380">
        <f t="shared" si="64"/>
        <v>230.57999999999998</v>
      </c>
      <c r="BT67" s="468">
        <v>2</v>
      </c>
      <c r="BU67" s="383">
        <f t="shared" si="65"/>
        <v>0.36429872495446264</v>
      </c>
      <c r="BV67" s="385">
        <f t="shared" si="66"/>
        <v>3.49</v>
      </c>
      <c r="BW67" s="494">
        <v>1</v>
      </c>
      <c r="BX67" s="516" t="s">
        <v>892</v>
      </c>
      <c r="BY67" s="518">
        <v>42143</v>
      </c>
      <c r="BZ67" s="804"/>
      <c r="CA67" s="807"/>
      <c r="CB67" s="386">
        <f t="shared" si="67"/>
        <v>42508</v>
      </c>
      <c r="CC67" s="468">
        <v>121</v>
      </c>
      <c r="CD67" s="468">
        <v>12</v>
      </c>
      <c r="CE67" s="390">
        <f t="shared" si="68"/>
        <v>0</v>
      </c>
      <c r="CF67" s="391">
        <f t="shared" si="69"/>
        <v>1</v>
      </c>
      <c r="CG67" s="384">
        <f t="shared" si="70"/>
        <v>549</v>
      </c>
      <c r="CH67" s="791">
        <f t="shared" si="71"/>
        <v>0</v>
      </c>
      <c r="CI67" s="484"/>
      <c r="CJ67" s="498">
        <v>0.5</v>
      </c>
      <c r="CK67" s="405">
        <f t="shared" si="72"/>
        <v>274.5</v>
      </c>
      <c r="CL67" s="492">
        <v>3</v>
      </c>
      <c r="CM67" s="389" t="str">
        <f t="shared" si="73"/>
        <v>Excellent coverage</v>
      </c>
      <c r="CN67" s="468">
        <v>0</v>
      </c>
      <c r="CO67" s="485" t="s">
        <v>292</v>
      </c>
      <c r="CP67" s="525"/>
    </row>
    <row r="68" spans="2:94" s="40" customFormat="1" ht="30.75" customHeight="1" x14ac:dyDescent="0.2">
      <c r="B68" s="465" t="s">
        <v>182</v>
      </c>
      <c r="C68" s="466"/>
      <c r="D68" s="467" t="s">
        <v>268</v>
      </c>
      <c r="E68" s="466" t="s">
        <v>625</v>
      </c>
      <c r="F68" s="467"/>
      <c r="G68" s="467"/>
      <c r="H68" s="467" t="s">
        <v>459</v>
      </c>
      <c r="I68" s="467" t="s">
        <v>221</v>
      </c>
      <c r="J68" s="467"/>
      <c r="K68" s="467"/>
      <c r="L68" s="468">
        <v>100</v>
      </c>
      <c r="M68" s="468">
        <v>446</v>
      </c>
      <c r="N68" s="468"/>
      <c r="O68" s="468">
        <v>446</v>
      </c>
      <c r="P68" s="376" t="str">
        <f t="shared" si="37"/>
        <v>2. Medium</v>
      </c>
      <c r="Q68" s="717"/>
      <c r="R68" s="469" t="s">
        <v>230</v>
      </c>
      <c r="S68" s="477" t="s">
        <v>299</v>
      </c>
      <c r="T68" s="398" t="str">
        <f t="shared" si="38"/>
        <v>Not covered</v>
      </c>
      <c r="U68" s="478">
        <v>42369</v>
      </c>
      <c r="V68" s="469" t="s">
        <v>254</v>
      </c>
      <c r="W68" s="395" t="str">
        <f t="shared" si="39"/>
        <v>Not documented</v>
      </c>
      <c r="X68" s="484">
        <v>0</v>
      </c>
      <c r="Y68" s="468">
        <v>0</v>
      </c>
      <c r="Z68" s="801"/>
      <c r="AA68" s="485" t="s">
        <v>19</v>
      </c>
      <c r="AB68" s="492">
        <v>0</v>
      </c>
      <c r="AC68" s="468">
        <v>0</v>
      </c>
      <c r="AD68" s="485">
        <v>0</v>
      </c>
      <c r="AE68" s="497">
        <v>0</v>
      </c>
      <c r="AF68" s="498">
        <v>0</v>
      </c>
      <c r="AG68" s="797"/>
      <c r="AH68" s="401">
        <f t="shared" si="40"/>
        <v>0</v>
      </c>
      <c r="AI68" s="378">
        <f t="shared" si="41"/>
        <v>0</v>
      </c>
      <c r="AJ68" s="379">
        <f t="shared" si="42"/>
        <v>0</v>
      </c>
      <c r="AK68" s="380">
        <f t="shared" si="43"/>
        <v>0</v>
      </c>
      <c r="AL68" s="377">
        <f t="shared" si="44"/>
        <v>0</v>
      </c>
      <c r="AM68" s="380">
        <f t="shared" si="45"/>
        <v>0</v>
      </c>
      <c r="AN68" s="381" t="str">
        <f t="shared" si="46"/>
        <v>0-10%</v>
      </c>
      <c r="AO68" s="377">
        <f t="shared" si="47"/>
        <v>0</v>
      </c>
      <c r="AP68" s="382">
        <f t="shared" si="48"/>
        <v>0</v>
      </c>
      <c r="AQ68" s="380">
        <f t="shared" si="49"/>
        <v>1.115</v>
      </c>
      <c r="AR68" s="380">
        <f t="shared" si="50"/>
        <v>0</v>
      </c>
      <c r="AS68" s="380">
        <f t="shared" si="51"/>
        <v>0</v>
      </c>
      <c r="AT68" s="506">
        <v>0</v>
      </c>
      <c r="AU68" s="502">
        <f t="shared" si="52"/>
        <v>0</v>
      </c>
      <c r="AV68" s="485"/>
      <c r="AW68" s="747">
        <v>12</v>
      </c>
      <c r="AX68" s="468">
        <v>0</v>
      </c>
      <c r="AY68" s="468"/>
      <c r="AZ68" s="468">
        <v>0</v>
      </c>
      <c r="BA68" s="468"/>
      <c r="BB68" s="468" t="s">
        <v>290</v>
      </c>
      <c r="BC68" s="383">
        <f t="shared" si="53"/>
        <v>0</v>
      </c>
      <c r="BD68" s="380">
        <f t="shared" si="54"/>
        <v>0</v>
      </c>
      <c r="BE68" s="383">
        <f t="shared" si="55"/>
        <v>0</v>
      </c>
      <c r="BF68" s="380">
        <f t="shared" si="56"/>
        <v>0</v>
      </c>
      <c r="BG68" s="383">
        <f t="shared" si="57"/>
        <v>0</v>
      </c>
      <c r="BH68" s="380">
        <f t="shared" si="58"/>
        <v>0</v>
      </c>
      <c r="BI68" s="490">
        <v>0</v>
      </c>
      <c r="BJ68" s="506">
        <v>0</v>
      </c>
      <c r="BK68" s="384">
        <f t="shared" si="59"/>
        <v>0</v>
      </c>
      <c r="BL68" s="385">
        <f t="shared" si="60"/>
        <v>22.3</v>
      </c>
      <c r="BM68" s="468">
        <v>0</v>
      </c>
      <c r="BN68" s="468"/>
      <c r="BO68" s="383">
        <f t="shared" si="61"/>
        <v>0</v>
      </c>
      <c r="BP68" s="380">
        <f t="shared" si="62"/>
        <v>0</v>
      </c>
      <c r="BQ68" s="385">
        <f t="shared" si="63"/>
        <v>4.46</v>
      </c>
      <c r="BR68" s="506">
        <v>0</v>
      </c>
      <c r="BS68" s="380">
        <f t="shared" si="64"/>
        <v>0</v>
      </c>
      <c r="BT68" s="468">
        <v>0</v>
      </c>
      <c r="BU68" s="383">
        <f t="shared" si="65"/>
        <v>0</v>
      </c>
      <c r="BV68" s="385">
        <f t="shared" si="66"/>
        <v>4.46</v>
      </c>
      <c r="BW68" s="494">
        <v>0</v>
      </c>
      <c r="BX68" s="516" t="s">
        <v>893</v>
      </c>
      <c r="BY68" s="518"/>
      <c r="BZ68" s="804"/>
      <c r="CA68" s="807"/>
      <c r="CB68" s="386" t="str">
        <f t="shared" si="67"/>
        <v>To be realised</v>
      </c>
      <c r="CC68" s="468">
        <v>0</v>
      </c>
      <c r="CD68" s="468">
        <v>0</v>
      </c>
      <c r="CE68" s="390">
        <f t="shared" si="68"/>
        <v>100</v>
      </c>
      <c r="CF68" s="391">
        <f t="shared" si="69"/>
        <v>0</v>
      </c>
      <c r="CG68" s="384">
        <f t="shared" si="70"/>
        <v>0</v>
      </c>
      <c r="CH68" s="791" t="str">
        <f t="shared" si="71"/>
        <v>Column BN to be completed</v>
      </c>
      <c r="CI68" s="484" t="s">
        <v>904</v>
      </c>
      <c r="CJ68" s="498">
        <v>0</v>
      </c>
      <c r="CK68" s="405">
        <f t="shared" si="72"/>
        <v>0</v>
      </c>
      <c r="CL68" s="492">
        <v>0</v>
      </c>
      <c r="CM68" s="389" t="str">
        <f t="shared" si="73"/>
        <v>No coverage</v>
      </c>
      <c r="CN68" s="468">
        <v>0</v>
      </c>
      <c r="CO68" s="485" t="s">
        <v>292</v>
      </c>
      <c r="CP68" s="525"/>
    </row>
    <row r="69" spans="2:94" s="40" customFormat="1" ht="30.75" customHeight="1" x14ac:dyDescent="0.2">
      <c r="B69" s="465" t="s">
        <v>182</v>
      </c>
      <c r="C69" s="466" t="s">
        <v>636</v>
      </c>
      <c r="D69" s="467" t="s">
        <v>268</v>
      </c>
      <c r="E69" s="466" t="s">
        <v>623</v>
      </c>
      <c r="F69" s="467">
        <v>97.127340000000004</v>
      </c>
      <c r="G69" s="467">
        <v>23.24954</v>
      </c>
      <c r="H69" s="467" t="s">
        <v>448</v>
      </c>
      <c r="I69" s="467" t="s">
        <v>213</v>
      </c>
      <c r="J69" s="467"/>
      <c r="K69" s="467"/>
      <c r="L69" s="468">
        <v>37</v>
      </c>
      <c r="M69" s="468">
        <v>157</v>
      </c>
      <c r="N69" s="468"/>
      <c r="O69" s="468">
        <v>157</v>
      </c>
      <c r="P69" s="376" t="str">
        <f t="shared" ref="P69:P100" si="74">IF(L69&gt;50,IF(L69&gt;250,IF(L69&gt;500,IF(L69&gt;1000,"5. Massive","4. Big"),"3. Large"),"2. Medium"),"1. Small")</f>
        <v>1. Small</v>
      </c>
      <c r="Q69" s="717" t="s">
        <v>808</v>
      </c>
      <c r="R69" s="469" t="s">
        <v>234</v>
      </c>
      <c r="S69" s="477" t="s">
        <v>232</v>
      </c>
      <c r="T69" s="398" t="str">
        <f t="shared" ref="T69:T100" si="75">IF(S69="None","Not covered","Covered")</f>
        <v>Covered</v>
      </c>
      <c r="U69" s="478">
        <v>42460</v>
      </c>
      <c r="V69" s="469" t="s">
        <v>252</v>
      </c>
      <c r="W69" s="395" t="str">
        <f t="shared" ref="W69:W100" si="76">IF(V69="Not documented","Not documented","Documented")</f>
        <v>Documented</v>
      </c>
      <c r="X69" s="484">
        <v>0</v>
      </c>
      <c r="Y69" s="468">
        <v>0</v>
      </c>
      <c r="Z69" s="801"/>
      <c r="AA69" s="485" t="s">
        <v>19</v>
      </c>
      <c r="AB69" s="492">
        <v>0</v>
      </c>
      <c r="AC69" s="468">
        <v>0</v>
      </c>
      <c r="AD69" s="485">
        <v>7000</v>
      </c>
      <c r="AE69" s="497">
        <v>1</v>
      </c>
      <c r="AF69" s="498">
        <v>0</v>
      </c>
      <c r="AG69" s="797"/>
      <c r="AH69" s="401">
        <f t="shared" ref="AH69:AH100" si="77">IF((((X69/15)+((Y69/30)/15)+AB69*400+AC69*500+(AD69/15))/O69)&gt;1,1,(((X69/15)+((Y69/30)/15)+AB69*400+AC69*500+(AD69/15))/O69))</f>
        <v>1</v>
      </c>
      <c r="AI69" s="378">
        <f t="shared" ref="AI69:AI100" si="78">AH69*O69</f>
        <v>157</v>
      </c>
      <c r="AJ69" s="379">
        <f t="shared" ref="AJ69:AJ100" si="79">IF(((AB69*400+AC69*500+(AD69/15))/O69)&gt;1,1,(AB69*400+AC69*500+(AD69/15))/O69)</f>
        <v>1</v>
      </c>
      <c r="AK69" s="380">
        <f t="shared" ref="AK69:AK100" si="80">AJ69*O69</f>
        <v>157</v>
      </c>
      <c r="AL69" s="377">
        <f t="shared" ref="AL69:AL100" si="81">IF(AF69=0,AH69,IF(AF69&lt;AH69,AH69,AF69))</f>
        <v>1</v>
      </c>
      <c r="AM69" s="380">
        <f t="shared" ref="AM69:AM100" si="82">AL69*O69</f>
        <v>157</v>
      </c>
      <c r="AN69" s="381" t="str">
        <f t="shared" ref="AN69:AN100" si="83">IF(AH69&gt;0.15,IF(AH69&gt;0.3,IF(AH69&gt;0.45,IF(AH69&gt;0.6,IF(AH69&gt;0.8,"80-100%","60-80%"),"45-60%"),"30-45%"),"15-30%"),"0-10%")</f>
        <v>80-100%</v>
      </c>
      <c r="AO69" s="377">
        <f t="shared" ref="AO69:AO100" si="84">IF((AH69-AJ69)&lt; 0, 0, AH69-AJ69)</f>
        <v>0</v>
      </c>
      <c r="AP69" s="382">
        <f t="shared" ref="AP69:AP100" si="85">AO69*O69</f>
        <v>0</v>
      </c>
      <c r="AQ69" s="380">
        <f t="shared" ref="AQ69:AQ100" si="86">IF(O69/400-(AB69+AC69)&lt;0,0,O69/400-(AB69+AC69))</f>
        <v>0.39250000000000002</v>
      </c>
      <c r="AR69" s="380">
        <f t="shared" ref="AR69:AR100" si="87">AF69*L69</f>
        <v>0</v>
      </c>
      <c r="AS69" s="380">
        <f t="shared" ref="AS69:AS100" si="88">AE69*O69</f>
        <v>157</v>
      </c>
      <c r="AT69" s="506">
        <v>1</v>
      </c>
      <c r="AU69" s="502">
        <f t="shared" ref="AU69:AU100" si="89">AT69*O69</f>
        <v>157</v>
      </c>
      <c r="AV69" s="485"/>
      <c r="AW69" s="747">
        <v>9</v>
      </c>
      <c r="AX69" s="468">
        <v>18</v>
      </c>
      <c r="AY69" s="468"/>
      <c r="AZ69" s="468">
        <v>0</v>
      </c>
      <c r="BA69" s="468"/>
      <c r="BB69" s="468" t="s">
        <v>89</v>
      </c>
      <c r="BC69" s="383">
        <f t="shared" ref="BC69:BC100" si="90">IF((((AX69+AZ69)*20)/O69)&gt;1,1,(((AX69+AZ69)*20)/O69))</f>
        <v>1</v>
      </c>
      <c r="BD69" s="380">
        <f t="shared" ref="BD69:BD100" si="91">BC69*O69</f>
        <v>157</v>
      </c>
      <c r="BE69" s="383">
        <f t="shared" ref="BE69:BE100" si="92">BC69-BG69</f>
        <v>1</v>
      </c>
      <c r="BF69" s="380">
        <f t="shared" ref="BF69:BF100" si="93">BE69*O69</f>
        <v>157</v>
      </c>
      <c r="BG69" s="383">
        <f t="shared" ref="BG69:BG100" si="94">IF(((AZ69*20)/O69)&gt;1,1,((AZ69*20)/O69))</f>
        <v>0</v>
      </c>
      <c r="BH69" s="380">
        <f t="shared" ref="BH69:BH100" si="95">BG69*O69</f>
        <v>0</v>
      </c>
      <c r="BI69" s="490">
        <v>2</v>
      </c>
      <c r="BJ69" s="506">
        <v>1</v>
      </c>
      <c r="BK69" s="384"/>
      <c r="BL69" s="385"/>
      <c r="BM69" s="468">
        <v>5</v>
      </c>
      <c r="BN69" s="468"/>
      <c r="BO69" s="383">
        <f t="shared" ref="BO69:BO100" si="96">IF((BM69*100/O69)&gt;1,1,(BM69*100/O69))</f>
        <v>1</v>
      </c>
      <c r="BP69" s="380">
        <f t="shared" ref="BP69:BP100" si="97">BO69*O69</f>
        <v>157</v>
      </c>
      <c r="BQ69" s="385">
        <f t="shared" ref="BQ69:BQ100" si="98">IF(M69/100-BM69&lt;0,0,M69/100-BM69)</f>
        <v>0</v>
      </c>
      <c r="BR69" s="501">
        <v>1</v>
      </c>
      <c r="BS69" s="380">
        <f t="shared" ref="BS69:BS100" si="99">BR69*O69</f>
        <v>157</v>
      </c>
      <c r="BT69" s="468">
        <v>1</v>
      </c>
      <c r="BU69" s="383">
        <f t="shared" ref="BU69:BU100" si="100">IF((BT69*100/O69)&gt;1,1,(BT69*100/O69))</f>
        <v>0.63694267515923564</v>
      </c>
      <c r="BV69" s="385">
        <f t="shared" ref="BV69:BV100" si="101">IF(M69/100-BT69&lt;0,0,M69/100-BT69)</f>
        <v>0.57000000000000006</v>
      </c>
      <c r="BW69" s="494">
        <v>0.8</v>
      </c>
      <c r="BX69" s="516"/>
      <c r="BY69" s="518">
        <v>42125</v>
      </c>
      <c r="BZ69" s="804"/>
      <c r="CA69" s="807"/>
      <c r="CB69" s="386">
        <f t="shared" ref="CB69:CB100" si="102">IF(BY69="","To be realised",IF(BY69="n/a","n/a",IF(BY69+365&lt;$E$2,"To be realised",BY69+365)))</f>
        <v>42490</v>
      </c>
      <c r="CC69" s="468">
        <v>38</v>
      </c>
      <c r="CD69" s="468">
        <v>5</v>
      </c>
      <c r="CE69" s="390">
        <f t="shared" ref="CE69:CE100" si="103">IF(CB69="n/a",0,IF(CB69="To be realised",L69,IF((L69-CC69)&lt;0,0,(L69-CC69))))</f>
        <v>0</v>
      </c>
      <c r="CF69" s="391">
        <f t="shared" ref="CF69:CF100" si="104">IF(CE69=0,1,(L69-CE69)/L69)</f>
        <v>1</v>
      </c>
      <c r="CG69" s="384">
        <f t="shared" ref="CG69:CG100" si="105">CF69*O69</f>
        <v>157</v>
      </c>
      <c r="CH69" s="791">
        <f t="shared" ref="CH69:CH100" si="106">IF(BY69="","Column BN to be completed", IF(BY69="n/a",0,IF(($E$2-BY69-30)/30-CD69&lt;0,0,ROUND((($E$2-BY69-30)/30-CD69),0))))</f>
        <v>0</v>
      </c>
      <c r="CI69" s="484"/>
      <c r="CJ69" s="498">
        <v>0</v>
      </c>
      <c r="CK69" s="405"/>
      <c r="CL69" s="492">
        <v>0</v>
      </c>
      <c r="CM69" s="389" t="str">
        <f t="shared" ref="CM69:CM100" si="107">IF(CL69=0,"No coverage",IF(O69/CL69&gt;1000,"Low coverage",IF(O69/CL69&gt;750,"Average coverage",IF(O69/CL69&gt;500,"Good coverage","Excellent coverage"))))</f>
        <v>No coverage</v>
      </c>
      <c r="CN69" s="468">
        <v>0</v>
      </c>
      <c r="CO69" s="485" t="s">
        <v>292</v>
      </c>
      <c r="CP69" s="525"/>
    </row>
    <row r="70" spans="2:94" s="40" customFormat="1" ht="30.75" customHeight="1" x14ac:dyDescent="0.2">
      <c r="B70" s="465" t="s">
        <v>182</v>
      </c>
      <c r="C70" s="466" t="s">
        <v>702</v>
      </c>
      <c r="D70" s="467" t="s">
        <v>268</v>
      </c>
      <c r="E70" s="466" t="s">
        <v>624</v>
      </c>
      <c r="F70" s="467">
        <v>97.123440000000002</v>
      </c>
      <c r="G70" s="467">
        <v>23.24568</v>
      </c>
      <c r="H70" s="467" t="s">
        <v>448</v>
      </c>
      <c r="I70" s="467" t="s">
        <v>213</v>
      </c>
      <c r="J70" s="467"/>
      <c r="K70" s="467"/>
      <c r="L70" s="468">
        <v>31</v>
      </c>
      <c r="M70" s="468">
        <v>184</v>
      </c>
      <c r="N70" s="468"/>
      <c r="O70" s="468">
        <v>184</v>
      </c>
      <c r="P70" s="376" t="str">
        <f t="shared" si="74"/>
        <v>1. Small</v>
      </c>
      <c r="Q70" s="717" t="s">
        <v>806</v>
      </c>
      <c r="R70" s="469" t="s">
        <v>230</v>
      </c>
      <c r="S70" s="477" t="s">
        <v>230</v>
      </c>
      <c r="T70" s="398" t="str">
        <f t="shared" si="75"/>
        <v>Covered</v>
      </c>
      <c r="U70" s="478">
        <v>42460</v>
      </c>
      <c r="V70" s="469" t="s">
        <v>252</v>
      </c>
      <c r="W70" s="395" t="str">
        <f t="shared" si="76"/>
        <v>Documented</v>
      </c>
      <c r="X70" s="484">
        <v>0</v>
      </c>
      <c r="Y70" s="468">
        <v>0</v>
      </c>
      <c r="Z70" s="801"/>
      <c r="AA70" s="485" t="s">
        <v>19</v>
      </c>
      <c r="AB70" s="492">
        <v>0</v>
      </c>
      <c r="AC70" s="468">
        <v>0</v>
      </c>
      <c r="AD70" s="485">
        <v>28800</v>
      </c>
      <c r="AE70" s="497">
        <v>0.8</v>
      </c>
      <c r="AF70" s="498">
        <v>0</v>
      </c>
      <c r="AG70" s="797"/>
      <c r="AH70" s="401">
        <f t="shared" si="77"/>
        <v>1</v>
      </c>
      <c r="AI70" s="378">
        <f t="shared" si="78"/>
        <v>184</v>
      </c>
      <c r="AJ70" s="379">
        <f t="shared" si="79"/>
        <v>1</v>
      </c>
      <c r="AK70" s="380">
        <f t="shared" si="80"/>
        <v>184</v>
      </c>
      <c r="AL70" s="377">
        <f t="shared" si="81"/>
        <v>1</v>
      </c>
      <c r="AM70" s="380">
        <f t="shared" si="82"/>
        <v>184</v>
      </c>
      <c r="AN70" s="381" t="str">
        <f t="shared" si="83"/>
        <v>80-100%</v>
      </c>
      <c r="AO70" s="377">
        <f t="shared" si="84"/>
        <v>0</v>
      </c>
      <c r="AP70" s="382">
        <f t="shared" si="85"/>
        <v>0</v>
      </c>
      <c r="AQ70" s="380">
        <f t="shared" si="86"/>
        <v>0.46</v>
      </c>
      <c r="AR70" s="380">
        <f t="shared" si="87"/>
        <v>0</v>
      </c>
      <c r="AS70" s="380">
        <f t="shared" si="88"/>
        <v>147.20000000000002</v>
      </c>
      <c r="AT70" s="506">
        <v>1</v>
      </c>
      <c r="AU70" s="502">
        <f t="shared" si="89"/>
        <v>184</v>
      </c>
      <c r="AV70" s="485" t="s">
        <v>745</v>
      </c>
      <c r="AW70" s="747">
        <v>4</v>
      </c>
      <c r="AX70" s="468">
        <v>6</v>
      </c>
      <c r="AY70" s="468"/>
      <c r="AZ70" s="468">
        <v>4</v>
      </c>
      <c r="BA70" s="468"/>
      <c r="BB70" s="468" t="s">
        <v>89</v>
      </c>
      <c r="BC70" s="383">
        <f t="shared" si="90"/>
        <v>1</v>
      </c>
      <c r="BD70" s="380">
        <f t="shared" si="91"/>
        <v>184</v>
      </c>
      <c r="BE70" s="383">
        <f t="shared" si="92"/>
        <v>0.56521739130434789</v>
      </c>
      <c r="BF70" s="380">
        <f t="shared" si="93"/>
        <v>104.00000000000001</v>
      </c>
      <c r="BG70" s="383">
        <f t="shared" si="94"/>
        <v>0.43478260869565216</v>
      </c>
      <c r="BH70" s="380">
        <f t="shared" si="95"/>
        <v>80</v>
      </c>
      <c r="BI70" s="490">
        <v>2</v>
      </c>
      <c r="BJ70" s="506">
        <v>1</v>
      </c>
      <c r="BK70" s="384">
        <f t="shared" ref="BK70:BK101" si="108">BJ70*O70</f>
        <v>184</v>
      </c>
      <c r="BL70" s="385">
        <f t="shared" ref="BL70:BL101" si="109">IF((O70/20-AZ70+BI70)&lt;0,0,(O70/20-AZ70+BI70))</f>
        <v>7.1999999999999993</v>
      </c>
      <c r="BM70" s="468">
        <v>2</v>
      </c>
      <c r="BN70" s="468" t="s">
        <v>290</v>
      </c>
      <c r="BO70" s="383">
        <f t="shared" si="96"/>
        <v>1</v>
      </c>
      <c r="BP70" s="380">
        <f t="shared" si="97"/>
        <v>184</v>
      </c>
      <c r="BQ70" s="385">
        <f t="shared" si="98"/>
        <v>0</v>
      </c>
      <c r="BR70" s="501">
        <v>1</v>
      </c>
      <c r="BS70" s="380">
        <f t="shared" si="99"/>
        <v>184</v>
      </c>
      <c r="BT70" s="468">
        <v>0</v>
      </c>
      <c r="BU70" s="383">
        <f t="shared" si="100"/>
        <v>0</v>
      </c>
      <c r="BV70" s="385">
        <f t="shared" si="101"/>
        <v>1.84</v>
      </c>
      <c r="BW70" s="494">
        <v>0</v>
      </c>
      <c r="BX70" s="516" t="s">
        <v>893</v>
      </c>
      <c r="BY70" s="518">
        <v>41183</v>
      </c>
      <c r="BZ70" s="804"/>
      <c r="CA70" s="807"/>
      <c r="CB70" s="386" t="str">
        <f t="shared" si="102"/>
        <v>To be realised</v>
      </c>
      <c r="CC70" s="468">
        <v>31</v>
      </c>
      <c r="CD70" s="468">
        <v>3</v>
      </c>
      <c r="CE70" s="390">
        <f t="shared" si="103"/>
        <v>31</v>
      </c>
      <c r="CF70" s="391">
        <f t="shared" si="104"/>
        <v>0</v>
      </c>
      <c r="CG70" s="384">
        <f t="shared" si="105"/>
        <v>0</v>
      </c>
      <c r="CH70" s="791">
        <f t="shared" si="106"/>
        <v>32</v>
      </c>
      <c r="CI70" s="484" t="s">
        <v>903</v>
      </c>
      <c r="CJ70" s="498">
        <v>0</v>
      </c>
      <c r="CK70" s="405">
        <f t="shared" ref="CK70:CK101" si="110">CJ70*O70</f>
        <v>0</v>
      </c>
      <c r="CL70" s="492">
        <v>2</v>
      </c>
      <c r="CM70" s="389" t="str">
        <f t="shared" si="107"/>
        <v>Excellent coverage</v>
      </c>
      <c r="CN70" s="468">
        <v>0</v>
      </c>
      <c r="CO70" s="485" t="s">
        <v>65</v>
      </c>
      <c r="CP70" s="525"/>
    </row>
    <row r="71" spans="2:94" s="40" customFormat="1" ht="30.75" customHeight="1" x14ac:dyDescent="0.2">
      <c r="B71" s="465" t="s">
        <v>220</v>
      </c>
      <c r="C71" s="466" t="s">
        <v>555</v>
      </c>
      <c r="D71" s="467" t="s">
        <v>258</v>
      </c>
      <c r="E71" s="466" t="s">
        <v>126</v>
      </c>
      <c r="F71" s="467">
        <v>96.922619999999995</v>
      </c>
      <c r="G71" s="467">
        <v>25.305669999999999</v>
      </c>
      <c r="H71" s="467" t="s">
        <v>448</v>
      </c>
      <c r="I71" s="467" t="s">
        <v>213</v>
      </c>
      <c r="J71" s="467"/>
      <c r="K71" s="467"/>
      <c r="L71" s="468">
        <v>13</v>
      </c>
      <c r="M71" s="468">
        <v>50</v>
      </c>
      <c r="N71" s="468"/>
      <c r="O71" s="468">
        <v>50</v>
      </c>
      <c r="P71" s="376" t="str">
        <f t="shared" si="74"/>
        <v>1. Small</v>
      </c>
      <c r="Q71" s="717" t="s">
        <v>805</v>
      </c>
      <c r="R71" s="469" t="s">
        <v>234</v>
      </c>
      <c r="S71" s="477" t="s">
        <v>234</v>
      </c>
      <c r="T71" s="398" t="str">
        <f t="shared" si="75"/>
        <v>Covered</v>
      </c>
      <c r="U71" s="478">
        <v>42429</v>
      </c>
      <c r="V71" s="469" t="s">
        <v>252</v>
      </c>
      <c r="W71" s="395" t="str">
        <f t="shared" si="76"/>
        <v>Documented</v>
      </c>
      <c r="X71" s="484">
        <v>0</v>
      </c>
      <c r="Y71" s="468">
        <v>0</v>
      </c>
      <c r="Z71" s="801"/>
      <c r="AA71" s="485" t="s">
        <v>19</v>
      </c>
      <c r="AB71" s="484">
        <v>0</v>
      </c>
      <c r="AC71" s="490">
        <v>2</v>
      </c>
      <c r="AD71" s="491">
        <v>3600</v>
      </c>
      <c r="AE71" s="497">
        <v>0</v>
      </c>
      <c r="AF71" s="498">
        <v>1</v>
      </c>
      <c r="AG71" s="797"/>
      <c r="AH71" s="401">
        <f t="shared" si="77"/>
        <v>1</v>
      </c>
      <c r="AI71" s="378">
        <f t="shared" si="78"/>
        <v>50</v>
      </c>
      <c r="AJ71" s="379">
        <f t="shared" si="79"/>
        <v>1</v>
      </c>
      <c r="AK71" s="380">
        <f t="shared" si="80"/>
        <v>50</v>
      </c>
      <c r="AL71" s="377">
        <f t="shared" si="81"/>
        <v>1</v>
      </c>
      <c r="AM71" s="380">
        <f t="shared" si="82"/>
        <v>50</v>
      </c>
      <c r="AN71" s="381" t="str">
        <f t="shared" si="83"/>
        <v>80-100%</v>
      </c>
      <c r="AO71" s="377">
        <f t="shared" si="84"/>
        <v>0</v>
      </c>
      <c r="AP71" s="382">
        <f t="shared" si="85"/>
        <v>0</v>
      </c>
      <c r="AQ71" s="380">
        <f t="shared" si="86"/>
        <v>0</v>
      </c>
      <c r="AR71" s="380">
        <f t="shared" si="87"/>
        <v>13</v>
      </c>
      <c r="AS71" s="380">
        <f t="shared" si="88"/>
        <v>0</v>
      </c>
      <c r="AT71" s="501">
        <v>1</v>
      </c>
      <c r="AU71" s="502">
        <f t="shared" si="89"/>
        <v>50</v>
      </c>
      <c r="AV71" s="491" t="s">
        <v>826</v>
      </c>
      <c r="AW71" s="747">
        <v>0</v>
      </c>
      <c r="AX71" s="468">
        <v>0</v>
      </c>
      <c r="AY71" s="468"/>
      <c r="AZ71" s="468">
        <v>6</v>
      </c>
      <c r="BA71" s="468"/>
      <c r="BB71" s="468" t="s">
        <v>289</v>
      </c>
      <c r="BC71" s="383">
        <f t="shared" si="90"/>
        <v>1</v>
      </c>
      <c r="BD71" s="380">
        <f t="shared" si="91"/>
        <v>50</v>
      </c>
      <c r="BE71" s="383">
        <f t="shared" si="92"/>
        <v>0</v>
      </c>
      <c r="BF71" s="380">
        <f t="shared" si="93"/>
        <v>0</v>
      </c>
      <c r="BG71" s="383">
        <f t="shared" si="94"/>
        <v>1</v>
      </c>
      <c r="BH71" s="380">
        <f t="shared" si="95"/>
        <v>50</v>
      </c>
      <c r="BI71" s="490">
        <v>0</v>
      </c>
      <c r="BJ71" s="506">
        <v>1</v>
      </c>
      <c r="BK71" s="384">
        <f t="shared" si="108"/>
        <v>50</v>
      </c>
      <c r="BL71" s="385">
        <f t="shared" si="109"/>
        <v>0</v>
      </c>
      <c r="BM71" s="468">
        <v>2</v>
      </c>
      <c r="BN71" s="468" t="s">
        <v>290</v>
      </c>
      <c r="BO71" s="383">
        <f t="shared" si="96"/>
        <v>1</v>
      </c>
      <c r="BP71" s="380">
        <f t="shared" si="97"/>
        <v>50</v>
      </c>
      <c r="BQ71" s="385">
        <f t="shared" si="98"/>
        <v>0</v>
      </c>
      <c r="BR71" s="501">
        <v>1</v>
      </c>
      <c r="BS71" s="380">
        <f t="shared" si="99"/>
        <v>50</v>
      </c>
      <c r="BT71" s="490">
        <v>0</v>
      </c>
      <c r="BU71" s="383">
        <f t="shared" si="100"/>
        <v>0</v>
      </c>
      <c r="BV71" s="385">
        <f t="shared" si="101"/>
        <v>0.5</v>
      </c>
      <c r="BW71" s="494">
        <v>0</v>
      </c>
      <c r="BX71" s="516" t="s">
        <v>846</v>
      </c>
      <c r="BY71" s="518">
        <v>42053</v>
      </c>
      <c r="BZ71" s="804"/>
      <c r="CA71" s="807"/>
      <c r="CB71" s="386">
        <f t="shared" si="102"/>
        <v>42418</v>
      </c>
      <c r="CC71" s="468">
        <v>17</v>
      </c>
      <c r="CD71" s="468">
        <v>4</v>
      </c>
      <c r="CE71" s="387">
        <f t="shared" si="103"/>
        <v>0</v>
      </c>
      <c r="CF71" s="388">
        <f t="shared" si="104"/>
        <v>1</v>
      </c>
      <c r="CG71" s="380">
        <f t="shared" si="105"/>
        <v>50</v>
      </c>
      <c r="CH71" s="403">
        <f t="shared" si="106"/>
        <v>2</v>
      </c>
      <c r="CI71" s="484" t="s">
        <v>896</v>
      </c>
      <c r="CJ71" s="494">
        <v>1</v>
      </c>
      <c r="CK71" s="405">
        <f t="shared" si="110"/>
        <v>50</v>
      </c>
      <c r="CL71" s="484">
        <v>2</v>
      </c>
      <c r="CM71" s="389" t="str">
        <f t="shared" si="107"/>
        <v>Excellent coverage</v>
      </c>
      <c r="CN71" s="490">
        <v>0</v>
      </c>
      <c r="CO71" s="485" t="s">
        <v>292</v>
      </c>
      <c r="CP71" s="525"/>
    </row>
    <row r="72" spans="2:94" s="40" customFormat="1" ht="30.75" customHeight="1" x14ac:dyDescent="0.2">
      <c r="B72" s="465" t="s">
        <v>220</v>
      </c>
      <c r="C72" s="466" t="s">
        <v>802</v>
      </c>
      <c r="D72" s="467" t="s">
        <v>258</v>
      </c>
      <c r="E72" s="466" t="s">
        <v>803</v>
      </c>
      <c r="F72" s="467">
        <v>96.94135</v>
      </c>
      <c r="G72" s="467">
        <v>25.294460000000001</v>
      </c>
      <c r="H72" s="467" t="s">
        <v>448</v>
      </c>
      <c r="I72" s="467" t="s">
        <v>213</v>
      </c>
      <c r="J72" s="467"/>
      <c r="K72" s="467"/>
      <c r="L72" s="468">
        <v>15</v>
      </c>
      <c r="M72" s="468">
        <v>34</v>
      </c>
      <c r="N72" s="468"/>
      <c r="O72" s="468">
        <v>23</v>
      </c>
      <c r="P72" s="376" t="str">
        <f t="shared" si="74"/>
        <v>1. Small</v>
      </c>
      <c r="Q72" s="717" t="s">
        <v>825</v>
      </c>
      <c r="R72" s="469" t="s">
        <v>230</v>
      </c>
      <c r="S72" s="477" t="s">
        <v>230</v>
      </c>
      <c r="T72" s="398" t="str">
        <f t="shared" si="75"/>
        <v>Covered</v>
      </c>
      <c r="U72" s="478">
        <v>42429</v>
      </c>
      <c r="V72" s="469" t="s">
        <v>252</v>
      </c>
      <c r="W72" s="395" t="str">
        <f t="shared" si="76"/>
        <v>Documented</v>
      </c>
      <c r="X72" s="484">
        <v>0</v>
      </c>
      <c r="Y72" s="468">
        <v>0</v>
      </c>
      <c r="Z72" s="801"/>
      <c r="AA72" s="485" t="s">
        <v>19</v>
      </c>
      <c r="AB72" s="484">
        <v>0</v>
      </c>
      <c r="AC72" s="490">
        <v>1</v>
      </c>
      <c r="AD72" s="491">
        <v>0</v>
      </c>
      <c r="AE72" s="497">
        <v>0</v>
      </c>
      <c r="AF72" s="498">
        <v>0</v>
      </c>
      <c r="AG72" s="797"/>
      <c r="AH72" s="401">
        <f t="shared" si="77"/>
        <v>1</v>
      </c>
      <c r="AI72" s="378">
        <f t="shared" si="78"/>
        <v>23</v>
      </c>
      <c r="AJ72" s="379">
        <f t="shared" si="79"/>
        <v>1</v>
      </c>
      <c r="AK72" s="380">
        <f t="shared" si="80"/>
        <v>23</v>
      </c>
      <c r="AL72" s="377">
        <f t="shared" si="81"/>
        <v>1</v>
      </c>
      <c r="AM72" s="380">
        <f t="shared" si="82"/>
        <v>23</v>
      </c>
      <c r="AN72" s="381" t="str">
        <f t="shared" si="83"/>
        <v>80-100%</v>
      </c>
      <c r="AO72" s="377">
        <f t="shared" si="84"/>
        <v>0</v>
      </c>
      <c r="AP72" s="382">
        <f t="shared" si="85"/>
        <v>0</v>
      </c>
      <c r="AQ72" s="380">
        <f t="shared" si="86"/>
        <v>0</v>
      </c>
      <c r="AR72" s="380">
        <f t="shared" si="87"/>
        <v>0</v>
      </c>
      <c r="AS72" s="380">
        <f t="shared" si="88"/>
        <v>0</v>
      </c>
      <c r="AT72" s="501">
        <v>1</v>
      </c>
      <c r="AU72" s="502">
        <f t="shared" si="89"/>
        <v>23</v>
      </c>
      <c r="AV72" s="491"/>
      <c r="AW72" s="747">
        <v>0</v>
      </c>
      <c r="AX72" s="468">
        <v>2</v>
      </c>
      <c r="AY72" s="468"/>
      <c r="AZ72" s="468">
        <v>0</v>
      </c>
      <c r="BA72" s="468"/>
      <c r="BB72" s="468" t="s">
        <v>290</v>
      </c>
      <c r="BC72" s="383">
        <f t="shared" si="90"/>
        <v>1</v>
      </c>
      <c r="BD72" s="380">
        <f t="shared" si="91"/>
        <v>23</v>
      </c>
      <c r="BE72" s="383">
        <f t="shared" si="92"/>
        <v>1</v>
      </c>
      <c r="BF72" s="380">
        <f t="shared" si="93"/>
        <v>23</v>
      </c>
      <c r="BG72" s="383">
        <f t="shared" si="94"/>
        <v>0</v>
      </c>
      <c r="BH72" s="380">
        <f t="shared" si="95"/>
        <v>0</v>
      </c>
      <c r="BI72" s="490">
        <v>0</v>
      </c>
      <c r="BJ72" s="506">
        <v>1</v>
      </c>
      <c r="BK72" s="384">
        <f t="shared" si="108"/>
        <v>23</v>
      </c>
      <c r="BL72" s="385">
        <f t="shared" si="109"/>
        <v>1.1499999999999999</v>
      </c>
      <c r="BM72" s="468">
        <v>0</v>
      </c>
      <c r="BN72" s="468" t="s">
        <v>89</v>
      </c>
      <c r="BO72" s="383">
        <f t="shared" si="96"/>
        <v>0</v>
      </c>
      <c r="BP72" s="380">
        <f t="shared" si="97"/>
        <v>0</v>
      </c>
      <c r="BQ72" s="385">
        <f t="shared" si="98"/>
        <v>0.34</v>
      </c>
      <c r="BR72" s="501">
        <v>0</v>
      </c>
      <c r="BS72" s="380">
        <f t="shared" si="99"/>
        <v>0</v>
      </c>
      <c r="BT72" s="490">
        <v>0</v>
      </c>
      <c r="BU72" s="383">
        <f t="shared" si="100"/>
        <v>0</v>
      </c>
      <c r="BV72" s="385">
        <f t="shared" si="101"/>
        <v>0.34</v>
      </c>
      <c r="BW72" s="494">
        <v>0</v>
      </c>
      <c r="BX72" s="516" t="s">
        <v>824</v>
      </c>
      <c r="BY72" s="518"/>
      <c r="BZ72" s="804"/>
      <c r="CA72" s="807"/>
      <c r="CB72" s="386" t="str">
        <f t="shared" si="102"/>
        <v>To be realised</v>
      </c>
      <c r="CC72" s="468">
        <v>0</v>
      </c>
      <c r="CD72" s="468">
        <v>0</v>
      </c>
      <c r="CE72" s="387">
        <f t="shared" si="103"/>
        <v>15</v>
      </c>
      <c r="CF72" s="388">
        <f t="shared" si="104"/>
        <v>0</v>
      </c>
      <c r="CG72" s="380">
        <f t="shared" si="105"/>
        <v>0</v>
      </c>
      <c r="CH72" s="403" t="str">
        <f t="shared" si="106"/>
        <v>Column BN to be completed</v>
      </c>
      <c r="CI72" s="484"/>
      <c r="CJ72" s="494">
        <v>0</v>
      </c>
      <c r="CK72" s="405">
        <f t="shared" si="110"/>
        <v>0</v>
      </c>
      <c r="CL72" s="484">
        <v>0</v>
      </c>
      <c r="CM72" s="389" t="str">
        <f t="shared" si="107"/>
        <v>No coverage</v>
      </c>
      <c r="CN72" s="490">
        <v>0</v>
      </c>
      <c r="CO72" s="485" t="s">
        <v>292</v>
      </c>
      <c r="CP72" s="525" t="s">
        <v>906</v>
      </c>
    </row>
    <row r="73" spans="2:94" s="40" customFormat="1" ht="30.75" customHeight="1" x14ac:dyDescent="0.2">
      <c r="B73" s="465" t="s">
        <v>220</v>
      </c>
      <c r="C73" s="466" t="s">
        <v>553</v>
      </c>
      <c r="D73" s="467" t="s">
        <v>258</v>
      </c>
      <c r="E73" s="466" t="s">
        <v>127</v>
      </c>
      <c r="F73" s="467">
        <v>96.942279999999997</v>
      </c>
      <c r="G73" s="467">
        <v>25.296579999999999</v>
      </c>
      <c r="H73" s="467" t="s">
        <v>448</v>
      </c>
      <c r="I73" s="467" t="s">
        <v>213</v>
      </c>
      <c r="J73" s="467"/>
      <c r="K73" s="467"/>
      <c r="L73" s="468">
        <v>13</v>
      </c>
      <c r="M73" s="468">
        <v>56</v>
      </c>
      <c r="N73" s="468"/>
      <c r="O73" s="468">
        <v>56</v>
      </c>
      <c r="P73" s="376" t="str">
        <f t="shared" si="74"/>
        <v>1. Small</v>
      </c>
      <c r="Q73" s="717" t="s">
        <v>805</v>
      </c>
      <c r="R73" s="469" t="s">
        <v>234</v>
      </c>
      <c r="S73" s="477" t="s">
        <v>234</v>
      </c>
      <c r="T73" s="398" t="str">
        <f t="shared" si="75"/>
        <v>Covered</v>
      </c>
      <c r="U73" s="478">
        <v>42369</v>
      </c>
      <c r="V73" s="469" t="s">
        <v>252</v>
      </c>
      <c r="W73" s="395" t="str">
        <f t="shared" si="76"/>
        <v>Documented</v>
      </c>
      <c r="X73" s="484">
        <v>0</v>
      </c>
      <c r="Y73" s="468">
        <v>0</v>
      </c>
      <c r="Z73" s="801"/>
      <c r="AA73" s="485" t="s">
        <v>19</v>
      </c>
      <c r="AB73" s="484">
        <v>0</v>
      </c>
      <c r="AC73" s="490">
        <v>2</v>
      </c>
      <c r="AD73" s="491">
        <v>3600</v>
      </c>
      <c r="AE73" s="497">
        <v>0</v>
      </c>
      <c r="AF73" s="498">
        <v>1</v>
      </c>
      <c r="AG73" s="797"/>
      <c r="AH73" s="401">
        <f t="shared" si="77"/>
        <v>1</v>
      </c>
      <c r="AI73" s="378">
        <f t="shared" si="78"/>
        <v>56</v>
      </c>
      <c r="AJ73" s="379">
        <f t="shared" si="79"/>
        <v>1</v>
      </c>
      <c r="AK73" s="380">
        <f t="shared" si="80"/>
        <v>56</v>
      </c>
      <c r="AL73" s="377">
        <f t="shared" si="81"/>
        <v>1</v>
      </c>
      <c r="AM73" s="380">
        <f t="shared" si="82"/>
        <v>56</v>
      </c>
      <c r="AN73" s="381" t="str">
        <f t="shared" si="83"/>
        <v>80-100%</v>
      </c>
      <c r="AO73" s="377">
        <f t="shared" si="84"/>
        <v>0</v>
      </c>
      <c r="AP73" s="382">
        <f t="shared" si="85"/>
        <v>0</v>
      </c>
      <c r="AQ73" s="380">
        <f t="shared" si="86"/>
        <v>0</v>
      </c>
      <c r="AR73" s="380">
        <f t="shared" si="87"/>
        <v>13</v>
      </c>
      <c r="AS73" s="380">
        <f t="shared" si="88"/>
        <v>0</v>
      </c>
      <c r="AT73" s="501">
        <v>1</v>
      </c>
      <c r="AU73" s="502">
        <f t="shared" si="89"/>
        <v>56</v>
      </c>
      <c r="AV73" s="491" t="s">
        <v>826</v>
      </c>
      <c r="AW73" s="747">
        <v>11</v>
      </c>
      <c r="AX73" s="468">
        <v>0</v>
      </c>
      <c r="AY73" s="468"/>
      <c r="AZ73" s="468">
        <v>4</v>
      </c>
      <c r="BA73" s="468"/>
      <c r="BB73" s="468" t="s">
        <v>289</v>
      </c>
      <c r="BC73" s="383">
        <f t="shared" si="90"/>
        <v>1</v>
      </c>
      <c r="BD73" s="380">
        <f t="shared" si="91"/>
        <v>56</v>
      </c>
      <c r="BE73" s="383">
        <f t="shared" si="92"/>
        <v>0</v>
      </c>
      <c r="BF73" s="380">
        <f t="shared" si="93"/>
        <v>0</v>
      </c>
      <c r="BG73" s="383">
        <f t="shared" si="94"/>
        <v>1</v>
      </c>
      <c r="BH73" s="380">
        <f t="shared" si="95"/>
        <v>56</v>
      </c>
      <c r="BI73" s="490">
        <v>0</v>
      </c>
      <c r="BJ73" s="506">
        <v>1</v>
      </c>
      <c r="BK73" s="384">
        <f t="shared" si="108"/>
        <v>56</v>
      </c>
      <c r="BL73" s="385">
        <f t="shared" si="109"/>
        <v>0</v>
      </c>
      <c r="BM73" s="468">
        <v>2</v>
      </c>
      <c r="BN73" s="468" t="s">
        <v>89</v>
      </c>
      <c r="BO73" s="383">
        <f t="shared" si="96"/>
        <v>1</v>
      </c>
      <c r="BP73" s="380">
        <f t="shared" si="97"/>
        <v>56</v>
      </c>
      <c r="BQ73" s="385">
        <f t="shared" si="98"/>
        <v>0</v>
      </c>
      <c r="BR73" s="501">
        <v>1</v>
      </c>
      <c r="BS73" s="380">
        <f t="shared" si="99"/>
        <v>56</v>
      </c>
      <c r="BT73" s="490">
        <v>0</v>
      </c>
      <c r="BU73" s="383">
        <f t="shared" si="100"/>
        <v>0</v>
      </c>
      <c r="BV73" s="385">
        <f t="shared" si="101"/>
        <v>0.56000000000000005</v>
      </c>
      <c r="BW73" s="494">
        <v>0</v>
      </c>
      <c r="BX73" s="516" t="s">
        <v>847</v>
      </c>
      <c r="BY73" s="518">
        <v>42053</v>
      </c>
      <c r="BZ73" s="804"/>
      <c r="CA73" s="807"/>
      <c r="CB73" s="386">
        <f t="shared" si="102"/>
        <v>42418</v>
      </c>
      <c r="CC73" s="468">
        <v>12</v>
      </c>
      <c r="CD73" s="468">
        <v>4</v>
      </c>
      <c r="CE73" s="387">
        <f t="shared" si="103"/>
        <v>1</v>
      </c>
      <c r="CF73" s="388">
        <f t="shared" si="104"/>
        <v>0.92307692307692313</v>
      </c>
      <c r="CG73" s="380">
        <f t="shared" si="105"/>
        <v>51.692307692307693</v>
      </c>
      <c r="CH73" s="403">
        <f t="shared" si="106"/>
        <v>2</v>
      </c>
      <c r="CI73" s="484" t="s">
        <v>896</v>
      </c>
      <c r="CJ73" s="494">
        <v>1</v>
      </c>
      <c r="CK73" s="405">
        <f t="shared" si="110"/>
        <v>56</v>
      </c>
      <c r="CL73" s="484">
        <v>2</v>
      </c>
      <c r="CM73" s="389" t="str">
        <f t="shared" si="107"/>
        <v>Excellent coverage</v>
      </c>
      <c r="CN73" s="490">
        <v>0</v>
      </c>
      <c r="CO73" s="485" t="s">
        <v>292</v>
      </c>
      <c r="CP73" s="525"/>
    </row>
    <row r="74" spans="2:94" s="40" customFormat="1" ht="30.75" customHeight="1" x14ac:dyDescent="0.2">
      <c r="B74" s="465" t="s">
        <v>220</v>
      </c>
      <c r="C74" s="466" t="s">
        <v>554</v>
      </c>
      <c r="D74" s="467" t="s">
        <v>258</v>
      </c>
      <c r="E74" s="466" t="s">
        <v>128</v>
      </c>
      <c r="F74" s="467">
        <v>96.948740000000001</v>
      </c>
      <c r="G74" s="467">
        <v>25.30442</v>
      </c>
      <c r="H74" s="467" t="s">
        <v>448</v>
      </c>
      <c r="I74" s="467" t="s">
        <v>213</v>
      </c>
      <c r="J74" s="467"/>
      <c r="K74" s="467"/>
      <c r="L74" s="468">
        <v>11</v>
      </c>
      <c r="M74" s="468">
        <v>36</v>
      </c>
      <c r="N74" s="468"/>
      <c r="O74" s="468">
        <v>36</v>
      </c>
      <c r="P74" s="376" t="str">
        <f t="shared" si="74"/>
        <v>1. Small</v>
      </c>
      <c r="Q74" s="717" t="s">
        <v>805</v>
      </c>
      <c r="R74" s="469" t="s">
        <v>234</v>
      </c>
      <c r="S74" s="477" t="s">
        <v>234</v>
      </c>
      <c r="T74" s="398" t="str">
        <f t="shared" si="75"/>
        <v>Covered</v>
      </c>
      <c r="U74" s="478">
        <v>42369</v>
      </c>
      <c r="V74" s="469" t="s">
        <v>252</v>
      </c>
      <c r="W74" s="395" t="str">
        <f t="shared" si="76"/>
        <v>Documented</v>
      </c>
      <c r="X74" s="484">
        <v>0</v>
      </c>
      <c r="Y74" s="468">
        <v>0</v>
      </c>
      <c r="Z74" s="801"/>
      <c r="AA74" s="485" t="s">
        <v>19</v>
      </c>
      <c r="AB74" s="484">
        <v>1</v>
      </c>
      <c r="AC74" s="490">
        <v>2</v>
      </c>
      <c r="AD74" s="491">
        <v>3600</v>
      </c>
      <c r="AE74" s="497">
        <v>0</v>
      </c>
      <c r="AF74" s="498">
        <v>1</v>
      </c>
      <c r="AG74" s="797"/>
      <c r="AH74" s="401">
        <f t="shared" si="77"/>
        <v>1</v>
      </c>
      <c r="AI74" s="378">
        <f t="shared" si="78"/>
        <v>36</v>
      </c>
      <c r="AJ74" s="379">
        <f t="shared" si="79"/>
        <v>1</v>
      </c>
      <c r="AK74" s="380">
        <f t="shared" si="80"/>
        <v>36</v>
      </c>
      <c r="AL74" s="377">
        <f t="shared" si="81"/>
        <v>1</v>
      </c>
      <c r="AM74" s="380">
        <f t="shared" si="82"/>
        <v>36</v>
      </c>
      <c r="AN74" s="381" t="str">
        <f t="shared" si="83"/>
        <v>80-100%</v>
      </c>
      <c r="AO74" s="377">
        <f t="shared" si="84"/>
        <v>0</v>
      </c>
      <c r="AP74" s="382">
        <f t="shared" si="85"/>
        <v>0</v>
      </c>
      <c r="AQ74" s="380">
        <f t="shared" si="86"/>
        <v>0</v>
      </c>
      <c r="AR74" s="380">
        <f t="shared" si="87"/>
        <v>11</v>
      </c>
      <c r="AS74" s="380">
        <f t="shared" si="88"/>
        <v>0</v>
      </c>
      <c r="AT74" s="501">
        <v>1</v>
      </c>
      <c r="AU74" s="502">
        <f t="shared" si="89"/>
        <v>36</v>
      </c>
      <c r="AV74" s="491" t="s">
        <v>826</v>
      </c>
      <c r="AW74" s="747">
        <v>62</v>
      </c>
      <c r="AX74" s="468">
        <v>0</v>
      </c>
      <c r="AY74" s="468"/>
      <c r="AZ74" s="468">
        <v>3</v>
      </c>
      <c r="BA74" s="468"/>
      <c r="BB74" s="468" t="s">
        <v>289</v>
      </c>
      <c r="BC74" s="383">
        <f t="shared" si="90"/>
        <v>1</v>
      </c>
      <c r="BD74" s="380">
        <f t="shared" si="91"/>
        <v>36</v>
      </c>
      <c r="BE74" s="383">
        <f t="shared" si="92"/>
        <v>0</v>
      </c>
      <c r="BF74" s="380">
        <f t="shared" si="93"/>
        <v>0</v>
      </c>
      <c r="BG74" s="383">
        <f t="shared" si="94"/>
        <v>1</v>
      </c>
      <c r="BH74" s="380">
        <f t="shared" si="95"/>
        <v>36</v>
      </c>
      <c r="BI74" s="490">
        <v>0</v>
      </c>
      <c r="BJ74" s="506">
        <v>1</v>
      </c>
      <c r="BK74" s="384">
        <f t="shared" si="108"/>
        <v>36</v>
      </c>
      <c r="BL74" s="385">
        <f t="shared" si="109"/>
        <v>0</v>
      </c>
      <c r="BM74" s="468">
        <v>2</v>
      </c>
      <c r="BN74" s="468" t="s">
        <v>290</v>
      </c>
      <c r="BO74" s="383">
        <f t="shared" si="96"/>
        <v>1</v>
      </c>
      <c r="BP74" s="380">
        <f t="shared" si="97"/>
        <v>36</v>
      </c>
      <c r="BQ74" s="385">
        <f t="shared" si="98"/>
        <v>0</v>
      </c>
      <c r="BR74" s="501">
        <v>1</v>
      </c>
      <c r="BS74" s="380">
        <f t="shared" si="99"/>
        <v>36</v>
      </c>
      <c r="BT74" s="490">
        <v>1</v>
      </c>
      <c r="BU74" s="383">
        <f t="shared" si="100"/>
        <v>1</v>
      </c>
      <c r="BV74" s="385">
        <f t="shared" si="101"/>
        <v>0</v>
      </c>
      <c r="BW74" s="494">
        <v>1</v>
      </c>
      <c r="BX74" s="516"/>
      <c r="BY74" s="518">
        <v>42053</v>
      </c>
      <c r="BZ74" s="804"/>
      <c r="CA74" s="807"/>
      <c r="CB74" s="386">
        <f t="shared" si="102"/>
        <v>42418</v>
      </c>
      <c r="CC74" s="468">
        <v>15</v>
      </c>
      <c r="CD74" s="468">
        <v>4</v>
      </c>
      <c r="CE74" s="387">
        <f t="shared" si="103"/>
        <v>0</v>
      </c>
      <c r="CF74" s="388">
        <f t="shared" si="104"/>
        <v>1</v>
      </c>
      <c r="CG74" s="380">
        <f t="shared" si="105"/>
        <v>36</v>
      </c>
      <c r="CH74" s="403">
        <f t="shared" si="106"/>
        <v>2</v>
      </c>
      <c r="CI74" s="484" t="s">
        <v>896</v>
      </c>
      <c r="CJ74" s="494">
        <v>1</v>
      </c>
      <c r="CK74" s="405">
        <f t="shared" si="110"/>
        <v>36</v>
      </c>
      <c r="CL74" s="484">
        <v>2</v>
      </c>
      <c r="CM74" s="389" t="str">
        <f t="shared" si="107"/>
        <v>Excellent coverage</v>
      </c>
      <c r="CN74" s="490">
        <v>0</v>
      </c>
      <c r="CO74" s="485" t="s">
        <v>292</v>
      </c>
      <c r="CP74" s="525"/>
    </row>
    <row r="75" spans="2:94" s="40" customFormat="1" ht="30.75" customHeight="1" x14ac:dyDescent="0.2">
      <c r="B75" s="465" t="s">
        <v>220</v>
      </c>
      <c r="C75" s="466" t="s">
        <v>800</v>
      </c>
      <c r="D75" s="467" t="s">
        <v>258</v>
      </c>
      <c r="E75" s="466" t="s">
        <v>801</v>
      </c>
      <c r="F75" s="467"/>
      <c r="G75" s="467"/>
      <c r="H75" s="467" t="s">
        <v>459</v>
      </c>
      <c r="I75" s="467" t="s">
        <v>213</v>
      </c>
      <c r="J75" s="467"/>
      <c r="K75" s="467"/>
      <c r="L75" s="468">
        <v>20</v>
      </c>
      <c r="M75" s="468">
        <v>82</v>
      </c>
      <c r="N75" s="468"/>
      <c r="O75" s="468">
        <v>82</v>
      </c>
      <c r="P75" s="376" t="str">
        <f t="shared" si="74"/>
        <v>1. Small</v>
      </c>
      <c r="Q75" s="717" t="s">
        <v>805</v>
      </c>
      <c r="R75" s="469"/>
      <c r="S75" s="477" t="s">
        <v>234</v>
      </c>
      <c r="T75" s="398" t="str">
        <f t="shared" si="75"/>
        <v>Covered</v>
      </c>
      <c r="U75" s="478">
        <v>42521</v>
      </c>
      <c r="V75" s="469" t="s">
        <v>252</v>
      </c>
      <c r="W75" s="395" t="str">
        <f t="shared" si="76"/>
        <v>Documented</v>
      </c>
      <c r="X75" s="484">
        <v>0</v>
      </c>
      <c r="Y75" s="468">
        <v>0</v>
      </c>
      <c r="Z75" s="801"/>
      <c r="AA75" s="485" t="s">
        <v>19</v>
      </c>
      <c r="AB75" s="484">
        <v>0</v>
      </c>
      <c r="AC75" s="490">
        <v>1</v>
      </c>
      <c r="AD75" s="491">
        <v>0</v>
      </c>
      <c r="AE75" s="497">
        <v>0</v>
      </c>
      <c r="AF75" s="498">
        <v>0</v>
      </c>
      <c r="AG75" s="797"/>
      <c r="AH75" s="401">
        <f t="shared" si="77"/>
        <v>1</v>
      </c>
      <c r="AI75" s="378">
        <f t="shared" si="78"/>
        <v>82</v>
      </c>
      <c r="AJ75" s="379">
        <f t="shared" si="79"/>
        <v>1</v>
      </c>
      <c r="AK75" s="380">
        <f t="shared" si="80"/>
        <v>82</v>
      </c>
      <c r="AL75" s="377">
        <f t="shared" si="81"/>
        <v>1</v>
      </c>
      <c r="AM75" s="380">
        <f t="shared" si="82"/>
        <v>82</v>
      </c>
      <c r="AN75" s="381" t="str">
        <f t="shared" si="83"/>
        <v>80-100%</v>
      </c>
      <c r="AO75" s="377">
        <f t="shared" si="84"/>
        <v>0</v>
      </c>
      <c r="AP75" s="382">
        <f t="shared" si="85"/>
        <v>0</v>
      </c>
      <c r="AQ75" s="380">
        <f t="shared" si="86"/>
        <v>0</v>
      </c>
      <c r="AR75" s="380">
        <f t="shared" si="87"/>
        <v>0</v>
      </c>
      <c r="AS75" s="380">
        <f t="shared" si="88"/>
        <v>0</v>
      </c>
      <c r="AT75" s="501">
        <v>1</v>
      </c>
      <c r="AU75" s="502">
        <f t="shared" si="89"/>
        <v>82</v>
      </c>
      <c r="AV75" s="491"/>
      <c r="AW75" s="747">
        <v>70</v>
      </c>
      <c r="AX75" s="468">
        <v>20</v>
      </c>
      <c r="AY75" s="468"/>
      <c r="AZ75" s="468">
        <v>0</v>
      </c>
      <c r="BA75" s="468"/>
      <c r="BB75" s="468" t="s">
        <v>290</v>
      </c>
      <c r="BC75" s="383">
        <f t="shared" si="90"/>
        <v>1</v>
      </c>
      <c r="BD75" s="380">
        <f t="shared" si="91"/>
        <v>82</v>
      </c>
      <c r="BE75" s="383">
        <f t="shared" si="92"/>
        <v>1</v>
      </c>
      <c r="BF75" s="380">
        <f t="shared" si="93"/>
        <v>82</v>
      </c>
      <c r="BG75" s="383">
        <f t="shared" si="94"/>
        <v>0</v>
      </c>
      <c r="BH75" s="380">
        <f t="shared" si="95"/>
        <v>0</v>
      </c>
      <c r="BI75" s="490">
        <v>0</v>
      </c>
      <c r="BJ75" s="506">
        <v>1</v>
      </c>
      <c r="BK75" s="384">
        <f t="shared" si="108"/>
        <v>82</v>
      </c>
      <c r="BL75" s="385">
        <f t="shared" si="109"/>
        <v>4.0999999999999996</v>
      </c>
      <c r="BM75" s="468">
        <v>0</v>
      </c>
      <c r="BN75" s="468" t="s">
        <v>89</v>
      </c>
      <c r="BO75" s="383">
        <f t="shared" si="96"/>
        <v>0</v>
      </c>
      <c r="BP75" s="380">
        <f t="shared" si="97"/>
        <v>0</v>
      </c>
      <c r="BQ75" s="385">
        <f t="shared" si="98"/>
        <v>0.82</v>
      </c>
      <c r="BR75" s="501">
        <v>0</v>
      </c>
      <c r="BS75" s="380">
        <f t="shared" si="99"/>
        <v>0</v>
      </c>
      <c r="BT75" s="490">
        <v>0</v>
      </c>
      <c r="BU75" s="383">
        <f t="shared" si="100"/>
        <v>0</v>
      </c>
      <c r="BV75" s="385">
        <f t="shared" si="101"/>
        <v>0.82</v>
      </c>
      <c r="BW75" s="494">
        <v>0</v>
      </c>
      <c r="BX75" s="516"/>
      <c r="BY75" s="518"/>
      <c r="BZ75" s="804"/>
      <c r="CA75" s="807"/>
      <c r="CB75" s="386" t="str">
        <f t="shared" si="102"/>
        <v>To be realised</v>
      </c>
      <c r="CC75" s="468">
        <v>0</v>
      </c>
      <c r="CD75" s="468">
        <v>0</v>
      </c>
      <c r="CE75" s="387">
        <f t="shared" si="103"/>
        <v>20</v>
      </c>
      <c r="CF75" s="388">
        <f t="shared" si="104"/>
        <v>0</v>
      </c>
      <c r="CG75" s="380">
        <f t="shared" si="105"/>
        <v>0</v>
      </c>
      <c r="CH75" s="403" t="str">
        <f t="shared" si="106"/>
        <v>Column BN to be completed</v>
      </c>
      <c r="CI75" s="484" t="s">
        <v>896</v>
      </c>
      <c r="CJ75" s="494">
        <v>1</v>
      </c>
      <c r="CK75" s="405">
        <f t="shared" si="110"/>
        <v>82</v>
      </c>
      <c r="CL75" s="484">
        <v>1</v>
      </c>
      <c r="CM75" s="389" t="str">
        <f t="shared" si="107"/>
        <v>Excellent coverage</v>
      </c>
      <c r="CN75" s="490">
        <v>0</v>
      </c>
      <c r="CO75" s="485" t="s">
        <v>292</v>
      </c>
      <c r="CP75" s="525"/>
    </row>
    <row r="76" spans="2:94" s="40" customFormat="1" ht="30.75" customHeight="1" x14ac:dyDescent="0.2">
      <c r="B76" s="465" t="s">
        <v>220</v>
      </c>
      <c r="C76" s="466" t="s">
        <v>798</v>
      </c>
      <c r="D76" s="467" t="s">
        <v>258</v>
      </c>
      <c r="E76" s="466" t="s">
        <v>799</v>
      </c>
      <c r="F76" s="467"/>
      <c r="G76" s="467"/>
      <c r="H76" s="467" t="s">
        <v>459</v>
      </c>
      <c r="I76" s="467" t="s">
        <v>213</v>
      </c>
      <c r="J76" s="467"/>
      <c r="K76" s="467"/>
      <c r="L76" s="468">
        <v>24</v>
      </c>
      <c r="M76" s="468">
        <v>83</v>
      </c>
      <c r="N76" s="468"/>
      <c r="O76" s="468">
        <v>83</v>
      </c>
      <c r="P76" s="376" t="str">
        <f t="shared" si="74"/>
        <v>1. Small</v>
      </c>
      <c r="Q76" s="717" t="s">
        <v>805</v>
      </c>
      <c r="R76" s="469"/>
      <c r="S76" s="477" t="s">
        <v>234</v>
      </c>
      <c r="T76" s="398" t="str">
        <f t="shared" si="75"/>
        <v>Covered</v>
      </c>
      <c r="U76" s="478">
        <v>42429</v>
      </c>
      <c r="V76" s="469" t="s">
        <v>252</v>
      </c>
      <c r="W76" s="395" t="str">
        <f t="shared" si="76"/>
        <v>Documented</v>
      </c>
      <c r="X76" s="484">
        <v>0</v>
      </c>
      <c r="Y76" s="468">
        <v>0</v>
      </c>
      <c r="Z76" s="801"/>
      <c r="AA76" s="485" t="s">
        <v>19</v>
      </c>
      <c r="AB76" s="484">
        <v>0</v>
      </c>
      <c r="AC76" s="490">
        <v>1</v>
      </c>
      <c r="AD76" s="491">
        <v>0</v>
      </c>
      <c r="AE76" s="497">
        <v>0</v>
      </c>
      <c r="AF76" s="498">
        <v>0</v>
      </c>
      <c r="AG76" s="797"/>
      <c r="AH76" s="401">
        <f t="shared" si="77"/>
        <v>1</v>
      </c>
      <c r="AI76" s="378">
        <f t="shared" si="78"/>
        <v>83</v>
      </c>
      <c r="AJ76" s="379">
        <f t="shared" si="79"/>
        <v>1</v>
      </c>
      <c r="AK76" s="380">
        <f t="shared" si="80"/>
        <v>83</v>
      </c>
      <c r="AL76" s="377">
        <f t="shared" si="81"/>
        <v>1</v>
      </c>
      <c r="AM76" s="380">
        <f t="shared" si="82"/>
        <v>83</v>
      </c>
      <c r="AN76" s="381" t="str">
        <f t="shared" si="83"/>
        <v>80-100%</v>
      </c>
      <c r="AO76" s="377">
        <f t="shared" si="84"/>
        <v>0</v>
      </c>
      <c r="AP76" s="382">
        <f t="shared" si="85"/>
        <v>0</v>
      </c>
      <c r="AQ76" s="380">
        <f t="shared" si="86"/>
        <v>0</v>
      </c>
      <c r="AR76" s="380">
        <f t="shared" si="87"/>
        <v>0</v>
      </c>
      <c r="AS76" s="380">
        <f t="shared" si="88"/>
        <v>0</v>
      </c>
      <c r="AT76" s="501">
        <v>1</v>
      </c>
      <c r="AU76" s="502">
        <f t="shared" si="89"/>
        <v>83</v>
      </c>
      <c r="AV76" s="491"/>
      <c r="AW76" s="747">
        <v>0</v>
      </c>
      <c r="AX76" s="468">
        <v>24</v>
      </c>
      <c r="AY76" s="468"/>
      <c r="AZ76" s="468">
        <v>0</v>
      </c>
      <c r="BA76" s="468"/>
      <c r="BB76" s="468" t="s">
        <v>89</v>
      </c>
      <c r="BC76" s="383">
        <f t="shared" si="90"/>
        <v>1</v>
      </c>
      <c r="BD76" s="380">
        <f t="shared" si="91"/>
        <v>83</v>
      </c>
      <c r="BE76" s="383">
        <f t="shared" si="92"/>
        <v>1</v>
      </c>
      <c r="BF76" s="380">
        <f t="shared" si="93"/>
        <v>83</v>
      </c>
      <c r="BG76" s="383">
        <f t="shared" si="94"/>
        <v>0</v>
      </c>
      <c r="BH76" s="380">
        <f t="shared" si="95"/>
        <v>0</v>
      </c>
      <c r="BI76" s="490">
        <v>0</v>
      </c>
      <c r="BJ76" s="506">
        <v>1</v>
      </c>
      <c r="BK76" s="384">
        <f t="shared" si="108"/>
        <v>83</v>
      </c>
      <c r="BL76" s="385">
        <f t="shared" si="109"/>
        <v>4.1500000000000004</v>
      </c>
      <c r="BM76" s="468">
        <v>0</v>
      </c>
      <c r="BN76" s="468" t="s">
        <v>89</v>
      </c>
      <c r="BO76" s="383">
        <f t="shared" si="96"/>
        <v>0</v>
      </c>
      <c r="BP76" s="380">
        <f t="shared" si="97"/>
        <v>0</v>
      </c>
      <c r="BQ76" s="385">
        <f t="shared" si="98"/>
        <v>0.83</v>
      </c>
      <c r="BR76" s="501">
        <v>0</v>
      </c>
      <c r="BS76" s="380">
        <f t="shared" si="99"/>
        <v>0</v>
      </c>
      <c r="BT76" s="490">
        <v>0</v>
      </c>
      <c r="BU76" s="383">
        <f t="shared" si="100"/>
        <v>0</v>
      </c>
      <c r="BV76" s="385">
        <f t="shared" si="101"/>
        <v>0.83</v>
      </c>
      <c r="BW76" s="494">
        <v>0</v>
      </c>
      <c r="BX76" s="516"/>
      <c r="BY76" s="518"/>
      <c r="BZ76" s="804"/>
      <c r="CA76" s="807"/>
      <c r="CB76" s="386" t="str">
        <f t="shared" si="102"/>
        <v>To be realised</v>
      </c>
      <c r="CC76" s="468">
        <v>0</v>
      </c>
      <c r="CD76" s="468">
        <v>0</v>
      </c>
      <c r="CE76" s="387">
        <f t="shared" si="103"/>
        <v>24</v>
      </c>
      <c r="CF76" s="388">
        <f t="shared" si="104"/>
        <v>0</v>
      </c>
      <c r="CG76" s="380">
        <f t="shared" si="105"/>
        <v>0</v>
      </c>
      <c r="CH76" s="403" t="str">
        <f t="shared" si="106"/>
        <v>Column BN to be completed</v>
      </c>
      <c r="CI76" s="484" t="s">
        <v>896</v>
      </c>
      <c r="CJ76" s="494">
        <v>1</v>
      </c>
      <c r="CK76" s="405">
        <f t="shared" si="110"/>
        <v>83</v>
      </c>
      <c r="CL76" s="484">
        <v>1</v>
      </c>
      <c r="CM76" s="389" t="str">
        <f t="shared" si="107"/>
        <v>Excellent coverage</v>
      </c>
      <c r="CN76" s="490">
        <v>0</v>
      </c>
      <c r="CO76" s="485" t="s">
        <v>292</v>
      </c>
      <c r="CP76" s="525"/>
    </row>
    <row r="77" spans="2:94" s="40" customFormat="1" ht="30.75" customHeight="1" x14ac:dyDescent="0.2">
      <c r="B77" s="465" t="s">
        <v>129</v>
      </c>
      <c r="C77" s="466" t="s">
        <v>557</v>
      </c>
      <c r="D77" s="467" t="s">
        <v>258</v>
      </c>
      <c r="E77" s="466" t="s">
        <v>314</v>
      </c>
      <c r="F77" s="467">
        <v>96.364949999999993</v>
      </c>
      <c r="G77" s="467">
        <v>24.998349999999999</v>
      </c>
      <c r="H77" s="467" t="s">
        <v>448</v>
      </c>
      <c r="I77" s="467" t="s">
        <v>213</v>
      </c>
      <c r="J77" s="467"/>
      <c r="K77" s="467"/>
      <c r="L77" s="468">
        <v>19</v>
      </c>
      <c r="M77" s="468">
        <v>85</v>
      </c>
      <c r="N77" s="468"/>
      <c r="O77" s="468">
        <v>85</v>
      </c>
      <c r="P77" s="376" t="str">
        <f t="shared" si="74"/>
        <v>1. Small</v>
      </c>
      <c r="Q77" s="717" t="s">
        <v>805</v>
      </c>
      <c r="R77" s="469" t="s">
        <v>234</v>
      </c>
      <c r="S77" s="477" t="s">
        <v>234</v>
      </c>
      <c r="T77" s="398" t="str">
        <f t="shared" si="75"/>
        <v>Covered</v>
      </c>
      <c r="U77" s="478">
        <v>42429</v>
      </c>
      <c r="V77" s="469" t="s">
        <v>252</v>
      </c>
      <c r="W77" s="395" t="str">
        <f t="shared" si="76"/>
        <v>Documented</v>
      </c>
      <c r="X77" s="484">
        <v>0</v>
      </c>
      <c r="Y77" s="468">
        <v>0</v>
      </c>
      <c r="Z77" s="801"/>
      <c r="AA77" s="485" t="s">
        <v>19</v>
      </c>
      <c r="AB77" s="484">
        <v>0</v>
      </c>
      <c r="AC77" s="490">
        <v>1</v>
      </c>
      <c r="AD77" s="491">
        <v>7200</v>
      </c>
      <c r="AE77" s="497">
        <v>0</v>
      </c>
      <c r="AF77" s="498">
        <v>1</v>
      </c>
      <c r="AG77" s="797"/>
      <c r="AH77" s="401">
        <f t="shared" si="77"/>
        <v>1</v>
      </c>
      <c r="AI77" s="378">
        <f t="shared" si="78"/>
        <v>85</v>
      </c>
      <c r="AJ77" s="379">
        <f t="shared" si="79"/>
        <v>1</v>
      </c>
      <c r="AK77" s="380">
        <f t="shared" si="80"/>
        <v>85</v>
      </c>
      <c r="AL77" s="377">
        <f t="shared" si="81"/>
        <v>1</v>
      </c>
      <c r="AM77" s="380">
        <f t="shared" si="82"/>
        <v>85</v>
      </c>
      <c r="AN77" s="381" t="str">
        <f t="shared" si="83"/>
        <v>80-100%</v>
      </c>
      <c r="AO77" s="377">
        <f t="shared" si="84"/>
        <v>0</v>
      </c>
      <c r="AP77" s="382">
        <f t="shared" si="85"/>
        <v>0</v>
      </c>
      <c r="AQ77" s="380">
        <f t="shared" si="86"/>
        <v>0</v>
      </c>
      <c r="AR77" s="380">
        <f t="shared" si="87"/>
        <v>19</v>
      </c>
      <c r="AS77" s="380">
        <f t="shared" si="88"/>
        <v>0</v>
      </c>
      <c r="AT77" s="501">
        <v>1</v>
      </c>
      <c r="AU77" s="502">
        <f t="shared" si="89"/>
        <v>85</v>
      </c>
      <c r="AV77" s="491"/>
      <c r="AW77" s="747">
        <v>0</v>
      </c>
      <c r="AX77" s="468">
        <v>0</v>
      </c>
      <c r="AY77" s="468"/>
      <c r="AZ77" s="468">
        <v>5</v>
      </c>
      <c r="BA77" s="468"/>
      <c r="BB77" s="468" t="s">
        <v>289</v>
      </c>
      <c r="BC77" s="383">
        <f t="shared" si="90"/>
        <v>1</v>
      </c>
      <c r="BD77" s="380">
        <f t="shared" si="91"/>
        <v>85</v>
      </c>
      <c r="BE77" s="383">
        <f t="shared" si="92"/>
        <v>0</v>
      </c>
      <c r="BF77" s="380">
        <f t="shared" si="93"/>
        <v>0</v>
      </c>
      <c r="BG77" s="383">
        <f t="shared" si="94"/>
        <v>1</v>
      </c>
      <c r="BH77" s="380">
        <f t="shared" si="95"/>
        <v>85</v>
      </c>
      <c r="BI77" s="490">
        <v>0</v>
      </c>
      <c r="BJ77" s="506">
        <v>1</v>
      </c>
      <c r="BK77" s="384">
        <f t="shared" si="108"/>
        <v>85</v>
      </c>
      <c r="BL77" s="385">
        <f t="shared" si="109"/>
        <v>0</v>
      </c>
      <c r="BM77" s="468">
        <v>2</v>
      </c>
      <c r="BN77" s="468" t="s">
        <v>290</v>
      </c>
      <c r="BO77" s="383">
        <f t="shared" si="96"/>
        <v>1</v>
      </c>
      <c r="BP77" s="380">
        <f t="shared" si="97"/>
        <v>85</v>
      </c>
      <c r="BQ77" s="385">
        <f t="shared" si="98"/>
        <v>0</v>
      </c>
      <c r="BR77" s="501">
        <v>1</v>
      </c>
      <c r="BS77" s="380">
        <f t="shared" si="99"/>
        <v>85</v>
      </c>
      <c r="BT77" s="490">
        <v>0</v>
      </c>
      <c r="BU77" s="383">
        <f t="shared" si="100"/>
        <v>0</v>
      </c>
      <c r="BV77" s="385">
        <f t="shared" si="101"/>
        <v>0.85</v>
      </c>
      <c r="BW77" s="494">
        <v>0</v>
      </c>
      <c r="BX77" s="516" t="s">
        <v>848</v>
      </c>
      <c r="BY77" s="518">
        <v>42053</v>
      </c>
      <c r="BZ77" s="804"/>
      <c r="CA77" s="807"/>
      <c r="CB77" s="386">
        <f t="shared" si="102"/>
        <v>42418</v>
      </c>
      <c r="CC77" s="468">
        <v>19</v>
      </c>
      <c r="CD77" s="468">
        <v>4</v>
      </c>
      <c r="CE77" s="387">
        <f t="shared" si="103"/>
        <v>0</v>
      </c>
      <c r="CF77" s="388">
        <f t="shared" si="104"/>
        <v>1</v>
      </c>
      <c r="CG77" s="380">
        <f t="shared" si="105"/>
        <v>85</v>
      </c>
      <c r="CH77" s="403">
        <f t="shared" si="106"/>
        <v>2</v>
      </c>
      <c r="CI77" s="484" t="s">
        <v>896</v>
      </c>
      <c r="CJ77" s="494">
        <v>1</v>
      </c>
      <c r="CK77" s="405">
        <f t="shared" si="110"/>
        <v>85</v>
      </c>
      <c r="CL77" s="484">
        <v>2</v>
      </c>
      <c r="CM77" s="389" t="str">
        <f t="shared" si="107"/>
        <v>Excellent coverage</v>
      </c>
      <c r="CN77" s="490">
        <v>0</v>
      </c>
      <c r="CO77" s="485" t="s">
        <v>292</v>
      </c>
      <c r="CP77" s="525"/>
    </row>
    <row r="78" spans="2:94" s="40" customFormat="1" ht="30.75" customHeight="1" x14ac:dyDescent="0.2">
      <c r="B78" s="465" t="s">
        <v>129</v>
      </c>
      <c r="C78" s="466" t="s">
        <v>556</v>
      </c>
      <c r="D78" s="467" t="s">
        <v>258</v>
      </c>
      <c r="E78" s="466" t="s">
        <v>130</v>
      </c>
      <c r="F78" s="467">
        <v>96.367059999999995</v>
      </c>
      <c r="G78" s="467">
        <v>24.764800000000001</v>
      </c>
      <c r="H78" s="467" t="s">
        <v>448</v>
      </c>
      <c r="I78" s="467" t="s">
        <v>213</v>
      </c>
      <c r="J78" s="467"/>
      <c r="K78" s="467"/>
      <c r="L78" s="468">
        <v>12</v>
      </c>
      <c r="M78" s="468">
        <v>51</v>
      </c>
      <c r="N78" s="468"/>
      <c r="O78" s="468">
        <v>51</v>
      </c>
      <c r="P78" s="376" t="str">
        <f t="shared" si="74"/>
        <v>1. Small</v>
      </c>
      <c r="Q78" s="717" t="s">
        <v>825</v>
      </c>
      <c r="R78" s="469" t="s">
        <v>230</v>
      </c>
      <c r="S78" s="477" t="s">
        <v>230</v>
      </c>
      <c r="T78" s="398" t="str">
        <f t="shared" si="75"/>
        <v>Covered</v>
      </c>
      <c r="U78" s="478">
        <v>42429</v>
      </c>
      <c r="V78" s="469" t="s">
        <v>252</v>
      </c>
      <c r="W78" s="395" t="str">
        <f t="shared" si="76"/>
        <v>Documented</v>
      </c>
      <c r="X78" s="484">
        <v>0</v>
      </c>
      <c r="Y78" s="468">
        <v>0</v>
      </c>
      <c r="Z78" s="801"/>
      <c r="AA78" s="485" t="s">
        <v>19</v>
      </c>
      <c r="AB78" s="484">
        <v>1</v>
      </c>
      <c r="AC78" s="490">
        <v>0</v>
      </c>
      <c r="AD78" s="491">
        <v>3000</v>
      </c>
      <c r="AE78" s="497">
        <v>0</v>
      </c>
      <c r="AF78" s="498">
        <v>0</v>
      </c>
      <c r="AG78" s="797"/>
      <c r="AH78" s="401">
        <f t="shared" si="77"/>
        <v>1</v>
      </c>
      <c r="AI78" s="378">
        <f t="shared" si="78"/>
        <v>51</v>
      </c>
      <c r="AJ78" s="379">
        <f t="shared" si="79"/>
        <v>1</v>
      </c>
      <c r="AK78" s="380">
        <f t="shared" si="80"/>
        <v>51</v>
      </c>
      <c r="AL78" s="377">
        <f t="shared" si="81"/>
        <v>1</v>
      </c>
      <c r="AM78" s="380">
        <f t="shared" si="82"/>
        <v>51</v>
      </c>
      <c r="AN78" s="381" t="str">
        <f t="shared" si="83"/>
        <v>80-100%</v>
      </c>
      <c r="AO78" s="377">
        <f t="shared" si="84"/>
        <v>0</v>
      </c>
      <c r="AP78" s="382">
        <f t="shared" si="85"/>
        <v>0</v>
      </c>
      <c r="AQ78" s="380">
        <f t="shared" si="86"/>
        <v>0</v>
      </c>
      <c r="AR78" s="380">
        <f t="shared" si="87"/>
        <v>0</v>
      </c>
      <c r="AS78" s="380">
        <f t="shared" si="88"/>
        <v>0</v>
      </c>
      <c r="AT78" s="501">
        <v>1</v>
      </c>
      <c r="AU78" s="502">
        <f t="shared" si="89"/>
        <v>51</v>
      </c>
      <c r="AV78" s="491"/>
      <c r="AW78" s="747">
        <v>0</v>
      </c>
      <c r="AX78" s="468">
        <v>0</v>
      </c>
      <c r="AY78" s="468"/>
      <c r="AZ78" s="468">
        <v>3</v>
      </c>
      <c r="BA78" s="468"/>
      <c r="BB78" s="468" t="s">
        <v>290</v>
      </c>
      <c r="BC78" s="383">
        <f t="shared" si="90"/>
        <v>1</v>
      </c>
      <c r="BD78" s="380">
        <f t="shared" si="91"/>
        <v>51</v>
      </c>
      <c r="BE78" s="383">
        <f t="shared" si="92"/>
        <v>0</v>
      </c>
      <c r="BF78" s="380">
        <f t="shared" si="93"/>
        <v>0</v>
      </c>
      <c r="BG78" s="383">
        <f t="shared" si="94"/>
        <v>1</v>
      </c>
      <c r="BH78" s="380">
        <f t="shared" si="95"/>
        <v>51</v>
      </c>
      <c r="BI78" s="490">
        <v>0</v>
      </c>
      <c r="BJ78" s="506">
        <v>1</v>
      </c>
      <c r="BK78" s="384">
        <f t="shared" si="108"/>
        <v>51</v>
      </c>
      <c r="BL78" s="385">
        <f t="shared" si="109"/>
        <v>0</v>
      </c>
      <c r="BM78" s="468">
        <v>2</v>
      </c>
      <c r="BN78" s="468" t="s">
        <v>290</v>
      </c>
      <c r="BO78" s="383">
        <f t="shared" si="96"/>
        <v>1</v>
      </c>
      <c r="BP78" s="380">
        <f t="shared" si="97"/>
        <v>51</v>
      </c>
      <c r="BQ78" s="385">
        <f t="shared" si="98"/>
        <v>0</v>
      </c>
      <c r="BR78" s="501">
        <v>1</v>
      </c>
      <c r="BS78" s="380">
        <f t="shared" si="99"/>
        <v>51</v>
      </c>
      <c r="BT78" s="490">
        <v>1</v>
      </c>
      <c r="BU78" s="383">
        <f t="shared" si="100"/>
        <v>1</v>
      </c>
      <c r="BV78" s="385">
        <f t="shared" si="101"/>
        <v>0</v>
      </c>
      <c r="BW78" s="494">
        <v>1</v>
      </c>
      <c r="BX78" s="516" t="s">
        <v>849</v>
      </c>
      <c r="BY78" s="518">
        <v>41817</v>
      </c>
      <c r="BZ78" s="804"/>
      <c r="CA78" s="807"/>
      <c r="CB78" s="386" t="str">
        <f t="shared" si="102"/>
        <v>To be realised</v>
      </c>
      <c r="CC78" s="468">
        <v>12</v>
      </c>
      <c r="CD78" s="468">
        <v>2</v>
      </c>
      <c r="CE78" s="387">
        <f t="shared" si="103"/>
        <v>12</v>
      </c>
      <c r="CF78" s="388">
        <f t="shared" si="104"/>
        <v>0</v>
      </c>
      <c r="CG78" s="380">
        <f t="shared" si="105"/>
        <v>0</v>
      </c>
      <c r="CH78" s="403">
        <f t="shared" si="106"/>
        <v>12</v>
      </c>
      <c r="CI78" s="484"/>
      <c r="CJ78" s="494">
        <v>0.8</v>
      </c>
      <c r="CK78" s="405">
        <f t="shared" si="110"/>
        <v>40.800000000000004</v>
      </c>
      <c r="CL78" s="484">
        <v>4</v>
      </c>
      <c r="CM78" s="389" t="str">
        <f t="shared" si="107"/>
        <v>Excellent coverage</v>
      </c>
      <c r="CN78" s="490">
        <v>0</v>
      </c>
      <c r="CO78" s="485" t="s">
        <v>292</v>
      </c>
      <c r="CP78" s="525"/>
    </row>
    <row r="79" spans="2:94" s="40" customFormat="1" ht="30.75" customHeight="1" x14ac:dyDescent="0.25">
      <c r="B79" s="465" t="s">
        <v>183</v>
      </c>
      <c r="C79" s="466" t="s">
        <v>570</v>
      </c>
      <c r="D79" s="467" t="s">
        <v>259</v>
      </c>
      <c r="E79" s="466" t="s">
        <v>461</v>
      </c>
      <c r="F79" s="467">
        <v>97.347049999999996</v>
      </c>
      <c r="G79" s="467">
        <v>24.255870000000002</v>
      </c>
      <c r="H79" s="467" t="s">
        <v>448</v>
      </c>
      <c r="I79" s="467" t="s">
        <v>213</v>
      </c>
      <c r="J79" s="467"/>
      <c r="K79" s="467"/>
      <c r="L79" s="471">
        <v>141</v>
      </c>
      <c r="M79" s="471">
        <v>625</v>
      </c>
      <c r="N79" s="471"/>
      <c r="O79" s="471">
        <v>625</v>
      </c>
      <c r="P79" s="376" t="str">
        <f t="shared" si="74"/>
        <v>2. Medium</v>
      </c>
      <c r="Q79" s="717" t="s">
        <v>823</v>
      </c>
      <c r="R79" s="472" t="s">
        <v>234</v>
      </c>
      <c r="S79" s="479" t="s">
        <v>232</v>
      </c>
      <c r="T79" s="398" t="str">
        <f t="shared" si="75"/>
        <v>Covered</v>
      </c>
      <c r="U79" s="480">
        <v>42459</v>
      </c>
      <c r="V79" s="481" t="s">
        <v>252</v>
      </c>
      <c r="W79" s="395" t="str">
        <f t="shared" si="76"/>
        <v>Documented</v>
      </c>
      <c r="X79" s="486">
        <v>0</v>
      </c>
      <c r="Y79" s="471">
        <v>0</v>
      </c>
      <c r="Z79" s="800"/>
      <c r="AA79" s="487" t="s">
        <v>19</v>
      </c>
      <c r="AB79" s="486">
        <v>1</v>
      </c>
      <c r="AC79" s="471">
        <v>1</v>
      </c>
      <c r="AD79" s="487">
        <v>9555</v>
      </c>
      <c r="AE79" s="495">
        <v>0.1</v>
      </c>
      <c r="AF79" s="496">
        <v>0.68</v>
      </c>
      <c r="AG79" s="796"/>
      <c r="AH79" s="401">
        <f t="shared" si="77"/>
        <v>1</v>
      </c>
      <c r="AI79" s="378">
        <f t="shared" si="78"/>
        <v>625</v>
      </c>
      <c r="AJ79" s="379">
        <f t="shared" si="79"/>
        <v>1</v>
      </c>
      <c r="AK79" s="380">
        <f t="shared" si="80"/>
        <v>625</v>
      </c>
      <c r="AL79" s="377">
        <f t="shared" si="81"/>
        <v>1</v>
      </c>
      <c r="AM79" s="380">
        <f t="shared" si="82"/>
        <v>625</v>
      </c>
      <c r="AN79" s="381" t="str">
        <f t="shared" si="83"/>
        <v>80-100%</v>
      </c>
      <c r="AO79" s="377">
        <f t="shared" si="84"/>
        <v>0</v>
      </c>
      <c r="AP79" s="382">
        <f t="shared" si="85"/>
        <v>0</v>
      </c>
      <c r="AQ79" s="380">
        <f t="shared" si="86"/>
        <v>0</v>
      </c>
      <c r="AR79" s="380">
        <f t="shared" si="87"/>
        <v>95.88000000000001</v>
      </c>
      <c r="AS79" s="380">
        <f t="shared" si="88"/>
        <v>62.5</v>
      </c>
      <c r="AT79" s="504">
        <v>1</v>
      </c>
      <c r="AU79" s="502">
        <f t="shared" si="89"/>
        <v>625</v>
      </c>
      <c r="AV79" s="496"/>
      <c r="AW79" s="748">
        <v>4</v>
      </c>
      <c r="AX79" s="471">
        <v>14</v>
      </c>
      <c r="AY79" s="471"/>
      <c r="AZ79" s="471">
        <v>16</v>
      </c>
      <c r="BA79" s="471"/>
      <c r="BB79" s="471" t="s">
        <v>89</v>
      </c>
      <c r="BC79" s="383">
        <f t="shared" si="90"/>
        <v>0.96</v>
      </c>
      <c r="BD79" s="380">
        <f t="shared" si="91"/>
        <v>600</v>
      </c>
      <c r="BE79" s="383">
        <f t="shared" si="92"/>
        <v>0.44799999999999995</v>
      </c>
      <c r="BF79" s="380">
        <f t="shared" si="93"/>
        <v>279.99999999999994</v>
      </c>
      <c r="BG79" s="383">
        <f t="shared" si="94"/>
        <v>0.51200000000000001</v>
      </c>
      <c r="BH79" s="380">
        <f t="shared" si="95"/>
        <v>320</v>
      </c>
      <c r="BI79" s="509">
        <v>0</v>
      </c>
      <c r="BJ79" s="504">
        <v>0.96</v>
      </c>
      <c r="BK79" s="384">
        <f t="shared" si="108"/>
        <v>600</v>
      </c>
      <c r="BL79" s="385">
        <f t="shared" si="109"/>
        <v>15.25</v>
      </c>
      <c r="BM79" s="471">
        <v>4</v>
      </c>
      <c r="BN79" s="471" t="s">
        <v>291</v>
      </c>
      <c r="BO79" s="383">
        <f t="shared" si="96"/>
        <v>0.64</v>
      </c>
      <c r="BP79" s="380">
        <f t="shared" si="97"/>
        <v>400</v>
      </c>
      <c r="BQ79" s="385">
        <f t="shared" si="98"/>
        <v>2.25</v>
      </c>
      <c r="BR79" s="510">
        <v>0.64</v>
      </c>
      <c r="BS79" s="380">
        <f t="shared" si="99"/>
        <v>400</v>
      </c>
      <c r="BT79" s="471">
        <v>15</v>
      </c>
      <c r="BU79" s="383">
        <f t="shared" si="100"/>
        <v>1</v>
      </c>
      <c r="BV79" s="385">
        <f t="shared" si="101"/>
        <v>0</v>
      </c>
      <c r="BW79" s="496">
        <v>1</v>
      </c>
      <c r="BX79" s="517" t="s">
        <v>880</v>
      </c>
      <c r="BY79" s="519">
        <v>41771</v>
      </c>
      <c r="BZ79" s="803"/>
      <c r="CA79" s="806"/>
      <c r="CB79" s="386" t="str">
        <f t="shared" si="102"/>
        <v>To be realised</v>
      </c>
      <c r="CC79" s="509">
        <v>143</v>
      </c>
      <c r="CD79" s="509">
        <v>6</v>
      </c>
      <c r="CE79" s="387">
        <f t="shared" si="103"/>
        <v>141</v>
      </c>
      <c r="CF79" s="388">
        <f t="shared" si="104"/>
        <v>0</v>
      </c>
      <c r="CG79" s="380">
        <f t="shared" si="105"/>
        <v>0</v>
      </c>
      <c r="CH79" s="403">
        <f t="shared" si="106"/>
        <v>10</v>
      </c>
      <c r="CI79" s="521"/>
      <c r="CJ79" s="496">
        <v>0.8</v>
      </c>
      <c r="CK79" s="405">
        <f t="shared" si="110"/>
        <v>500</v>
      </c>
      <c r="CL79" s="521">
        <v>1</v>
      </c>
      <c r="CM79" s="389" t="str">
        <f t="shared" si="107"/>
        <v>Good coverage</v>
      </c>
      <c r="CN79" s="490">
        <v>0</v>
      </c>
      <c r="CO79" s="529" t="s">
        <v>65</v>
      </c>
      <c r="CP79" s="528" t="s">
        <v>909</v>
      </c>
    </row>
    <row r="80" spans="2:94" s="40" customFormat="1" ht="30.75" customHeight="1" x14ac:dyDescent="0.25">
      <c r="B80" s="465" t="s">
        <v>183</v>
      </c>
      <c r="C80" s="466" t="s">
        <v>558</v>
      </c>
      <c r="D80" s="467" t="s">
        <v>265</v>
      </c>
      <c r="E80" s="466" t="s">
        <v>184</v>
      </c>
      <c r="F80" s="467">
        <v>97.537099999999995</v>
      </c>
      <c r="G80" s="467">
        <v>24.461033</v>
      </c>
      <c r="H80" s="467" t="s">
        <v>448</v>
      </c>
      <c r="I80" s="467" t="s">
        <v>221</v>
      </c>
      <c r="J80" s="467"/>
      <c r="K80" s="467"/>
      <c r="L80" s="471">
        <v>117</v>
      </c>
      <c r="M80" s="471">
        <v>620</v>
      </c>
      <c r="N80" s="471"/>
      <c r="O80" s="471">
        <v>620</v>
      </c>
      <c r="P80" s="376" t="str">
        <f t="shared" si="74"/>
        <v>2. Medium</v>
      </c>
      <c r="Q80" s="717" t="s">
        <v>825</v>
      </c>
      <c r="R80" s="472" t="s">
        <v>276</v>
      </c>
      <c r="S80" s="479" t="s">
        <v>230</v>
      </c>
      <c r="T80" s="398" t="str">
        <f t="shared" si="75"/>
        <v>Covered</v>
      </c>
      <c r="U80" s="480">
        <v>42459</v>
      </c>
      <c r="V80" s="481" t="s">
        <v>252</v>
      </c>
      <c r="W80" s="395" t="str">
        <f t="shared" si="76"/>
        <v>Documented</v>
      </c>
      <c r="X80" s="486">
        <v>0</v>
      </c>
      <c r="Y80" s="471">
        <v>0</v>
      </c>
      <c r="Z80" s="800"/>
      <c r="AA80" s="487" t="s">
        <v>19</v>
      </c>
      <c r="AB80" s="486">
        <v>0</v>
      </c>
      <c r="AC80" s="471">
        <v>0</v>
      </c>
      <c r="AD80" s="487">
        <v>14568</v>
      </c>
      <c r="AE80" s="495">
        <v>0</v>
      </c>
      <c r="AF80" s="496">
        <v>1</v>
      </c>
      <c r="AG80" s="796"/>
      <c r="AH80" s="401">
        <f t="shared" si="77"/>
        <v>1</v>
      </c>
      <c r="AI80" s="378">
        <f t="shared" si="78"/>
        <v>620</v>
      </c>
      <c r="AJ80" s="379">
        <f t="shared" si="79"/>
        <v>1</v>
      </c>
      <c r="AK80" s="380">
        <f t="shared" si="80"/>
        <v>620</v>
      </c>
      <c r="AL80" s="377">
        <f t="shared" si="81"/>
        <v>1</v>
      </c>
      <c r="AM80" s="380">
        <f t="shared" si="82"/>
        <v>620</v>
      </c>
      <c r="AN80" s="381" t="str">
        <f t="shared" si="83"/>
        <v>80-100%</v>
      </c>
      <c r="AO80" s="377">
        <f t="shared" si="84"/>
        <v>0</v>
      </c>
      <c r="AP80" s="382">
        <f t="shared" si="85"/>
        <v>0</v>
      </c>
      <c r="AQ80" s="380">
        <f t="shared" si="86"/>
        <v>1.55</v>
      </c>
      <c r="AR80" s="380">
        <f t="shared" si="87"/>
        <v>117</v>
      </c>
      <c r="AS80" s="380">
        <f t="shared" si="88"/>
        <v>0</v>
      </c>
      <c r="AT80" s="504">
        <v>1</v>
      </c>
      <c r="AU80" s="502">
        <f t="shared" si="89"/>
        <v>620</v>
      </c>
      <c r="AV80" s="496" t="s">
        <v>829</v>
      </c>
      <c r="AW80" s="748">
        <v>573</v>
      </c>
      <c r="AX80" s="471">
        <v>60</v>
      </c>
      <c r="AY80" s="471"/>
      <c r="AZ80" s="471">
        <v>37</v>
      </c>
      <c r="BA80" s="471"/>
      <c r="BB80" s="471" t="s">
        <v>291</v>
      </c>
      <c r="BC80" s="383">
        <f t="shared" si="90"/>
        <v>1</v>
      </c>
      <c r="BD80" s="380">
        <f t="shared" si="91"/>
        <v>620</v>
      </c>
      <c r="BE80" s="383">
        <f t="shared" si="92"/>
        <v>0</v>
      </c>
      <c r="BF80" s="380">
        <f t="shared" si="93"/>
        <v>0</v>
      </c>
      <c r="BG80" s="383">
        <f t="shared" si="94"/>
        <v>1</v>
      </c>
      <c r="BH80" s="380">
        <f t="shared" si="95"/>
        <v>620</v>
      </c>
      <c r="BI80" s="509">
        <v>0</v>
      </c>
      <c r="BJ80" s="504">
        <v>1</v>
      </c>
      <c r="BK80" s="384">
        <f t="shared" si="108"/>
        <v>620</v>
      </c>
      <c r="BL80" s="385">
        <f t="shared" si="109"/>
        <v>0</v>
      </c>
      <c r="BM80" s="471">
        <v>4</v>
      </c>
      <c r="BN80" s="471" t="s">
        <v>290</v>
      </c>
      <c r="BO80" s="383">
        <f t="shared" si="96"/>
        <v>0.64516129032258063</v>
      </c>
      <c r="BP80" s="380">
        <f t="shared" si="97"/>
        <v>400</v>
      </c>
      <c r="BQ80" s="385">
        <f t="shared" si="98"/>
        <v>2.2000000000000002</v>
      </c>
      <c r="BR80" s="510">
        <v>0.66</v>
      </c>
      <c r="BS80" s="380">
        <f t="shared" si="99"/>
        <v>409.20000000000005</v>
      </c>
      <c r="BT80" s="471">
        <v>7</v>
      </c>
      <c r="BU80" s="383">
        <f t="shared" si="100"/>
        <v>1</v>
      </c>
      <c r="BV80" s="385">
        <f t="shared" si="101"/>
        <v>0</v>
      </c>
      <c r="BW80" s="496">
        <v>1</v>
      </c>
      <c r="BX80" s="517"/>
      <c r="BY80" s="519">
        <v>42065</v>
      </c>
      <c r="BZ80" s="803"/>
      <c r="CA80" s="806"/>
      <c r="CB80" s="386">
        <f t="shared" si="102"/>
        <v>42430</v>
      </c>
      <c r="CC80" s="509">
        <v>117</v>
      </c>
      <c r="CD80" s="509">
        <v>3</v>
      </c>
      <c r="CE80" s="387">
        <f t="shared" si="103"/>
        <v>0</v>
      </c>
      <c r="CF80" s="388">
        <f t="shared" si="104"/>
        <v>1</v>
      </c>
      <c r="CG80" s="380">
        <f t="shared" si="105"/>
        <v>620</v>
      </c>
      <c r="CH80" s="403">
        <f t="shared" si="106"/>
        <v>3</v>
      </c>
      <c r="CI80" s="521" t="s">
        <v>897</v>
      </c>
      <c r="CJ80" s="496">
        <v>0.8</v>
      </c>
      <c r="CK80" s="405">
        <f t="shared" si="110"/>
        <v>496</v>
      </c>
      <c r="CL80" s="521">
        <v>4</v>
      </c>
      <c r="CM80" s="389" t="str">
        <f t="shared" si="107"/>
        <v>Excellent coverage</v>
      </c>
      <c r="CN80" s="490">
        <v>0</v>
      </c>
      <c r="CO80" s="529" t="s">
        <v>65</v>
      </c>
      <c r="CP80" s="528"/>
    </row>
    <row r="81" spans="2:94" s="40" customFormat="1" ht="30.75" customHeight="1" x14ac:dyDescent="0.2">
      <c r="B81" s="465" t="s">
        <v>183</v>
      </c>
      <c r="C81" s="466" t="s">
        <v>560</v>
      </c>
      <c r="D81" s="467" t="s">
        <v>260</v>
      </c>
      <c r="E81" s="466" t="s">
        <v>185</v>
      </c>
      <c r="F81" s="467">
        <v>97.573166999999998</v>
      </c>
      <c r="G81" s="467">
        <v>24.661466999999998</v>
      </c>
      <c r="H81" s="467" t="s">
        <v>448</v>
      </c>
      <c r="I81" s="467" t="s">
        <v>221</v>
      </c>
      <c r="J81" s="467"/>
      <c r="K81" s="467"/>
      <c r="L81" s="468">
        <v>479</v>
      </c>
      <c r="M81" s="468">
        <v>2288</v>
      </c>
      <c r="N81" s="468"/>
      <c r="O81" s="468">
        <v>2288</v>
      </c>
      <c r="P81" s="376" t="str">
        <f t="shared" si="74"/>
        <v>3. Large</v>
      </c>
      <c r="Q81" s="717" t="s">
        <v>807</v>
      </c>
      <c r="R81" s="469" t="s">
        <v>230</v>
      </c>
      <c r="S81" s="477" t="s">
        <v>232</v>
      </c>
      <c r="T81" s="398" t="str">
        <f t="shared" si="75"/>
        <v>Covered</v>
      </c>
      <c r="U81" s="478">
        <v>42429</v>
      </c>
      <c r="V81" s="469" t="s">
        <v>252</v>
      </c>
      <c r="W81" s="395" t="str">
        <f t="shared" si="76"/>
        <v>Documented</v>
      </c>
      <c r="X81" s="484">
        <v>0</v>
      </c>
      <c r="Y81" s="468">
        <v>0</v>
      </c>
      <c r="Z81" s="801"/>
      <c r="AA81" s="485" t="s">
        <v>19</v>
      </c>
      <c r="AB81" s="484">
        <v>3</v>
      </c>
      <c r="AC81" s="490">
        <v>0</v>
      </c>
      <c r="AD81" s="491">
        <v>34155</v>
      </c>
      <c r="AE81" s="497">
        <v>0</v>
      </c>
      <c r="AF81" s="498">
        <v>1</v>
      </c>
      <c r="AG81" s="797"/>
      <c r="AH81" s="401">
        <f t="shared" si="77"/>
        <v>1</v>
      </c>
      <c r="AI81" s="378">
        <f t="shared" si="78"/>
        <v>2288</v>
      </c>
      <c r="AJ81" s="379">
        <f t="shared" si="79"/>
        <v>1</v>
      </c>
      <c r="AK81" s="380">
        <f t="shared" si="80"/>
        <v>2288</v>
      </c>
      <c r="AL81" s="377">
        <f t="shared" si="81"/>
        <v>1</v>
      </c>
      <c r="AM81" s="380">
        <f t="shared" si="82"/>
        <v>2288</v>
      </c>
      <c r="AN81" s="381" t="str">
        <f t="shared" si="83"/>
        <v>80-100%</v>
      </c>
      <c r="AO81" s="377">
        <f t="shared" si="84"/>
        <v>0</v>
      </c>
      <c r="AP81" s="382">
        <f t="shared" si="85"/>
        <v>0</v>
      </c>
      <c r="AQ81" s="380">
        <f t="shared" si="86"/>
        <v>2.7199999999999998</v>
      </c>
      <c r="AR81" s="380">
        <f t="shared" si="87"/>
        <v>479</v>
      </c>
      <c r="AS81" s="380">
        <f t="shared" si="88"/>
        <v>0</v>
      </c>
      <c r="AT81" s="501">
        <v>1</v>
      </c>
      <c r="AU81" s="502">
        <f t="shared" si="89"/>
        <v>2288</v>
      </c>
      <c r="AV81" s="491"/>
      <c r="AW81" s="747">
        <v>0</v>
      </c>
      <c r="AX81" s="468">
        <v>70</v>
      </c>
      <c r="AY81" s="468"/>
      <c r="AZ81" s="468">
        <v>148</v>
      </c>
      <c r="BA81" s="468"/>
      <c r="BB81" s="468" t="s">
        <v>89</v>
      </c>
      <c r="BC81" s="383">
        <f t="shared" si="90"/>
        <v>1</v>
      </c>
      <c r="BD81" s="380">
        <f t="shared" si="91"/>
        <v>2288</v>
      </c>
      <c r="BE81" s="383">
        <f t="shared" si="92"/>
        <v>0</v>
      </c>
      <c r="BF81" s="380">
        <f t="shared" si="93"/>
        <v>0</v>
      </c>
      <c r="BG81" s="383">
        <f t="shared" si="94"/>
        <v>1</v>
      </c>
      <c r="BH81" s="380">
        <f t="shared" si="95"/>
        <v>2288</v>
      </c>
      <c r="BI81" s="490">
        <v>0</v>
      </c>
      <c r="BJ81" s="506">
        <v>1</v>
      </c>
      <c r="BK81" s="384">
        <f t="shared" si="108"/>
        <v>2288</v>
      </c>
      <c r="BL81" s="385">
        <f t="shared" si="109"/>
        <v>0</v>
      </c>
      <c r="BM81" s="468">
        <v>6</v>
      </c>
      <c r="BN81" s="468" t="s">
        <v>89</v>
      </c>
      <c r="BO81" s="383">
        <f t="shared" si="96"/>
        <v>0.26223776223776224</v>
      </c>
      <c r="BP81" s="380">
        <f t="shared" si="97"/>
        <v>600</v>
      </c>
      <c r="BQ81" s="385">
        <f t="shared" si="98"/>
        <v>16.88</v>
      </c>
      <c r="BR81" s="501">
        <v>0.26</v>
      </c>
      <c r="BS81" s="380">
        <f t="shared" si="99"/>
        <v>594.88</v>
      </c>
      <c r="BT81" s="490">
        <v>28</v>
      </c>
      <c r="BU81" s="383">
        <f t="shared" si="100"/>
        <v>1</v>
      </c>
      <c r="BV81" s="385">
        <f t="shared" si="101"/>
        <v>0</v>
      </c>
      <c r="BW81" s="494">
        <v>1</v>
      </c>
      <c r="BX81" s="516"/>
      <c r="BY81" s="518">
        <v>41559</v>
      </c>
      <c r="BZ81" s="804"/>
      <c r="CA81" s="807"/>
      <c r="CB81" s="386" t="str">
        <f t="shared" si="102"/>
        <v>To be realised</v>
      </c>
      <c r="CC81" s="468">
        <v>479</v>
      </c>
      <c r="CD81" s="468">
        <v>19</v>
      </c>
      <c r="CE81" s="387">
        <f t="shared" si="103"/>
        <v>479</v>
      </c>
      <c r="CF81" s="388">
        <f t="shared" si="104"/>
        <v>0</v>
      </c>
      <c r="CG81" s="380">
        <f t="shared" si="105"/>
        <v>0</v>
      </c>
      <c r="CH81" s="403">
        <f t="shared" si="106"/>
        <v>4</v>
      </c>
      <c r="CI81" s="484" t="s">
        <v>898</v>
      </c>
      <c r="CJ81" s="494">
        <v>0.5</v>
      </c>
      <c r="CK81" s="405">
        <f t="shared" si="110"/>
        <v>1144</v>
      </c>
      <c r="CL81" s="484">
        <v>2</v>
      </c>
      <c r="CM81" s="389" t="str">
        <f t="shared" si="107"/>
        <v>Low coverage</v>
      </c>
      <c r="CN81" s="490">
        <v>0</v>
      </c>
      <c r="CO81" s="485" t="s">
        <v>292</v>
      </c>
      <c r="CP81" s="525"/>
    </row>
    <row r="82" spans="2:94" s="40" customFormat="1" ht="30.75" customHeight="1" x14ac:dyDescent="0.2">
      <c r="B82" s="465" t="s">
        <v>183</v>
      </c>
      <c r="C82" s="466" t="s">
        <v>561</v>
      </c>
      <c r="D82" s="467" t="s">
        <v>260</v>
      </c>
      <c r="E82" s="466" t="s">
        <v>198</v>
      </c>
      <c r="F82" s="467">
        <v>97.568282999999994</v>
      </c>
      <c r="G82" s="467">
        <v>24.688167</v>
      </c>
      <c r="H82" s="467" t="s">
        <v>448</v>
      </c>
      <c r="I82" s="467" t="s">
        <v>221</v>
      </c>
      <c r="J82" s="467"/>
      <c r="K82" s="467"/>
      <c r="L82" s="471">
        <v>1548</v>
      </c>
      <c r="M82" s="471">
        <v>7247</v>
      </c>
      <c r="N82" s="471"/>
      <c r="O82" s="471">
        <v>7247</v>
      </c>
      <c r="P82" s="376" t="str">
        <f t="shared" si="74"/>
        <v>5. Massive</v>
      </c>
      <c r="Q82" s="717" t="s">
        <v>253</v>
      </c>
      <c r="R82" s="469" t="s">
        <v>230</v>
      </c>
      <c r="S82" s="477" t="s">
        <v>299</v>
      </c>
      <c r="T82" s="398" t="str">
        <f t="shared" si="75"/>
        <v>Not covered</v>
      </c>
      <c r="U82" s="478" t="s">
        <v>626</v>
      </c>
      <c r="V82" s="469" t="s">
        <v>252</v>
      </c>
      <c r="W82" s="395" t="str">
        <f t="shared" si="76"/>
        <v>Documented</v>
      </c>
      <c r="X82" s="484">
        <v>0</v>
      </c>
      <c r="Y82" s="468">
        <v>0</v>
      </c>
      <c r="Z82" s="801"/>
      <c r="AA82" s="485" t="s">
        <v>19</v>
      </c>
      <c r="AB82" s="484">
        <v>5</v>
      </c>
      <c r="AC82" s="490">
        <v>0</v>
      </c>
      <c r="AD82" s="491">
        <v>97500</v>
      </c>
      <c r="AE82" s="497">
        <v>0</v>
      </c>
      <c r="AF82" s="498">
        <v>0.5</v>
      </c>
      <c r="AG82" s="797"/>
      <c r="AH82" s="401">
        <f t="shared" si="77"/>
        <v>1</v>
      </c>
      <c r="AI82" s="378">
        <f t="shared" si="78"/>
        <v>7247</v>
      </c>
      <c r="AJ82" s="379">
        <f t="shared" si="79"/>
        <v>1</v>
      </c>
      <c r="AK82" s="380">
        <f t="shared" si="80"/>
        <v>7247</v>
      </c>
      <c r="AL82" s="377">
        <f t="shared" si="81"/>
        <v>1</v>
      </c>
      <c r="AM82" s="380">
        <f t="shared" si="82"/>
        <v>7247</v>
      </c>
      <c r="AN82" s="381" t="str">
        <f t="shared" si="83"/>
        <v>80-100%</v>
      </c>
      <c r="AO82" s="377">
        <f t="shared" si="84"/>
        <v>0</v>
      </c>
      <c r="AP82" s="382">
        <f t="shared" si="85"/>
        <v>0</v>
      </c>
      <c r="AQ82" s="380">
        <f t="shared" si="86"/>
        <v>13.1175</v>
      </c>
      <c r="AR82" s="380">
        <f t="shared" si="87"/>
        <v>774</v>
      </c>
      <c r="AS82" s="380">
        <f t="shared" si="88"/>
        <v>0</v>
      </c>
      <c r="AT82" s="501">
        <v>1</v>
      </c>
      <c r="AU82" s="502">
        <f t="shared" si="89"/>
        <v>7247</v>
      </c>
      <c r="AV82" s="491"/>
      <c r="AW82" s="747">
        <v>24</v>
      </c>
      <c r="AX82" s="468">
        <v>25</v>
      </c>
      <c r="AY82" s="468"/>
      <c r="AZ82" s="468">
        <v>465</v>
      </c>
      <c r="BA82" s="468"/>
      <c r="BB82" s="468" t="s">
        <v>289</v>
      </c>
      <c r="BC82" s="383">
        <f t="shared" si="90"/>
        <v>1</v>
      </c>
      <c r="BD82" s="380">
        <f t="shared" si="91"/>
        <v>7247</v>
      </c>
      <c r="BE82" s="383">
        <f t="shared" si="92"/>
        <v>0</v>
      </c>
      <c r="BF82" s="380">
        <f t="shared" si="93"/>
        <v>0</v>
      </c>
      <c r="BG82" s="383">
        <f t="shared" si="94"/>
        <v>1</v>
      </c>
      <c r="BH82" s="380">
        <f t="shared" si="95"/>
        <v>7247</v>
      </c>
      <c r="BI82" s="490">
        <v>0</v>
      </c>
      <c r="BJ82" s="506">
        <v>1</v>
      </c>
      <c r="BK82" s="384">
        <f t="shared" si="108"/>
        <v>7247</v>
      </c>
      <c r="BL82" s="385">
        <f t="shared" si="109"/>
        <v>0</v>
      </c>
      <c r="BM82" s="468">
        <v>56</v>
      </c>
      <c r="BN82" s="468" t="s">
        <v>89</v>
      </c>
      <c r="BO82" s="383">
        <f t="shared" si="96"/>
        <v>0.77273354491513735</v>
      </c>
      <c r="BP82" s="380">
        <f t="shared" si="97"/>
        <v>5600</v>
      </c>
      <c r="BQ82" s="385">
        <f t="shared" si="98"/>
        <v>16.47</v>
      </c>
      <c r="BR82" s="506">
        <v>0.77</v>
      </c>
      <c r="BS82" s="380">
        <f t="shared" si="99"/>
        <v>5580.1900000000005</v>
      </c>
      <c r="BT82" s="468">
        <v>104</v>
      </c>
      <c r="BU82" s="383">
        <f t="shared" si="100"/>
        <v>1</v>
      </c>
      <c r="BV82" s="385">
        <f t="shared" si="101"/>
        <v>0</v>
      </c>
      <c r="BW82" s="494">
        <v>1</v>
      </c>
      <c r="BX82" s="516" t="s">
        <v>883</v>
      </c>
      <c r="BY82" s="518">
        <v>41557</v>
      </c>
      <c r="BZ82" s="804"/>
      <c r="CA82" s="807"/>
      <c r="CB82" s="386" t="str">
        <f t="shared" si="102"/>
        <v>To be realised</v>
      </c>
      <c r="CC82" s="468">
        <v>1646</v>
      </c>
      <c r="CD82" s="468">
        <v>6</v>
      </c>
      <c r="CE82" s="387">
        <f t="shared" si="103"/>
        <v>1548</v>
      </c>
      <c r="CF82" s="388">
        <f t="shared" si="104"/>
        <v>0</v>
      </c>
      <c r="CG82" s="380">
        <f t="shared" si="105"/>
        <v>0</v>
      </c>
      <c r="CH82" s="403">
        <f t="shared" si="106"/>
        <v>17</v>
      </c>
      <c r="CI82" s="484"/>
      <c r="CJ82" s="494"/>
      <c r="CK82" s="405">
        <f t="shared" si="110"/>
        <v>0</v>
      </c>
      <c r="CL82" s="484">
        <v>17</v>
      </c>
      <c r="CM82" s="389" t="str">
        <f t="shared" si="107"/>
        <v>Excellent coverage</v>
      </c>
      <c r="CN82" s="490">
        <v>0</v>
      </c>
      <c r="CO82" s="485" t="s">
        <v>65</v>
      </c>
      <c r="CP82" s="525"/>
    </row>
    <row r="83" spans="2:94" s="40" customFormat="1" ht="30.75" customHeight="1" x14ac:dyDescent="0.25">
      <c r="B83" s="465" t="s">
        <v>183</v>
      </c>
      <c r="C83" s="474" t="s">
        <v>570</v>
      </c>
      <c r="D83" s="467" t="s">
        <v>259</v>
      </c>
      <c r="E83" s="466" t="s">
        <v>462</v>
      </c>
      <c r="F83" s="467">
        <v>97.346310000000003</v>
      </c>
      <c r="G83" s="467">
        <v>24.253630000000001</v>
      </c>
      <c r="H83" s="467" t="s">
        <v>448</v>
      </c>
      <c r="I83" s="467" t="s">
        <v>213</v>
      </c>
      <c r="J83" s="467"/>
      <c r="K83" s="467"/>
      <c r="L83" s="471">
        <v>18</v>
      </c>
      <c r="M83" s="471">
        <v>113</v>
      </c>
      <c r="N83" s="471"/>
      <c r="O83" s="471">
        <v>113</v>
      </c>
      <c r="P83" s="376" t="str">
        <f t="shared" si="74"/>
        <v>1. Small</v>
      </c>
      <c r="Q83" s="717" t="s">
        <v>823</v>
      </c>
      <c r="R83" s="472" t="s">
        <v>234</v>
      </c>
      <c r="S83" s="479" t="s">
        <v>232</v>
      </c>
      <c r="T83" s="398" t="str">
        <f t="shared" si="75"/>
        <v>Covered</v>
      </c>
      <c r="U83" s="480">
        <v>42459</v>
      </c>
      <c r="V83" s="481" t="s">
        <v>252</v>
      </c>
      <c r="W83" s="395" t="str">
        <f t="shared" si="76"/>
        <v>Documented</v>
      </c>
      <c r="X83" s="486">
        <v>0</v>
      </c>
      <c r="Y83" s="471">
        <v>0</v>
      </c>
      <c r="Z83" s="800"/>
      <c r="AA83" s="487" t="s">
        <v>19</v>
      </c>
      <c r="AB83" s="486">
        <v>1</v>
      </c>
      <c r="AC83" s="471">
        <v>0</v>
      </c>
      <c r="AD83" s="487">
        <v>2000</v>
      </c>
      <c r="AE83" s="495">
        <v>0</v>
      </c>
      <c r="AF83" s="496">
        <v>1</v>
      </c>
      <c r="AG83" s="796"/>
      <c r="AH83" s="401">
        <f t="shared" si="77"/>
        <v>1</v>
      </c>
      <c r="AI83" s="378">
        <f t="shared" si="78"/>
        <v>113</v>
      </c>
      <c r="AJ83" s="379">
        <f t="shared" si="79"/>
        <v>1</v>
      </c>
      <c r="AK83" s="380">
        <f t="shared" si="80"/>
        <v>113</v>
      </c>
      <c r="AL83" s="377">
        <f t="shared" si="81"/>
        <v>1</v>
      </c>
      <c r="AM83" s="380">
        <f t="shared" si="82"/>
        <v>113</v>
      </c>
      <c r="AN83" s="381" t="str">
        <f t="shared" si="83"/>
        <v>80-100%</v>
      </c>
      <c r="AO83" s="377">
        <f t="shared" si="84"/>
        <v>0</v>
      </c>
      <c r="AP83" s="382">
        <f t="shared" si="85"/>
        <v>0</v>
      </c>
      <c r="AQ83" s="380">
        <f t="shared" si="86"/>
        <v>0</v>
      </c>
      <c r="AR83" s="380">
        <f t="shared" si="87"/>
        <v>18</v>
      </c>
      <c r="AS83" s="380">
        <f t="shared" si="88"/>
        <v>0</v>
      </c>
      <c r="AT83" s="504">
        <v>1</v>
      </c>
      <c r="AU83" s="502">
        <f t="shared" si="89"/>
        <v>113</v>
      </c>
      <c r="AV83" s="496"/>
      <c r="AW83" s="748">
        <v>0</v>
      </c>
      <c r="AX83" s="471">
        <v>2</v>
      </c>
      <c r="AY83" s="471"/>
      <c r="AZ83" s="471">
        <v>6</v>
      </c>
      <c r="BA83" s="471"/>
      <c r="BB83" s="471" t="s">
        <v>89</v>
      </c>
      <c r="BC83" s="383">
        <f t="shared" si="90"/>
        <v>1</v>
      </c>
      <c r="BD83" s="380">
        <f t="shared" si="91"/>
        <v>113</v>
      </c>
      <c r="BE83" s="383">
        <f t="shared" si="92"/>
        <v>0</v>
      </c>
      <c r="BF83" s="380">
        <f t="shared" si="93"/>
        <v>0</v>
      </c>
      <c r="BG83" s="383">
        <f t="shared" si="94"/>
        <v>1</v>
      </c>
      <c r="BH83" s="380">
        <f t="shared" si="95"/>
        <v>113</v>
      </c>
      <c r="BI83" s="509">
        <v>0</v>
      </c>
      <c r="BJ83" s="504">
        <v>1</v>
      </c>
      <c r="BK83" s="384">
        <f t="shared" si="108"/>
        <v>113</v>
      </c>
      <c r="BL83" s="385">
        <f t="shared" si="109"/>
        <v>0</v>
      </c>
      <c r="BM83" s="471">
        <v>2</v>
      </c>
      <c r="BN83" s="471" t="s">
        <v>89</v>
      </c>
      <c r="BO83" s="383">
        <f t="shared" si="96"/>
        <v>1</v>
      </c>
      <c r="BP83" s="380">
        <f t="shared" si="97"/>
        <v>113</v>
      </c>
      <c r="BQ83" s="385">
        <f t="shared" si="98"/>
        <v>0</v>
      </c>
      <c r="BR83" s="510">
        <v>1</v>
      </c>
      <c r="BS83" s="380">
        <f t="shared" si="99"/>
        <v>113</v>
      </c>
      <c r="BT83" s="471">
        <v>3</v>
      </c>
      <c r="BU83" s="383">
        <f t="shared" si="100"/>
        <v>1</v>
      </c>
      <c r="BV83" s="385">
        <f t="shared" si="101"/>
        <v>0</v>
      </c>
      <c r="BW83" s="496">
        <v>1</v>
      </c>
      <c r="BX83" s="517"/>
      <c r="BY83" s="519">
        <v>41771</v>
      </c>
      <c r="BZ83" s="803"/>
      <c r="CA83" s="806"/>
      <c r="CB83" s="386" t="str">
        <f t="shared" si="102"/>
        <v>To be realised</v>
      </c>
      <c r="CC83" s="509">
        <v>23</v>
      </c>
      <c r="CD83" s="509">
        <v>6</v>
      </c>
      <c r="CE83" s="387">
        <f t="shared" si="103"/>
        <v>18</v>
      </c>
      <c r="CF83" s="388">
        <f t="shared" si="104"/>
        <v>0</v>
      </c>
      <c r="CG83" s="380">
        <f t="shared" si="105"/>
        <v>0</v>
      </c>
      <c r="CH83" s="403">
        <f t="shared" si="106"/>
        <v>10</v>
      </c>
      <c r="CI83" s="521"/>
      <c r="CJ83" s="496">
        <v>0.75</v>
      </c>
      <c r="CK83" s="405">
        <f t="shared" si="110"/>
        <v>84.75</v>
      </c>
      <c r="CL83" s="521">
        <v>1</v>
      </c>
      <c r="CM83" s="389" t="str">
        <f t="shared" si="107"/>
        <v>Excellent coverage</v>
      </c>
      <c r="CN83" s="490">
        <v>0</v>
      </c>
      <c r="CO83" s="529" t="s">
        <v>65</v>
      </c>
      <c r="CP83" s="528"/>
    </row>
    <row r="84" spans="2:94" s="40" customFormat="1" ht="30.75" customHeight="1" x14ac:dyDescent="0.25">
      <c r="B84" s="465" t="s">
        <v>183</v>
      </c>
      <c r="C84" s="474" t="s">
        <v>570</v>
      </c>
      <c r="D84" s="467" t="s">
        <v>259</v>
      </c>
      <c r="E84" s="466" t="s">
        <v>463</v>
      </c>
      <c r="F84" s="467">
        <v>97.359300000000005</v>
      </c>
      <c r="G84" s="467">
        <v>24.267040000000001</v>
      </c>
      <c r="H84" s="467" t="s">
        <v>448</v>
      </c>
      <c r="I84" s="467" t="s">
        <v>213</v>
      </c>
      <c r="J84" s="467"/>
      <c r="K84" s="467"/>
      <c r="L84" s="471">
        <v>7</v>
      </c>
      <c r="M84" s="471">
        <v>39</v>
      </c>
      <c r="N84" s="471"/>
      <c r="O84" s="471">
        <v>39</v>
      </c>
      <c r="P84" s="376" t="str">
        <f t="shared" si="74"/>
        <v>1. Small</v>
      </c>
      <c r="Q84" s="717" t="s">
        <v>823</v>
      </c>
      <c r="R84" s="472" t="s">
        <v>234</v>
      </c>
      <c r="S84" s="479" t="s">
        <v>232</v>
      </c>
      <c r="T84" s="398" t="str">
        <f t="shared" si="75"/>
        <v>Covered</v>
      </c>
      <c r="U84" s="480">
        <v>42459</v>
      </c>
      <c r="V84" s="481" t="s">
        <v>252</v>
      </c>
      <c r="W84" s="395" t="str">
        <f t="shared" si="76"/>
        <v>Documented</v>
      </c>
      <c r="X84" s="486">
        <v>0</v>
      </c>
      <c r="Y84" s="471">
        <v>0</v>
      </c>
      <c r="Z84" s="800"/>
      <c r="AA84" s="487" t="s">
        <v>19</v>
      </c>
      <c r="AB84" s="486">
        <v>0</v>
      </c>
      <c r="AC84" s="471">
        <v>0</v>
      </c>
      <c r="AD84" s="487">
        <v>1080</v>
      </c>
      <c r="AE84" s="495">
        <v>0</v>
      </c>
      <c r="AF84" s="496">
        <v>0.8</v>
      </c>
      <c r="AG84" s="796"/>
      <c r="AH84" s="401">
        <f t="shared" si="77"/>
        <v>1</v>
      </c>
      <c r="AI84" s="378">
        <f t="shared" si="78"/>
        <v>39</v>
      </c>
      <c r="AJ84" s="379">
        <f t="shared" si="79"/>
        <v>1</v>
      </c>
      <c r="AK84" s="380">
        <f t="shared" si="80"/>
        <v>39</v>
      </c>
      <c r="AL84" s="377">
        <f t="shared" si="81"/>
        <v>1</v>
      </c>
      <c r="AM84" s="380">
        <f t="shared" si="82"/>
        <v>39</v>
      </c>
      <c r="AN84" s="381" t="str">
        <f t="shared" si="83"/>
        <v>80-100%</v>
      </c>
      <c r="AO84" s="377">
        <f t="shared" si="84"/>
        <v>0</v>
      </c>
      <c r="AP84" s="382">
        <f t="shared" si="85"/>
        <v>0</v>
      </c>
      <c r="AQ84" s="380">
        <f t="shared" si="86"/>
        <v>9.7500000000000003E-2</v>
      </c>
      <c r="AR84" s="380">
        <f t="shared" si="87"/>
        <v>5.6000000000000005</v>
      </c>
      <c r="AS84" s="380">
        <f t="shared" si="88"/>
        <v>0</v>
      </c>
      <c r="AT84" s="504">
        <v>1</v>
      </c>
      <c r="AU84" s="502">
        <f t="shared" si="89"/>
        <v>39</v>
      </c>
      <c r="AV84" s="496"/>
      <c r="AW84" s="748">
        <v>16</v>
      </c>
      <c r="AX84" s="471">
        <v>2</v>
      </c>
      <c r="AY84" s="471"/>
      <c r="AZ84" s="471">
        <v>1</v>
      </c>
      <c r="BA84" s="471"/>
      <c r="BB84" s="471" t="s">
        <v>89</v>
      </c>
      <c r="BC84" s="383">
        <f t="shared" si="90"/>
        <v>1</v>
      </c>
      <c r="BD84" s="380">
        <f t="shared" si="91"/>
        <v>39</v>
      </c>
      <c r="BE84" s="383">
        <f t="shared" si="92"/>
        <v>0.48717948717948723</v>
      </c>
      <c r="BF84" s="380">
        <f t="shared" si="93"/>
        <v>19</v>
      </c>
      <c r="BG84" s="383">
        <f t="shared" si="94"/>
        <v>0.51282051282051277</v>
      </c>
      <c r="BH84" s="380">
        <f t="shared" si="95"/>
        <v>20</v>
      </c>
      <c r="BI84" s="509">
        <v>0</v>
      </c>
      <c r="BJ84" s="504">
        <v>1</v>
      </c>
      <c r="BK84" s="384">
        <f t="shared" si="108"/>
        <v>39</v>
      </c>
      <c r="BL84" s="385">
        <f t="shared" si="109"/>
        <v>0.95</v>
      </c>
      <c r="BM84" s="471">
        <v>1</v>
      </c>
      <c r="BN84" s="471" t="s">
        <v>89</v>
      </c>
      <c r="BO84" s="383">
        <f t="shared" si="96"/>
        <v>1</v>
      </c>
      <c r="BP84" s="380">
        <f t="shared" si="97"/>
        <v>39</v>
      </c>
      <c r="BQ84" s="385">
        <f t="shared" si="98"/>
        <v>0</v>
      </c>
      <c r="BR84" s="510">
        <v>1</v>
      </c>
      <c r="BS84" s="380">
        <f t="shared" si="99"/>
        <v>39</v>
      </c>
      <c r="BT84" s="471">
        <v>1</v>
      </c>
      <c r="BU84" s="383">
        <f t="shared" si="100"/>
        <v>1</v>
      </c>
      <c r="BV84" s="385">
        <f t="shared" si="101"/>
        <v>0</v>
      </c>
      <c r="BW84" s="496">
        <v>1</v>
      </c>
      <c r="BX84" s="517"/>
      <c r="BY84" s="519">
        <v>41768</v>
      </c>
      <c r="BZ84" s="803"/>
      <c r="CA84" s="806"/>
      <c r="CB84" s="386" t="str">
        <f t="shared" si="102"/>
        <v>To be realised</v>
      </c>
      <c r="CC84" s="509">
        <v>7</v>
      </c>
      <c r="CD84" s="509">
        <v>6</v>
      </c>
      <c r="CE84" s="387">
        <f t="shared" si="103"/>
        <v>7</v>
      </c>
      <c r="CF84" s="388">
        <f t="shared" si="104"/>
        <v>0</v>
      </c>
      <c r="CG84" s="380">
        <f t="shared" si="105"/>
        <v>0</v>
      </c>
      <c r="CH84" s="403">
        <f t="shared" si="106"/>
        <v>10</v>
      </c>
      <c r="CI84" s="521"/>
      <c r="CJ84" s="496">
        <v>0.85</v>
      </c>
      <c r="CK84" s="405">
        <f t="shared" si="110"/>
        <v>33.15</v>
      </c>
      <c r="CL84" s="521">
        <v>1</v>
      </c>
      <c r="CM84" s="389" t="str">
        <f t="shared" si="107"/>
        <v>Excellent coverage</v>
      </c>
      <c r="CN84" s="490">
        <v>0</v>
      </c>
      <c r="CO84" s="529" t="s">
        <v>65</v>
      </c>
      <c r="CP84" s="528"/>
    </row>
    <row r="85" spans="2:94" s="40" customFormat="1" ht="30.75" customHeight="1" x14ac:dyDescent="0.2">
      <c r="B85" s="465" t="s">
        <v>183</v>
      </c>
      <c r="C85" s="466" t="s">
        <v>562</v>
      </c>
      <c r="D85" s="467" t="s">
        <v>259</v>
      </c>
      <c r="E85" s="466" t="s">
        <v>225</v>
      </c>
      <c r="F85" s="467">
        <v>97.193340000000006</v>
      </c>
      <c r="G85" s="467">
        <v>24.230450000000001</v>
      </c>
      <c r="H85" s="467" t="s">
        <v>459</v>
      </c>
      <c r="I85" s="467" t="s">
        <v>213</v>
      </c>
      <c r="J85" s="467"/>
      <c r="K85" s="467"/>
      <c r="L85" s="471">
        <v>4</v>
      </c>
      <c r="M85" s="471">
        <v>26</v>
      </c>
      <c r="N85" s="471"/>
      <c r="O85" s="471">
        <v>26</v>
      </c>
      <c r="P85" s="376" t="str">
        <f t="shared" si="74"/>
        <v>1. Small</v>
      </c>
      <c r="Q85" s="717"/>
      <c r="R85" s="472"/>
      <c r="S85" s="479" t="s">
        <v>299</v>
      </c>
      <c r="T85" s="398" t="str">
        <f t="shared" si="75"/>
        <v>Not covered</v>
      </c>
      <c r="U85" s="480"/>
      <c r="V85" s="481" t="s">
        <v>254</v>
      </c>
      <c r="W85" s="395" t="str">
        <f t="shared" si="76"/>
        <v>Not documented</v>
      </c>
      <c r="X85" s="486">
        <v>0</v>
      </c>
      <c r="Y85" s="471">
        <v>0</v>
      </c>
      <c r="Z85" s="800"/>
      <c r="AA85" s="487" t="s">
        <v>19</v>
      </c>
      <c r="AB85" s="486">
        <v>0</v>
      </c>
      <c r="AC85" s="471">
        <v>0</v>
      </c>
      <c r="AD85" s="487">
        <v>0</v>
      </c>
      <c r="AE85" s="495">
        <v>0</v>
      </c>
      <c r="AF85" s="496">
        <v>0</v>
      </c>
      <c r="AG85" s="796"/>
      <c r="AH85" s="401">
        <f t="shared" si="77"/>
        <v>0</v>
      </c>
      <c r="AI85" s="378">
        <f t="shared" si="78"/>
        <v>0</v>
      </c>
      <c r="AJ85" s="379">
        <f t="shared" si="79"/>
        <v>0</v>
      </c>
      <c r="AK85" s="380">
        <f t="shared" si="80"/>
        <v>0</v>
      </c>
      <c r="AL85" s="377">
        <f t="shared" si="81"/>
        <v>0</v>
      </c>
      <c r="AM85" s="380">
        <f t="shared" si="82"/>
        <v>0</v>
      </c>
      <c r="AN85" s="381" t="str">
        <f t="shared" si="83"/>
        <v>0-10%</v>
      </c>
      <c r="AO85" s="377">
        <f t="shared" si="84"/>
        <v>0</v>
      </c>
      <c r="AP85" s="382">
        <f t="shared" si="85"/>
        <v>0</v>
      </c>
      <c r="AQ85" s="380">
        <f t="shared" si="86"/>
        <v>6.5000000000000002E-2</v>
      </c>
      <c r="AR85" s="380">
        <f t="shared" si="87"/>
        <v>0</v>
      </c>
      <c r="AS85" s="380">
        <f t="shared" si="88"/>
        <v>0</v>
      </c>
      <c r="AT85" s="504">
        <v>0</v>
      </c>
      <c r="AU85" s="502">
        <f t="shared" si="89"/>
        <v>0</v>
      </c>
      <c r="AV85" s="496"/>
      <c r="AW85" s="748">
        <v>60</v>
      </c>
      <c r="AX85" s="471">
        <v>0</v>
      </c>
      <c r="AY85" s="471"/>
      <c r="AZ85" s="471">
        <v>0</v>
      </c>
      <c r="BA85" s="471"/>
      <c r="BB85" s="471" t="s">
        <v>89</v>
      </c>
      <c r="BC85" s="383">
        <f t="shared" si="90"/>
        <v>0</v>
      </c>
      <c r="BD85" s="380">
        <f t="shared" si="91"/>
        <v>0</v>
      </c>
      <c r="BE85" s="383">
        <f t="shared" si="92"/>
        <v>0</v>
      </c>
      <c r="BF85" s="380">
        <f t="shared" si="93"/>
        <v>0</v>
      </c>
      <c r="BG85" s="383">
        <f t="shared" si="94"/>
        <v>0</v>
      </c>
      <c r="BH85" s="380">
        <f t="shared" si="95"/>
        <v>0</v>
      </c>
      <c r="BI85" s="509">
        <v>0</v>
      </c>
      <c r="BJ85" s="504">
        <v>0</v>
      </c>
      <c r="BK85" s="384">
        <f t="shared" si="108"/>
        <v>0</v>
      </c>
      <c r="BL85" s="385">
        <f t="shared" si="109"/>
        <v>1.3</v>
      </c>
      <c r="BM85" s="471">
        <v>0</v>
      </c>
      <c r="BN85" s="471" t="s">
        <v>89</v>
      </c>
      <c r="BO85" s="383">
        <f t="shared" si="96"/>
        <v>0</v>
      </c>
      <c r="BP85" s="380">
        <f t="shared" si="97"/>
        <v>0</v>
      </c>
      <c r="BQ85" s="385">
        <f t="shared" si="98"/>
        <v>0.26</v>
      </c>
      <c r="BR85" s="510">
        <v>0</v>
      </c>
      <c r="BS85" s="380">
        <f t="shared" si="99"/>
        <v>0</v>
      </c>
      <c r="BT85" s="471">
        <v>0</v>
      </c>
      <c r="BU85" s="383">
        <f t="shared" si="100"/>
        <v>0</v>
      </c>
      <c r="BV85" s="385">
        <f t="shared" si="101"/>
        <v>0.26</v>
      </c>
      <c r="BW85" s="496">
        <v>0</v>
      </c>
      <c r="BX85" s="517"/>
      <c r="BY85" s="519"/>
      <c r="BZ85" s="803"/>
      <c r="CA85" s="806"/>
      <c r="CB85" s="386" t="str">
        <f t="shared" si="102"/>
        <v>To be realised</v>
      </c>
      <c r="CC85" s="509">
        <v>0</v>
      </c>
      <c r="CD85" s="509">
        <v>0</v>
      </c>
      <c r="CE85" s="387">
        <f t="shared" si="103"/>
        <v>4</v>
      </c>
      <c r="CF85" s="388">
        <f t="shared" si="104"/>
        <v>0</v>
      </c>
      <c r="CG85" s="380">
        <f t="shared" si="105"/>
        <v>0</v>
      </c>
      <c r="CH85" s="403" t="str">
        <f t="shared" si="106"/>
        <v>Column BN to be completed</v>
      </c>
      <c r="CI85" s="521"/>
      <c r="CJ85" s="496">
        <v>0</v>
      </c>
      <c r="CK85" s="405">
        <f t="shared" si="110"/>
        <v>0</v>
      </c>
      <c r="CL85" s="521">
        <v>0</v>
      </c>
      <c r="CM85" s="389" t="str">
        <f t="shared" si="107"/>
        <v>No coverage</v>
      </c>
      <c r="CN85" s="490">
        <v>0</v>
      </c>
      <c r="CO85" s="529" t="s">
        <v>66</v>
      </c>
      <c r="CP85" s="527"/>
    </row>
    <row r="86" spans="2:94" s="40" customFormat="1" ht="30.75" customHeight="1" x14ac:dyDescent="0.2">
      <c r="B86" s="465" t="s">
        <v>183</v>
      </c>
      <c r="C86" s="466" t="s">
        <v>563</v>
      </c>
      <c r="D86" s="467" t="s">
        <v>265</v>
      </c>
      <c r="E86" s="466" t="s">
        <v>187</v>
      </c>
      <c r="F86" s="467">
        <v>97.718582999999995</v>
      </c>
      <c r="G86" s="467">
        <v>24.200972</v>
      </c>
      <c r="H86" s="467" t="s">
        <v>448</v>
      </c>
      <c r="I86" s="467" t="s">
        <v>213</v>
      </c>
      <c r="J86" s="467"/>
      <c r="K86" s="467"/>
      <c r="L86" s="471">
        <v>30</v>
      </c>
      <c r="M86" s="471">
        <v>182</v>
      </c>
      <c r="N86" s="471"/>
      <c r="O86" s="471">
        <v>128</v>
      </c>
      <c r="P86" s="376" t="str">
        <f t="shared" si="74"/>
        <v>1. Small</v>
      </c>
      <c r="Q86" s="717" t="s">
        <v>253</v>
      </c>
      <c r="R86" s="469" t="s">
        <v>234</v>
      </c>
      <c r="S86" s="477" t="s">
        <v>299</v>
      </c>
      <c r="T86" s="398" t="str">
        <f t="shared" si="75"/>
        <v>Not covered</v>
      </c>
      <c r="U86" s="478" t="s">
        <v>626</v>
      </c>
      <c r="V86" s="469" t="s">
        <v>252</v>
      </c>
      <c r="W86" s="395" t="str">
        <f t="shared" si="76"/>
        <v>Documented</v>
      </c>
      <c r="X86" s="484">
        <v>0</v>
      </c>
      <c r="Y86" s="468">
        <v>0</v>
      </c>
      <c r="Z86" s="801"/>
      <c r="AA86" s="485" t="s">
        <v>19</v>
      </c>
      <c r="AB86" s="484">
        <v>1</v>
      </c>
      <c r="AC86" s="490">
        <v>0</v>
      </c>
      <c r="AD86" s="491">
        <v>3000</v>
      </c>
      <c r="AE86" s="497">
        <v>0</v>
      </c>
      <c r="AF86" s="498">
        <v>1</v>
      </c>
      <c r="AG86" s="797"/>
      <c r="AH86" s="401">
        <f t="shared" si="77"/>
        <v>1</v>
      </c>
      <c r="AI86" s="378">
        <f t="shared" si="78"/>
        <v>128</v>
      </c>
      <c r="AJ86" s="379">
        <f t="shared" si="79"/>
        <v>1</v>
      </c>
      <c r="AK86" s="380">
        <f t="shared" si="80"/>
        <v>128</v>
      </c>
      <c r="AL86" s="377">
        <f t="shared" si="81"/>
        <v>1</v>
      </c>
      <c r="AM86" s="380">
        <f t="shared" si="82"/>
        <v>128</v>
      </c>
      <c r="AN86" s="381" t="str">
        <f t="shared" si="83"/>
        <v>80-100%</v>
      </c>
      <c r="AO86" s="377">
        <f t="shared" si="84"/>
        <v>0</v>
      </c>
      <c r="AP86" s="382">
        <f t="shared" si="85"/>
        <v>0</v>
      </c>
      <c r="AQ86" s="380">
        <f t="shared" si="86"/>
        <v>0</v>
      </c>
      <c r="AR86" s="380">
        <f t="shared" si="87"/>
        <v>30</v>
      </c>
      <c r="AS86" s="380">
        <f t="shared" si="88"/>
        <v>0</v>
      </c>
      <c r="AT86" s="501">
        <v>1</v>
      </c>
      <c r="AU86" s="502">
        <f t="shared" si="89"/>
        <v>128</v>
      </c>
      <c r="AV86" s="505"/>
      <c r="AW86" s="747">
        <v>12</v>
      </c>
      <c r="AX86" s="468">
        <v>0</v>
      </c>
      <c r="AY86" s="468"/>
      <c r="AZ86" s="468">
        <v>13</v>
      </c>
      <c r="BA86" s="468"/>
      <c r="BB86" s="468" t="s">
        <v>291</v>
      </c>
      <c r="BC86" s="383">
        <f t="shared" si="90"/>
        <v>1</v>
      </c>
      <c r="BD86" s="380">
        <f t="shared" si="91"/>
        <v>128</v>
      </c>
      <c r="BE86" s="383">
        <f t="shared" si="92"/>
        <v>0</v>
      </c>
      <c r="BF86" s="380">
        <f t="shared" si="93"/>
        <v>0</v>
      </c>
      <c r="BG86" s="383">
        <f t="shared" si="94"/>
        <v>1</v>
      </c>
      <c r="BH86" s="380">
        <f t="shared" si="95"/>
        <v>128</v>
      </c>
      <c r="BI86" s="490">
        <v>0</v>
      </c>
      <c r="BJ86" s="506">
        <v>1</v>
      </c>
      <c r="BK86" s="384">
        <f t="shared" si="108"/>
        <v>128</v>
      </c>
      <c r="BL86" s="385">
        <f t="shared" si="109"/>
        <v>0</v>
      </c>
      <c r="BM86" s="468">
        <v>2</v>
      </c>
      <c r="BN86" s="468" t="s">
        <v>290</v>
      </c>
      <c r="BO86" s="383">
        <f t="shared" si="96"/>
        <v>1</v>
      </c>
      <c r="BP86" s="380">
        <f t="shared" si="97"/>
        <v>128</v>
      </c>
      <c r="BQ86" s="385">
        <f t="shared" si="98"/>
        <v>0</v>
      </c>
      <c r="BR86" s="506">
        <v>1</v>
      </c>
      <c r="BS86" s="380">
        <f t="shared" si="99"/>
        <v>128</v>
      </c>
      <c r="BT86" s="468">
        <v>6</v>
      </c>
      <c r="BU86" s="383">
        <f t="shared" si="100"/>
        <v>1</v>
      </c>
      <c r="BV86" s="385">
        <f t="shared" si="101"/>
        <v>0</v>
      </c>
      <c r="BW86" s="494">
        <v>1</v>
      </c>
      <c r="BX86" s="516"/>
      <c r="BY86" s="518">
        <v>41794</v>
      </c>
      <c r="BZ86" s="804"/>
      <c r="CA86" s="807"/>
      <c r="CB86" s="386" t="str">
        <f t="shared" si="102"/>
        <v>To be realised</v>
      </c>
      <c r="CC86" s="468">
        <v>29</v>
      </c>
      <c r="CD86" s="468">
        <v>6</v>
      </c>
      <c r="CE86" s="387">
        <f t="shared" si="103"/>
        <v>30</v>
      </c>
      <c r="CF86" s="388">
        <f t="shared" si="104"/>
        <v>0</v>
      </c>
      <c r="CG86" s="380">
        <f t="shared" si="105"/>
        <v>0</v>
      </c>
      <c r="CH86" s="403">
        <f t="shared" si="106"/>
        <v>9</v>
      </c>
      <c r="CI86" s="484"/>
      <c r="CJ86" s="494"/>
      <c r="CK86" s="405">
        <f t="shared" si="110"/>
        <v>0</v>
      </c>
      <c r="CL86" s="484">
        <v>1</v>
      </c>
      <c r="CM86" s="389" t="str">
        <f t="shared" si="107"/>
        <v>Excellent coverage</v>
      </c>
      <c r="CN86" s="490">
        <v>0</v>
      </c>
      <c r="CO86" s="485" t="s">
        <v>65</v>
      </c>
      <c r="CP86" s="525"/>
    </row>
    <row r="87" spans="2:94" s="40" customFormat="1" ht="30.75" customHeight="1" x14ac:dyDescent="0.2">
      <c r="B87" s="465" t="s">
        <v>183</v>
      </c>
      <c r="C87" s="466" t="s">
        <v>564</v>
      </c>
      <c r="D87" s="467" t="s">
        <v>265</v>
      </c>
      <c r="E87" s="466" t="s">
        <v>188</v>
      </c>
      <c r="F87" s="467">
        <v>97.724566999999993</v>
      </c>
      <c r="G87" s="467">
        <v>24.205417000000001</v>
      </c>
      <c r="H87" s="467" t="s">
        <v>448</v>
      </c>
      <c r="I87" s="467" t="s">
        <v>213</v>
      </c>
      <c r="J87" s="467"/>
      <c r="K87" s="467"/>
      <c r="L87" s="471">
        <v>69</v>
      </c>
      <c r="M87" s="471">
        <v>369</v>
      </c>
      <c r="N87" s="471"/>
      <c r="O87" s="471">
        <v>107</v>
      </c>
      <c r="P87" s="376" t="str">
        <f t="shared" si="74"/>
        <v>2. Medium</v>
      </c>
      <c r="Q87" s="717" t="s">
        <v>253</v>
      </c>
      <c r="R87" s="469" t="s">
        <v>230</v>
      </c>
      <c r="S87" s="477" t="s">
        <v>299</v>
      </c>
      <c r="T87" s="398" t="str">
        <f t="shared" si="75"/>
        <v>Not covered</v>
      </c>
      <c r="U87" s="478" t="s">
        <v>626</v>
      </c>
      <c r="V87" s="469" t="s">
        <v>252</v>
      </c>
      <c r="W87" s="395" t="str">
        <f t="shared" si="76"/>
        <v>Documented</v>
      </c>
      <c r="X87" s="484">
        <v>0</v>
      </c>
      <c r="Y87" s="468">
        <v>0</v>
      </c>
      <c r="Z87" s="801"/>
      <c r="AA87" s="485" t="s">
        <v>19</v>
      </c>
      <c r="AB87" s="484">
        <v>0</v>
      </c>
      <c r="AC87" s="490">
        <v>0</v>
      </c>
      <c r="AD87" s="491">
        <v>25200</v>
      </c>
      <c r="AE87" s="497">
        <v>0</v>
      </c>
      <c r="AF87" s="498">
        <v>1</v>
      </c>
      <c r="AG87" s="797"/>
      <c r="AH87" s="401">
        <f t="shared" si="77"/>
        <v>1</v>
      </c>
      <c r="AI87" s="378">
        <f t="shared" si="78"/>
        <v>107</v>
      </c>
      <c r="AJ87" s="379">
        <f t="shared" si="79"/>
        <v>1</v>
      </c>
      <c r="AK87" s="380">
        <f t="shared" si="80"/>
        <v>107</v>
      </c>
      <c r="AL87" s="377">
        <f t="shared" si="81"/>
        <v>1</v>
      </c>
      <c r="AM87" s="380">
        <f t="shared" si="82"/>
        <v>107</v>
      </c>
      <c r="AN87" s="381" t="str">
        <f t="shared" si="83"/>
        <v>80-100%</v>
      </c>
      <c r="AO87" s="377">
        <f t="shared" si="84"/>
        <v>0</v>
      </c>
      <c r="AP87" s="382">
        <f t="shared" si="85"/>
        <v>0</v>
      </c>
      <c r="AQ87" s="380">
        <f t="shared" si="86"/>
        <v>0.26750000000000002</v>
      </c>
      <c r="AR87" s="380">
        <f t="shared" si="87"/>
        <v>69</v>
      </c>
      <c r="AS87" s="380">
        <f t="shared" si="88"/>
        <v>0</v>
      </c>
      <c r="AT87" s="501">
        <v>1</v>
      </c>
      <c r="AU87" s="502">
        <f t="shared" si="89"/>
        <v>107</v>
      </c>
      <c r="AV87" s="491" t="s">
        <v>833</v>
      </c>
      <c r="AW87" s="747">
        <v>2</v>
      </c>
      <c r="AX87" s="471">
        <v>8</v>
      </c>
      <c r="AY87" s="471"/>
      <c r="AZ87" s="471">
        <v>10</v>
      </c>
      <c r="BA87" s="471"/>
      <c r="BB87" s="468" t="s">
        <v>89</v>
      </c>
      <c r="BC87" s="383">
        <f t="shared" si="90"/>
        <v>1</v>
      </c>
      <c r="BD87" s="380">
        <f t="shared" si="91"/>
        <v>107</v>
      </c>
      <c r="BE87" s="383">
        <f t="shared" si="92"/>
        <v>0</v>
      </c>
      <c r="BF87" s="380">
        <f t="shared" si="93"/>
        <v>0</v>
      </c>
      <c r="BG87" s="383">
        <f t="shared" si="94"/>
        <v>1</v>
      </c>
      <c r="BH87" s="380">
        <f t="shared" si="95"/>
        <v>107</v>
      </c>
      <c r="BI87" s="490">
        <v>0</v>
      </c>
      <c r="BJ87" s="506">
        <v>1</v>
      </c>
      <c r="BK87" s="384">
        <f t="shared" si="108"/>
        <v>107</v>
      </c>
      <c r="BL87" s="385">
        <f t="shared" si="109"/>
        <v>0</v>
      </c>
      <c r="BM87" s="468">
        <v>2</v>
      </c>
      <c r="BN87" s="468" t="s">
        <v>89</v>
      </c>
      <c r="BO87" s="383">
        <f t="shared" si="96"/>
        <v>1</v>
      </c>
      <c r="BP87" s="380">
        <f t="shared" si="97"/>
        <v>107</v>
      </c>
      <c r="BQ87" s="385">
        <f t="shared" si="98"/>
        <v>1.69</v>
      </c>
      <c r="BR87" s="506">
        <v>1</v>
      </c>
      <c r="BS87" s="380">
        <f t="shared" si="99"/>
        <v>107</v>
      </c>
      <c r="BT87" s="468">
        <v>7</v>
      </c>
      <c r="BU87" s="383">
        <f t="shared" si="100"/>
        <v>1</v>
      </c>
      <c r="BV87" s="385">
        <f t="shared" si="101"/>
        <v>0</v>
      </c>
      <c r="BW87" s="494">
        <v>1</v>
      </c>
      <c r="BX87" s="516"/>
      <c r="BY87" s="518">
        <v>41794</v>
      </c>
      <c r="BZ87" s="804"/>
      <c r="CA87" s="807"/>
      <c r="CB87" s="386" t="str">
        <f t="shared" si="102"/>
        <v>To be realised</v>
      </c>
      <c r="CC87" s="468">
        <v>55</v>
      </c>
      <c r="CD87" s="468">
        <v>6</v>
      </c>
      <c r="CE87" s="387">
        <f t="shared" si="103"/>
        <v>69</v>
      </c>
      <c r="CF87" s="388">
        <f t="shared" si="104"/>
        <v>0</v>
      </c>
      <c r="CG87" s="380">
        <f t="shared" si="105"/>
        <v>0</v>
      </c>
      <c r="CH87" s="403">
        <f t="shared" si="106"/>
        <v>9</v>
      </c>
      <c r="CI87" s="484"/>
      <c r="CJ87" s="494"/>
      <c r="CK87" s="405">
        <f t="shared" si="110"/>
        <v>0</v>
      </c>
      <c r="CL87" s="484">
        <v>3</v>
      </c>
      <c r="CM87" s="389" t="str">
        <f t="shared" si="107"/>
        <v>Excellent coverage</v>
      </c>
      <c r="CN87" s="490">
        <v>0</v>
      </c>
      <c r="CO87" s="485" t="s">
        <v>65</v>
      </c>
      <c r="CP87" s="525"/>
    </row>
    <row r="88" spans="2:94" s="40" customFormat="1" ht="30.75" customHeight="1" x14ac:dyDescent="0.2">
      <c r="B88" s="465" t="s">
        <v>183</v>
      </c>
      <c r="C88" s="466" t="s">
        <v>565</v>
      </c>
      <c r="D88" s="467" t="s">
        <v>265</v>
      </c>
      <c r="E88" s="466" t="s">
        <v>633</v>
      </c>
      <c r="F88" s="467">
        <v>97.717133000000004</v>
      </c>
      <c r="G88" s="467">
        <v>24.200433</v>
      </c>
      <c r="H88" s="467" t="s">
        <v>448</v>
      </c>
      <c r="I88" s="467" t="s">
        <v>213</v>
      </c>
      <c r="J88" s="467"/>
      <c r="K88" s="467"/>
      <c r="L88" s="471">
        <v>74</v>
      </c>
      <c r="M88" s="471">
        <v>412</v>
      </c>
      <c r="N88" s="471"/>
      <c r="O88" s="471">
        <v>412</v>
      </c>
      <c r="P88" s="376" t="str">
        <f t="shared" si="74"/>
        <v>2. Medium</v>
      </c>
      <c r="Q88" s="717" t="s">
        <v>253</v>
      </c>
      <c r="R88" s="469" t="s">
        <v>234</v>
      </c>
      <c r="S88" s="477" t="s">
        <v>299</v>
      </c>
      <c r="T88" s="398" t="str">
        <f t="shared" si="75"/>
        <v>Not covered</v>
      </c>
      <c r="U88" s="478" t="s">
        <v>626</v>
      </c>
      <c r="V88" s="469" t="s">
        <v>252</v>
      </c>
      <c r="W88" s="395" t="str">
        <f t="shared" si="76"/>
        <v>Documented</v>
      </c>
      <c r="X88" s="484">
        <v>0</v>
      </c>
      <c r="Y88" s="468">
        <v>0</v>
      </c>
      <c r="Z88" s="801"/>
      <c r="AA88" s="485" t="s">
        <v>19</v>
      </c>
      <c r="AB88" s="484">
        <v>1</v>
      </c>
      <c r="AC88" s="490">
        <v>0</v>
      </c>
      <c r="AD88" s="491">
        <v>8400</v>
      </c>
      <c r="AE88" s="497">
        <v>0</v>
      </c>
      <c r="AF88" s="498">
        <v>1</v>
      </c>
      <c r="AG88" s="797"/>
      <c r="AH88" s="401">
        <f t="shared" si="77"/>
        <v>1</v>
      </c>
      <c r="AI88" s="378">
        <f t="shared" si="78"/>
        <v>412</v>
      </c>
      <c r="AJ88" s="379">
        <f t="shared" si="79"/>
        <v>1</v>
      </c>
      <c r="AK88" s="380">
        <f t="shared" si="80"/>
        <v>412</v>
      </c>
      <c r="AL88" s="377">
        <f t="shared" si="81"/>
        <v>1</v>
      </c>
      <c r="AM88" s="380">
        <f t="shared" si="82"/>
        <v>412</v>
      </c>
      <c r="AN88" s="381" t="str">
        <f t="shared" si="83"/>
        <v>80-100%</v>
      </c>
      <c r="AO88" s="377">
        <f t="shared" si="84"/>
        <v>0</v>
      </c>
      <c r="AP88" s="382">
        <f t="shared" si="85"/>
        <v>0</v>
      </c>
      <c r="AQ88" s="380">
        <f t="shared" si="86"/>
        <v>3.0000000000000027E-2</v>
      </c>
      <c r="AR88" s="380">
        <f t="shared" si="87"/>
        <v>74</v>
      </c>
      <c r="AS88" s="380">
        <f t="shared" si="88"/>
        <v>0</v>
      </c>
      <c r="AT88" s="501">
        <v>1</v>
      </c>
      <c r="AU88" s="502">
        <f t="shared" si="89"/>
        <v>412</v>
      </c>
      <c r="AV88" s="491" t="s">
        <v>833</v>
      </c>
      <c r="AW88" s="747">
        <v>8</v>
      </c>
      <c r="AX88" s="471">
        <v>0</v>
      </c>
      <c r="AY88" s="471"/>
      <c r="AZ88" s="471">
        <v>12</v>
      </c>
      <c r="BA88" s="471"/>
      <c r="BB88" s="468" t="s">
        <v>289</v>
      </c>
      <c r="BC88" s="383">
        <f t="shared" si="90"/>
        <v>0.58252427184466016</v>
      </c>
      <c r="BD88" s="380">
        <f t="shared" si="91"/>
        <v>239.99999999999997</v>
      </c>
      <c r="BE88" s="383">
        <f t="shared" si="92"/>
        <v>0</v>
      </c>
      <c r="BF88" s="380">
        <f t="shared" si="93"/>
        <v>0</v>
      </c>
      <c r="BG88" s="383">
        <f t="shared" si="94"/>
        <v>0.58252427184466016</v>
      </c>
      <c r="BH88" s="380">
        <f t="shared" si="95"/>
        <v>239.99999999999997</v>
      </c>
      <c r="BI88" s="490">
        <v>0</v>
      </c>
      <c r="BJ88" s="506">
        <v>0.57999999999999996</v>
      </c>
      <c r="BK88" s="384">
        <f t="shared" si="108"/>
        <v>238.95999999999998</v>
      </c>
      <c r="BL88" s="385">
        <f t="shared" si="109"/>
        <v>8.6000000000000014</v>
      </c>
      <c r="BM88" s="468">
        <v>1</v>
      </c>
      <c r="BN88" s="468" t="s">
        <v>89</v>
      </c>
      <c r="BO88" s="383">
        <f t="shared" si="96"/>
        <v>0.24271844660194175</v>
      </c>
      <c r="BP88" s="380">
        <f t="shared" si="97"/>
        <v>100</v>
      </c>
      <c r="BQ88" s="385">
        <f t="shared" si="98"/>
        <v>3.12</v>
      </c>
      <c r="BR88" s="506">
        <v>0.24</v>
      </c>
      <c r="BS88" s="380">
        <f t="shared" si="99"/>
        <v>98.88</v>
      </c>
      <c r="BT88" s="468">
        <v>4</v>
      </c>
      <c r="BU88" s="383">
        <f t="shared" si="100"/>
        <v>0.970873786407767</v>
      </c>
      <c r="BV88" s="385">
        <f t="shared" si="101"/>
        <v>0.12000000000000011</v>
      </c>
      <c r="BW88" s="494">
        <v>0.97</v>
      </c>
      <c r="BX88" s="516" t="s">
        <v>882</v>
      </c>
      <c r="BY88" s="518">
        <v>41796</v>
      </c>
      <c r="BZ88" s="804"/>
      <c r="CA88" s="807"/>
      <c r="CB88" s="386" t="str">
        <f t="shared" si="102"/>
        <v>To be realised</v>
      </c>
      <c r="CC88" s="468">
        <v>113</v>
      </c>
      <c r="CD88" s="468">
        <v>6</v>
      </c>
      <c r="CE88" s="387">
        <f t="shared" si="103"/>
        <v>74</v>
      </c>
      <c r="CF88" s="388">
        <f t="shared" si="104"/>
        <v>0</v>
      </c>
      <c r="CG88" s="380">
        <f t="shared" si="105"/>
        <v>0</v>
      </c>
      <c r="CH88" s="403">
        <f t="shared" si="106"/>
        <v>9</v>
      </c>
      <c r="CI88" s="484"/>
      <c r="CJ88" s="494"/>
      <c r="CK88" s="405">
        <f t="shared" si="110"/>
        <v>0</v>
      </c>
      <c r="CL88" s="484">
        <v>4</v>
      </c>
      <c r="CM88" s="389" t="str">
        <f t="shared" si="107"/>
        <v>Excellent coverage</v>
      </c>
      <c r="CN88" s="490">
        <v>0</v>
      </c>
      <c r="CO88" s="485" t="s">
        <v>65</v>
      </c>
      <c r="CP88" s="525"/>
    </row>
    <row r="89" spans="2:94" s="40" customFormat="1" ht="30.75" customHeight="1" x14ac:dyDescent="0.2">
      <c r="B89" s="465" t="s">
        <v>183</v>
      </c>
      <c r="C89" s="466" t="s">
        <v>565</v>
      </c>
      <c r="D89" s="467" t="s">
        <v>265</v>
      </c>
      <c r="E89" s="466" t="s">
        <v>634</v>
      </c>
      <c r="F89" s="467">
        <v>97.715400000000002</v>
      </c>
      <c r="G89" s="467">
        <v>24.20083</v>
      </c>
      <c r="H89" s="467" t="s">
        <v>448</v>
      </c>
      <c r="I89" s="467" t="s">
        <v>213</v>
      </c>
      <c r="J89" s="467"/>
      <c r="K89" s="467"/>
      <c r="L89" s="471">
        <v>40</v>
      </c>
      <c r="M89" s="471">
        <v>220</v>
      </c>
      <c r="N89" s="471"/>
      <c r="O89" s="471">
        <v>220</v>
      </c>
      <c r="P89" s="376" t="str">
        <f t="shared" si="74"/>
        <v>1. Small</v>
      </c>
      <c r="Q89" s="717" t="s">
        <v>253</v>
      </c>
      <c r="R89" s="469" t="s">
        <v>234</v>
      </c>
      <c r="S89" s="477" t="s">
        <v>299</v>
      </c>
      <c r="T89" s="398" t="str">
        <f t="shared" si="75"/>
        <v>Not covered</v>
      </c>
      <c r="U89" s="478" t="s">
        <v>626</v>
      </c>
      <c r="V89" s="469" t="s">
        <v>252</v>
      </c>
      <c r="W89" s="395" t="str">
        <f t="shared" si="76"/>
        <v>Documented</v>
      </c>
      <c r="X89" s="484">
        <v>0</v>
      </c>
      <c r="Y89" s="468">
        <v>0</v>
      </c>
      <c r="Z89" s="801"/>
      <c r="AA89" s="485" t="s">
        <v>19</v>
      </c>
      <c r="AB89" s="484">
        <v>1</v>
      </c>
      <c r="AC89" s="490">
        <v>0</v>
      </c>
      <c r="AD89" s="491">
        <v>4000</v>
      </c>
      <c r="AE89" s="497">
        <v>0</v>
      </c>
      <c r="AF89" s="498">
        <v>1</v>
      </c>
      <c r="AG89" s="797"/>
      <c r="AH89" s="401">
        <f t="shared" si="77"/>
        <v>1</v>
      </c>
      <c r="AI89" s="378">
        <f t="shared" si="78"/>
        <v>220</v>
      </c>
      <c r="AJ89" s="379">
        <f t="shared" si="79"/>
        <v>1</v>
      </c>
      <c r="AK89" s="380">
        <f t="shared" si="80"/>
        <v>220</v>
      </c>
      <c r="AL89" s="377">
        <f t="shared" si="81"/>
        <v>1</v>
      </c>
      <c r="AM89" s="380">
        <f t="shared" si="82"/>
        <v>220</v>
      </c>
      <c r="AN89" s="381" t="str">
        <f t="shared" si="83"/>
        <v>80-100%</v>
      </c>
      <c r="AO89" s="377">
        <f t="shared" si="84"/>
        <v>0</v>
      </c>
      <c r="AP89" s="382">
        <f t="shared" si="85"/>
        <v>0</v>
      </c>
      <c r="AQ89" s="380">
        <f t="shared" si="86"/>
        <v>0</v>
      </c>
      <c r="AR89" s="380">
        <f t="shared" si="87"/>
        <v>40</v>
      </c>
      <c r="AS89" s="380">
        <f t="shared" si="88"/>
        <v>0</v>
      </c>
      <c r="AT89" s="501">
        <v>1</v>
      </c>
      <c r="AU89" s="502">
        <f t="shared" si="89"/>
        <v>220</v>
      </c>
      <c r="AV89" s="491"/>
      <c r="AW89" s="747">
        <v>0</v>
      </c>
      <c r="AX89" s="471">
        <v>0</v>
      </c>
      <c r="AY89" s="471"/>
      <c r="AZ89" s="471">
        <v>10</v>
      </c>
      <c r="BA89" s="471"/>
      <c r="BB89" s="468" t="s">
        <v>289</v>
      </c>
      <c r="BC89" s="383">
        <f t="shared" si="90"/>
        <v>0.90909090909090906</v>
      </c>
      <c r="BD89" s="380">
        <f t="shared" si="91"/>
        <v>200</v>
      </c>
      <c r="BE89" s="383">
        <f t="shared" si="92"/>
        <v>0</v>
      </c>
      <c r="BF89" s="380">
        <f t="shared" si="93"/>
        <v>0</v>
      </c>
      <c r="BG89" s="383">
        <f t="shared" si="94"/>
        <v>0.90909090909090906</v>
      </c>
      <c r="BH89" s="380">
        <f t="shared" si="95"/>
        <v>200</v>
      </c>
      <c r="BI89" s="490">
        <v>0</v>
      </c>
      <c r="BJ89" s="506">
        <v>0.91</v>
      </c>
      <c r="BK89" s="384">
        <f t="shared" si="108"/>
        <v>200.20000000000002</v>
      </c>
      <c r="BL89" s="385">
        <f t="shared" si="109"/>
        <v>1</v>
      </c>
      <c r="BM89" s="468">
        <v>1</v>
      </c>
      <c r="BN89" s="468" t="s">
        <v>89</v>
      </c>
      <c r="BO89" s="383">
        <f t="shared" si="96"/>
        <v>0.45454545454545453</v>
      </c>
      <c r="BP89" s="380">
        <f t="shared" si="97"/>
        <v>100</v>
      </c>
      <c r="BQ89" s="385">
        <f t="shared" si="98"/>
        <v>1.2000000000000002</v>
      </c>
      <c r="BR89" s="506">
        <v>0.45</v>
      </c>
      <c r="BS89" s="380">
        <f t="shared" si="99"/>
        <v>99</v>
      </c>
      <c r="BT89" s="468">
        <v>4</v>
      </c>
      <c r="BU89" s="383">
        <f t="shared" si="100"/>
        <v>1</v>
      </c>
      <c r="BV89" s="385">
        <f t="shared" si="101"/>
        <v>0</v>
      </c>
      <c r="BW89" s="494">
        <v>1</v>
      </c>
      <c r="BX89" s="516"/>
      <c r="BY89" s="518">
        <v>41796</v>
      </c>
      <c r="BZ89" s="804"/>
      <c r="CA89" s="807"/>
      <c r="CB89" s="386" t="str">
        <f t="shared" si="102"/>
        <v>To be realised</v>
      </c>
      <c r="CC89" s="468">
        <v>35</v>
      </c>
      <c r="CD89" s="468">
        <v>6</v>
      </c>
      <c r="CE89" s="387">
        <f t="shared" si="103"/>
        <v>40</v>
      </c>
      <c r="CF89" s="388">
        <f t="shared" si="104"/>
        <v>0</v>
      </c>
      <c r="CG89" s="380">
        <f t="shared" si="105"/>
        <v>0</v>
      </c>
      <c r="CH89" s="403">
        <f t="shared" si="106"/>
        <v>9</v>
      </c>
      <c r="CI89" s="484"/>
      <c r="CJ89" s="494"/>
      <c r="CK89" s="405">
        <f t="shared" si="110"/>
        <v>0</v>
      </c>
      <c r="CL89" s="484">
        <v>1</v>
      </c>
      <c r="CM89" s="389" t="str">
        <f t="shared" si="107"/>
        <v>Excellent coverage</v>
      </c>
      <c r="CN89" s="490">
        <v>0</v>
      </c>
      <c r="CO89" s="485" t="s">
        <v>65</v>
      </c>
      <c r="CP89" s="525"/>
    </row>
    <row r="90" spans="2:94" s="40" customFormat="1" ht="30.75" customHeight="1" x14ac:dyDescent="0.2">
      <c r="B90" s="465" t="s">
        <v>183</v>
      </c>
      <c r="C90" s="466" t="s">
        <v>565</v>
      </c>
      <c r="D90" s="467" t="s">
        <v>265</v>
      </c>
      <c r="E90" s="466" t="s">
        <v>635</v>
      </c>
      <c r="F90" s="467">
        <v>97.716260000000005</v>
      </c>
      <c r="G90" s="467">
        <v>24.20411</v>
      </c>
      <c r="H90" s="467" t="s">
        <v>448</v>
      </c>
      <c r="I90" s="467" t="s">
        <v>213</v>
      </c>
      <c r="J90" s="467"/>
      <c r="K90" s="467"/>
      <c r="L90" s="471">
        <v>21</v>
      </c>
      <c r="M90" s="471">
        <v>115</v>
      </c>
      <c r="N90" s="471"/>
      <c r="O90" s="471">
        <v>115</v>
      </c>
      <c r="P90" s="376" t="str">
        <f t="shared" si="74"/>
        <v>1. Small</v>
      </c>
      <c r="Q90" s="717" t="s">
        <v>253</v>
      </c>
      <c r="R90" s="469" t="s">
        <v>234</v>
      </c>
      <c r="S90" s="477" t="s">
        <v>299</v>
      </c>
      <c r="T90" s="398" t="str">
        <f t="shared" si="75"/>
        <v>Not covered</v>
      </c>
      <c r="U90" s="478" t="s">
        <v>626</v>
      </c>
      <c r="V90" s="469" t="s">
        <v>252</v>
      </c>
      <c r="W90" s="395" t="str">
        <f t="shared" si="76"/>
        <v>Documented</v>
      </c>
      <c r="X90" s="484">
        <v>0</v>
      </c>
      <c r="Y90" s="468">
        <v>0</v>
      </c>
      <c r="Z90" s="801"/>
      <c r="AA90" s="485" t="s">
        <v>19</v>
      </c>
      <c r="AB90" s="484">
        <v>1</v>
      </c>
      <c r="AC90" s="490">
        <v>0</v>
      </c>
      <c r="AD90" s="491">
        <v>1500</v>
      </c>
      <c r="AE90" s="497">
        <v>0</v>
      </c>
      <c r="AF90" s="498">
        <v>1</v>
      </c>
      <c r="AG90" s="797"/>
      <c r="AH90" s="401">
        <f t="shared" si="77"/>
        <v>1</v>
      </c>
      <c r="AI90" s="378">
        <f t="shared" si="78"/>
        <v>115</v>
      </c>
      <c r="AJ90" s="379">
        <f t="shared" si="79"/>
        <v>1</v>
      </c>
      <c r="AK90" s="380">
        <f t="shared" si="80"/>
        <v>115</v>
      </c>
      <c r="AL90" s="377">
        <f t="shared" si="81"/>
        <v>1</v>
      </c>
      <c r="AM90" s="380">
        <f t="shared" si="82"/>
        <v>115</v>
      </c>
      <c r="AN90" s="381" t="str">
        <f t="shared" si="83"/>
        <v>80-100%</v>
      </c>
      <c r="AO90" s="377">
        <f t="shared" si="84"/>
        <v>0</v>
      </c>
      <c r="AP90" s="382">
        <f t="shared" si="85"/>
        <v>0</v>
      </c>
      <c r="AQ90" s="380">
        <f t="shared" si="86"/>
        <v>0</v>
      </c>
      <c r="AR90" s="380">
        <f t="shared" si="87"/>
        <v>21</v>
      </c>
      <c r="AS90" s="380">
        <f t="shared" si="88"/>
        <v>0</v>
      </c>
      <c r="AT90" s="501">
        <v>1</v>
      </c>
      <c r="AU90" s="502">
        <f t="shared" si="89"/>
        <v>115</v>
      </c>
      <c r="AV90" s="491"/>
      <c r="AW90" s="747">
        <v>34</v>
      </c>
      <c r="AX90" s="471">
        <v>2</v>
      </c>
      <c r="AY90" s="471"/>
      <c r="AZ90" s="471">
        <v>4</v>
      </c>
      <c r="BA90" s="471"/>
      <c r="BB90" s="468" t="s">
        <v>289</v>
      </c>
      <c r="BC90" s="383">
        <f t="shared" si="90"/>
        <v>1</v>
      </c>
      <c r="BD90" s="380">
        <f t="shared" si="91"/>
        <v>115</v>
      </c>
      <c r="BE90" s="383">
        <f t="shared" si="92"/>
        <v>0.30434782608695654</v>
      </c>
      <c r="BF90" s="380">
        <f t="shared" si="93"/>
        <v>35</v>
      </c>
      <c r="BG90" s="383">
        <f t="shared" si="94"/>
        <v>0.69565217391304346</v>
      </c>
      <c r="BH90" s="380">
        <f t="shared" si="95"/>
        <v>80</v>
      </c>
      <c r="BI90" s="490">
        <v>0</v>
      </c>
      <c r="BJ90" s="506">
        <v>1</v>
      </c>
      <c r="BK90" s="384">
        <f t="shared" si="108"/>
        <v>115</v>
      </c>
      <c r="BL90" s="385">
        <f t="shared" si="109"/>
        <v>1.75</v>
      </c>
      <c r="BM90" s="468">
        <v>1</v>
      </c>
      <c r="BN90" s="468" t="s">
        <v>89</v>
      </c>
      <c r="BO90" s="383">
        <f t="shared" si="96"/>
        <v>0.86956521739130432</v>
      </c>
      <c r="BP90" s="380">
        <f t="shared" si="97"/>
        <v>100</v>
      </c>
      <c r="BQ90" s="385">
        <f t="shared" si="98"/>
        <v>0.14999999999999991</v>
      </c>
      <c r="BR90" s="506">
        <v>0.87</v>
      </c>
      <c r="BS90" s="380">
        <f t="shared" si="99"/>
        <v>100.05</v>
      </c>
      <c r="BT90" s="468">
        <v>2</v>
      </c>
      <c r="BU90" s="383">
        <f t="shared" si="100"/>
        <v>1</v>
      </c>
      <c r="BV90" s="385">
        <f t="shared" si="101"/>
        <v>0</v>
      </c>
      <c r="BW90" s="494">
        <v>1</v>
      </c>
      <c r="BX90" s="516"/>
      <c r="BY90" s="518">
        <v>41796</v>
      </c>
      <c r="BZ90" s="804"/>
      <c r="CA90" s="807"/>
      <c r="CB90" s="386" t="str">
        <f t="shared" si="102"/>
        <v>To be realised</v>
      </c>
      <c r="CC90" s="468">
        <v>22</v>
      </c>
      <c r="CD90" s="468">
        <v>6</v>
      </c>
      <c r="CE90" s="387">
        <f t="shared" si="103"/>
        <v>21</v>
      </c>
      <c r="CF90" s="388">
        <f t="shared" si="104"/>
        <v>0</v>
      </c>
      <c r="CG90" s="380">
        <f t="shared" si="105"/>
        <v>0</v>
      </c>
      <c r="CH90" s="403">
        <f t="shared" si="106"/>
        <v>9</v>
      </c>
      <c r="CI90" s="484"/>
      <c r="CJ90" s="494"/>
      <c r="CK90" s="405">
        <f t="shared" si="110"/>
        <v>0</v>
      </c>
      <c r="CL90" s="484">
        <v>1</v>
      </c>
      <c r="CM90" s="389" t="str">
        <f t="shared" si="107"/>
        <v>Excellent coverage</v>
      </c>
      <c r="CN90" s="490">
        <v>0</v>
      </c>
      <c r="CO90" s="485" t="s">
        <v>65</v>
      </c>
      <c r="CP90" s="525"/>
    </row>
    <row r="91" spans="2:94" s="40" customFormat="1" ht="30.75" customHeight="1" x14ac:dyDescent="0.2">
      <c r="B91" s="465" t="s">
        <v>183</v>
      </c>
      <c r="C91" s="466" t="s">
        <v>565</v>
      </c>
      <c r="D91" s="467" t="s">
        <v>265</v>
      </c>
      <c r="E91" s="466" t="s">
        <v>733</v>
      </c>
      <c r="F91" s="467">
        <v>97.714839999999995</v>
      </c>
      <c r="G91" s="467">
        <v>24.20757</v>
      </c>
      <c r="H91" s="467" t="s">
        <v>448</v>
      </c>
      <c r="I91" s="467" t="s">
        <v>213</v>
      </c>
      <c r="J91" s="467"/>
      <c r="K91" s="467"/>
      <c r="L91" s="471">
        <v>52</v>
      </c>
      <c r="M91" s="471">
        <v>248</v>
      </c>
      <c r="N91" s="471"/>
      <c r="O91" s="471">
        <v>248</v>
      </c>
      <c r="P91" s="376" t="str">
        <f t="shared" si="74"/>
        <v>2. Medium</v>
      </c>
      <c r="Q91" s="717" t="s">
        <v>253</v>
      </c>
      <c r="R91" s="469" t="s">
        <v>234</v>
      </c>
      <c r="S91" s="477" t="s">
        <v>299</v>
      </c>
      <c r="T91" s="398" t="str">
        <f t="shared" si="75"/>
        <v>Not covered</v>
      </c>
      <c r="U91" s="478" t="s">
        <v>626</v>
      </c>
      <c r="V91" s="469" t="s">
        <v>252</v>
      </c>
      <c r="W91" s="395" t="str">
        <f t="shared" si="76"/>
        <v>Documented</v>
      </c>
      <c r="X91" s="484">
        <v>0</v>
      </c>
      <c r="Y91" s="468">
        <v>0</v>
      </c>
      <c r="Z91" s="801"/>
      <c r="AA91" s="485" t="s">
        <v>19</v>
      </c>
      <c r="AB91" s="484">
        <v>1</v>
      </c>
      <c r="AC91" s="490">
        <v>0</v>
      </c>
      <c r="AD91" s="491">
        <v>4000</v>
      </c>
      <c r="AE91" s="497">
        <v>0</v>
      </c>
      <c r="AF91" s="498">
        <v>1</v>
      </c>
      <c r="AG91" s="797"/>
      <c r="AH91" s="401">
        <f t="shared" si="77"/>
        <v>1</v>
      </c>
      <c r="AI91" s="378">
        <f t="shared" si="78"/>
        <v>248</v>
      </c>
      <c r="AJ91" s="379">
        <f t="shared" si="79"/>
        <v>1</v>
      </c>
      <c r="AK91" s="380">
        <f t="shared" si="80"/>
        <v>248</v>
      </c>
      <c r="AL91" s="377">
        <f t="shared" si="81"/>
        <v>1</v>
      </c>
      <c r="AM91" s="380">
        <f t="shared" si="82"/>
        <v>248</v>
      </c>
      <c r="AN91" s="381" t="str">
        <f t="shared" si="83"/>
        <v>80-100%</v>
      </c>
      <c r="AO91" s="377">
        <f t="shared" si="84"/>
        <v>0</v>
      </c>
      <c r="AP91" s="382">
        <f t="shared" si="85"/>
        <v>0</v>
      </c>
      <c r="AQ91" s="380">
        <f t="shared" si="86"/>
        <v>0</v>
      </c>
      <c r="AR91" s="380">
        <f t="shared" si="87"/>
        <v>52</v>
      </c>
      <c r="AS91" s="380">
        <f t="shared" si="88"/>
        <v>0</v>
      </c>
      <c r="AT91" s="501">
        <v>1</v>
      </c>
      <c r="AU91" s="502">
        <f t="shared" si="89"/>
        <v>248</v>
      </c>
      <c r="AV91" s="491"/>
      <c r="AW91" s="747">
        <v>30</v>
      </c>
      <c r="AX91" s="471">
        <v>0</v>
      </c>
      <c r="AY91" s="471"/>
      <c r="AZ91" s="471">
        <v>10</v>
      </c>
      <c r="BA91" s="471"/>
      <c r="BB91" s="468" t="s">
        <v>89</v>
      </c>
      <c r="BC91" s="383">
        <f t="shared" si="90"/>
        <v>0.80645161290322576</v>
      </c>
      <c r="BD91" s="380">
        <f t="shared" si="91"/>
        <v>200</v>
      </c>
      <c r="BE91" s="383">
        <f t="shared" si="92"/>
        <v>0</v>
      </c>
      <c r="BF91" s="380">
        <f t="shared" si="93"/>
        <v>0</v>
      </c>
      <c r="BG91" s="383">
        <f t="shared" si="94"/>
        <v>0.80645161290322576</v>
      </c>
      <c r="BH91" s="380">
        <f t="shared" si="95"/>
        <v>200</v>
      </c>
      <c r="BI91" s="490"/>
      <c r="BJ91" s="506">
        <v>0.81</v>
      </c>
      <c r="BK91" s="384">
        <f t="shared" si="108"/>
        <v>200.88000000000002</v>
      </c>
      <c r="BL91" s="385">
        <f t="shared" si="109"/>
        <v>2.4000000000000004</v>
      </c>
      <c r="BM91" s="468">
        <v>2</v>
      </c>
      <c r="BN91" s="468" t="s">
        <v>89</v>
      </c>
      <c r="BO91" s="383">
        <f t="shared" si="96"/>
        <v>0.80645161290322576</v>
      </c>
      <c r="BP91" s="380">
        <f t="shared" si="97"/>
        <v>200</v>
      </c>
      <c r="BQ91" s="385">
        <f t="shared" si="98"/>
        <v>0.48</v>
      </c>
      <c r="BR91" s="506">
        <v>0.81</v>
      </c>
      <c r="BS91" s="380">
        <f t="shared" si="99"/>
        <v>200.88000000000002</v>
      </c>
      <c r="BT91" s="468">
        <v>2</v>
      </c>
      <c r="BU91" s="383">
        <f t="shared" si="100"/>
        <v>0.80645161290322576</v>
      </c>
      <c r="BV91" s="385">
        <f t="shared" si="101"/>
        <v>0.48</v>
      </c>
      <c r="BW91" s="494">
        <v>0.84</v>
      </c>
      <c r="BX91" s="516"/>
      <c r="BY91" s="518">
        <v>41796</v>
      </c>
      <c r="BZ91" s="804"/>
      <c r="CA91" s="807"/>
      <c r="CB91" s="386" t="str">
        <f t="shared" si="102"/>
        <v>To be realised</v>
      </c>
      <c r="CC91" s="468">
        <v>47</v>
      </c>
      <c r="CD91" s="468">
        <v>6</v>
      </c>
      <c r="CE91" s="387">
        <f t="shared" si="103"/>
        <v>52</v>
      </c>
      <c r="CF91" s="388">
        <f t="shared" si="104"/>
        <v>0</v>
      </c>
      <c r="CG91" s="380">
        <f t="shared" si="105"/>
        <v>0</v>
      </c>
      <c r="CH91" s="403">
        <f t="shared" si="106"/>
        <v>9</v>
      </c>
      <c r="CI91" s="484"/>
      <c r="CJ91" s="494"/>
      <c r="CK91" s="405">
        <f t="shared" si="110"/>
        <v>0</v>
      </c>
      <c r="CL91" s="484">
        <v>1</v>
      </c>
      <c r="CM91" s="389" t="str">
        <f t="shared" si="107"/>
        <v>Excellent coverage</v>
      </c>
      <c r="CN91" s="490">
        <v>0</v>
      </c>
      <c r="CO91" s="485" t="s">
        <v>65</v>
      </c>
      <c r="CP91" s="525"/>
    </row>
    <row r="92" spans="2:94" s="40" customFormat="1" ht="30.75" customHeight="1" x14ac:dyDescent="0.25">
      <c r="B92" s="465" t="s">
        <v>183</v>
      </c>
      <c r="C92" s="466" t="s">
        <v>689</v>
      </c>
      <c r="D92" s="467" t="s">
        <v>265</v>
      </c>
      <c r="E92" s="466" t="s">
        <v>315</v>
      </c>
      <c r="F92" s="467">
        <v>97.724483000000006</v>
      </c>
      <c r="G92" s="467">
        <v>24.205417000000001</v>
      </c>
      <c r="H92" s="467" t="s">
        <v>448</v>
      </c>
      <c r="I92" s="467" t="s">
        <v>213</v>
      </c>
      <c r="J92" s="467"/>
      <c r="K92" s="467"/>
      <c r="L92" s="471">
        <v>50</v>
      </c>
      <c r="M92" s="471">
        <v>295</v>
      </c>
      <c r="N92" s="471"/>
      <c r="O92" s="471">
        <v>295</v>
      </c>
      <c r="P92" s="376" t="str">
        <f t="shared" si="74"/>
        <v>1. Small</v>
      </c>
      <c r="Q92" s="717" t="s">
        <v>253</v>
      </c>
      <c r="R92" s="472" t="s">
        <v>234</v>
      </c>
      <c r="S92" s="479" t="s">
        <v>299</v>
      </c>
      <c r="T92" s="398" t="str">
        <f t="shared" si="75"/>
        <v>Not covered</v>
      </c>
      <c r="U92" s="478" t="s">
        <v>626</v>
      </c>
      <c r="V92" s="481" t="s">
        <v>252</v>
      </c>
      <c r="W92" s="395" t="str">
        <f t="shared" si="76"/>
        <v>Documented</v>
      </c>
      <c r="X92" s="484">
        <v>0</v>
      </c>
      <c r="Y92" s="468">
        <v>0</v>
      </c>
      <c r="Z92" s="801"/>
      <c r="AA92" s="487" t="s">
        <v>19</v>
      </c>
      <c r="AB92" s="486">
        <v>2</v>
      </c>
      <c r="AC92" s="471">
        <v>0</v>
      </c>
      <c r="AD92" s="487">
        <v>3000</v>
      </c>
      <c r="AE92" s="495">
        <v>0</v>
      </c>
      <c r="AF92" s="496">
        <v>1</v>
      </c>
      <c r="AG92" s="796"/>
      <c r="AH92" s="401">
        <f t="shared" si="77"/>
        <v>1</v>
      </c>
      <c r="AI92" s="378">
        <f t="shared" si="78"/>
        <v>295</v>
      </c>
      <c r="AJ92" s="379">
        <f t="shared" si="79"/>
        <v>1</v>
      </c>
      <c r="AK92" s="380">
        <f t="shared" si="80"/>
        <v>295</v>
      </c>
      <c r="AL92" s="377">
        <f t="shared" si="81"/>
        <v>1</v>
      </c>
      <c r="AM92" s="380">
        <f t="shared" si="82"/>
        <v>295</v>
      </c>
      <c r="AN92" s="381" t="str">
        <f t="shared" si="83"/>
        <v>80-100%</v>
      </c>
      <c r="AO92" s="377">
        <f t="shared" si="84"/>
        <v>0</v>
      </c>
      <c r="AP92" s="382">
        <f t="shared" si="85"/>
        <v>0</v>
      </c>
      <c r="AQ92" s="380">
        <f t="shared" si="86"/>
        <v>0</v>
      </c>
      <c r="AR92" s="380">
        <f t="shared" si="87"/>
        <v>50</v>
      </c>
      <c r="AS92" s="380">
        <f t="shared" si="88"/>
        <v>0</v>
      </c>
      <c r="AT92" s="504">
        <v>1</v>
      </c>
      <c r="AU92" s="502">
        <f t="shared" si="89"/>
        <v>295</v>
      </c>
      <c r="AV92" s="491"/>
      <c r="AW92" s="748">
        <v>2</v>
      </c>
      <c r="AX92" s="471">
        <v>10</v>
      </c>
      <c r="AY92" s="471"/>
      <c r="AZ92" s="471">
        <v>12</v>
      </c>
      <c r="BA92" s="471"/>
      <c r="BB92" s="468" t="s">
        <v>89</v>
      </c>
      <c r="BC92" s="383">
        <f t="shared" si="90"/>
        <v>1</v>
      </c>
      <c r="BD92" s="380">
        <f t="shared" si="91"/>
        <v>295</v>
      </c>
      <c r="BE92" s="383">
        <f t="shared" si="92"/>
        <v>0.18644067796610164</v>
      </c>
      <c r="BF92" s="380">
        <f t="shared" si="93"/>
        <v>54.999999999999986</v>
      </c>
      <c r="BG92" s="383">
        <f t="shared" si="94"/>
        <v>0.81355932203389836</v>
      </c>
      <c r="BH92" s="380">
        <f t="shared" si="95"/>
        <v>240.00000000000003</v>
      </c>
      <c r="BI92" s="509">
        <v>0</v>
      </c>
      <c r="BJ92" s="504">
        <v>1</v>
      </c>
      <c r="BK92" s="384">
        <f t="shared" si="108"/>
        <v>295</v>
      </c>
      <c r="BL92" s="385">
        <f t="shared" si="109"/>
        <v>2.75</v>
      </c>
      <c r="BM92" s="471">
        <v>3</v>
      </c>
      <c r="BN92" s="471" t="s">
        <v>290</v>
      </c>
      <c r="BO92" s="383">
        <f t="shared" si="96"/>
        <v>1</v>
      </c>
      <c r="BP92" s="380">
        <f t="shared" si="97"/>
        <v>295</v>
      </c>
      <c r="BQ92" s="385">
        <f t="shared" si="98"/>
        <v>0</v>
      </c>
      <c r="BR92" s="510">
        <v>1</v>
      </c>
      <c r="BS92" s="380">
        <f t="shared" si="99"/>
        <v>295</v>
      </c>
      <c r="BT92" s="471">
        <v>6</v>
      </c>
      <c r="BU92" s="383">
        <f t="shared" si="100"/>
        <v>1</v>
      </c>
      <c r="BV92" s="385">
        <f t="shared" si="101"/>
        <v>0</v>
      </c>
      <c r="BW92" s="511">
        <v>1</v>
      </c>
      <c r="BX92" s="517"/>
      <c r="BY92" s="519">
        <v>41795</v>
      </c>
      <c r="BZ92" s="803"/>
      <c r="CA92" s="806"/>
      <c r="CB92" s="386" t="str">
        <f t="shared" si="102"/>
        <v>To be realised</v>
      </c>
      <c r="CC92" s="509">
        <v>48</v>
      </c>
      <c r="CD92" s="509">
        <v>6</v>
      </c>
      <c r="CE92" s="387">
        <f t="shared" si="103"/>
        <v>50</v>
      </c>
      <c r="CF92" s="388">
        <f t="shared" si="104"/>
        <v>0</v>
      </c>
      <c r="CG92" s="380">
        <f t="shared" si="105"/>
        <v>0</v>
      </c>
      <c r="CH92" s="403">
        <f t="shared" si="106"/>
        <v>9</v>
      </c>
      <c r="CI92" s="520"/>
      <c r="CJ92" s="496"/>
      <c r="CK92" s="405">
        <f t="shared" si="110"/>
        <v>0</v>
      </c>
      <c r="CL92" s="521">
        <v>2</v>
      </c>
      <c r="CM92" s="389" t="str">
        <f t="shared" si="107"/>
        <v>Excellent coverage</v>
      </c>
      <c r="CN92" s="490">
        <v>0</v>
      </c>
      <c r="CO92" s="485" t="s">
        <v>65</v>
      </c>
      <c r="CP92" s="527"/>
    </row>
    <row r="93" spans="2:94" s="40" customFormat="1" ht="30.75" customHeight="1" x14ac:dyDescent="0.2">
      <c r="B93" s="465" t="s">
        <v>183</v>
      </c>
      <c r="C93" s="466" t="s">
        <v>564</v>
      </c>
      <c r="D93" s="467" t="s">
        <v>265</v>
      </c>
      <c r="E93" s="466" t="s">
        <v>480</v>
      </c>
      <c r="F93" s="467">
        <v>97.724000000000004</v>
      </c>
      <c r="G93" s="467">
        <v>24.204999999999998</v>
      </c>
      <c r="H93" s="467" t="s">
        <v>449</v>
      </c>
      <c r="I93" s="467" t="s">
        <v>213</v>
      </c>
      <c r="J93" s="467"/>
      <c r="K93" s="467"/>
      <c r="L93" s="468">
        <v>40</v>
      </c>
      <c r="M93" s="468">
        <v>136</v>
      </c>
      <c r="N93" s="468"/>
      <c r="O93" s="468">
        <v>136</v>
      </c>
      <c r="P93" s="376" t="str">
        <f t="shared" si="74"/>
        <v>1. Small</v>
      </c>
      <c r="Q93" s="717" t="s">
        <v>253</v>
      </c>
      <c r="R93" s="469" t="s">
        <v>230</v>
      </c>
      <c r="S93" s="477" t="s">
        <v>233</v>
      </c>
      <c r="T93" s="398" t="str">
        <f t="shared" si="75"/>
        <v>Covered</v>
      </c>
      <c r="U93" s="478"/>
      <c r="V93" s="469" t="s">
        <v>252</v>
      </c>
      <c r="W93" s="395" t="str">
        <f t="shared" si="76"/>
        <v>Documented</v>
      </c>
      <c r="X93" s="484">
        <v>0</v>
      </c>
      <c r="Y93" s="468">
        <v>0</v>
      </c>
      <c r="Z93" s="801"/>
      <c r="AA93" s="485" t="s">
        <v>19</v>
      </c>
      <c r="AB93" s="484">
        <v>2</v>
      </c>
      <c r="AC93" s="490">
        <v>1</v>
      </c>
      <c r="AD93" s="491">
        <v>2720</v>
      </c>
      <c r="AE93" s="497">
        <v>0</v>
      </c>
      <c r="AF93" s="498">
        <v>0</v>
      </c>
      <c r="AG93" s="797"/>
      <c r="AH93" s="401">
        <f t="shared" si="77"/>
        <v>1</v>
      </c>
      <c r="AI93" s="378">
        <f t="shared" si="78"/>
        <v>136</v>
      </c>
      <c r="AJ93" s="379">
        <f t="shared" si="79"/>
        <v>1</v>
      </c>
      <c r="AK93" s="380">
        <f t="shared" si="80"/>
        <v>136</v>
      </c>
      <c r="AL93" s="377">
        <f t="shared" si="81"/>
        <v>1</v>
      </c>
      <c r="AM93" s="380">
        <f t="shared" si="82"/>
        <v>136</v>
      </c>
      <c r="AN93" s="381" t="str">
        <f t="shared" si="83"/>
        <v>80-100%</v>
      </c>
      <c r="AO93" s="377">
        <f t="shared" si="84"/>
        <v>0</v>
      </c>
      <c r="AP93" s="382">
        <f t="shared" si="85"/>
        <v>0</v>
      </c>
      <c r="AQ93" s="380">
        <f t="shared" si="86"/>
        <v>0</v>
      </c>
      <c r="AR93" s="380">
        <f t="shared" si="87"/>
        <v>0</v>
      </c>
      <c r="AS93" s="380">
        <f t="shared" si="88"/>
        <v>0</v>
      </c>
      <c r="AT93" s="501">
        <v>1</v>
      </c>
      <c r="AU93" s="502">
        <f t="shared" si="89"/>
        <v>136</v>
      </c>
      <c r="AV93" s="491"/>
      <c r="AW93" s="747">
        <v>28</v>
      </c>
      <c r="AX93" s="468">
        <v>9</v>
      </c>
      <c r="AY93" s="468"/>
      <c r="AZ93" s="468">
        <v>0</v>
      </c>
      <c r="BA93" s="468"/>
      <c r="BB93" s="468" t="s">
        <v>89</v>
      </c>
      <c r="BC93" s="383">
        <f t="shared" si="90"/>
        <v>1</v>
      </c>
      <c r="BD93" s="380">
        <f t="shared" si="91"/>
        <v>136</v>
      </c>
      <c r="BE93" s="383">
        <f t="shared" si="92"/>
        <v>1</v>
      </c>
      <c r="BF93" s="380">
        <f t="shared" si="93"/>
        <v>136</v>
      </c>
      <c r="BG93" s="383">
        <f t="shared" si="94"/>
        <v>0</v>
      </c>
      <c r="BH93" s="380">
        <f t="shared" si="95"/>
        <v>0</v>
      </c>
      <c r="BI93" s="490">
        <v>0</v>
      </c>
      <c r="BJ93" s="506">
        <v>1</v>
      </c>
      <c r="BK93" s="384">
        <f t="shared" si="108"/>
        <v>136</v>
      </c>
      <c r="BL93" s="385">
        <f t="shared" si="109"/>
        <v>6.8</v>
      </c>
      <c r="BM93" s="468">
        <v>1</v>
      </c>
      <c r="BN93" s="468" t="s">
        <v>89</v>
      </c>
      <c r="BO93" s="383">
        <f t="shared" si="96"/>
        <v>0.73529411764705888</v>
      </c>
      <c r="BP93" s="380">
        <f t="shared" si="97"/>
        <v>100</v>
      </c>
      <c r="BQ93" s="385">
        <f t="shared" si="98"/>
        <v>0.3600000000000001</v>
      </c>
      <c r="BR93" s="506">
        <v>0.74</v>
      </c>
      <c r="BS93" s="380">
        <f t="shared" si="99"/>
        <v>100.64</v>
      </c>
      <c r="BT93" s="468">
        <v>0</v>
      </c>
      <c r="BU93" s="383">
        <f t="shared" si="100"/>
        <v>0</v>
      </c>
      <c r="BV93" s="385">
        <f t="shared" si="101"/>
        <v>1.36</v>
      </c>
      <c r="BW93" s="498">
        <v>0</v>
      </c>
      <c r="BX93" s="516"/>
      <c r="BY93" s="518">
        <v>41584</v>
      </c>
      <c r="BZ93" s="804"/>
      <c r="CA93" s="807"/>
      <c r="CB93" s="386" t="str">
        <f t="shared" si="102"/>
        <v>To be realised</v>
      </c>
      <c r="CC93" s="468">
        <v>5</v>
      </c>
      <c r="CD93" s="468">
        <v>6</v>
      </c>
      <c r="CE93" s="387">
        <f t="shared" si="103"/>
        <v>40</v>
      </c>
      <c r="CF93" s="388">
        <f t="shared" si="104"/>
        <v>0</v>
      </c>
      <c r="CG93" s="380">
        <f t="shared" si="105"/>
        <v>0</v>
      </c>
      <c r="CH93" s="403">
        <f t="shared" si="106"/>
        <v>16</v>
      </c>
      <c r="CI93" s="522" t="s">
        <v>900</v>
      </c>
      <c r="CJ93" s="498">
        <v>0</v>
      </c>
      <c r="CK93" s="405">
        <f t="shared" si="110"/>
        <v>0</v>
      </c>
      <c r="CL93" s="492">
        <v>0</v>
      </c>
      <c r="CM93" s="389" t="str">
        <f t="shared" si="107"/>
        <v>No coverage</v>
      </c>
      <c r="CN93" s="468">
        <v>0</v>
      </c>
      <c r="CO93" s="485" t="s">
        <v>66</v>
      </c>
      <c r="CP93" s="525"/>
    </row>
    <row r="94" spans="2:94" s="40" customFormat="1" ht="30.75" customHeight="1" x14ac:dyDescent="0.2">
      <c r="B94" s="465" t="s">
        <v>183</v>
      </c>
      <c r="C94" s="466" t="s">
        <v>690</v>
      </c>
      <c r="D94" s="467" t="s">
        <v>265</v>
      </c>
      <c r="E94" s="466" t="s">
        <v>316</v>
      </c>
      <c r="F94" s="467">
        <v>97.710864000000001</v>
      </c>
      <c r="G94" s="467">
        <v>24.207332999999998</v>
      </c>
      <c r="H94" s="467" t="s">
        <v>448</v>
      </c>
      <c r="I94" s="467" t="s">
        <v>213</v>
      </c>
      <c r="J94" s="467"/>
      <c r="K94" s="467"/>
      <c r="L94" s="471">
        <v>48</v>
      </c>
      <c r="M94" s="471">
        <v>285</v>
      </c>
      <c r="N94" s="471"/>
      <c r="O94" s="468">
        <v>285</v>
      </c>
      <c r="P94" s="376" t="str">
        <f t="shared" si="74"/>
        <v>1. Small</v>
      </c>
      <c r="Q94" s="717" t="s">
        <v>253</v>
      </c>
      <c r="R94" s="469" t="s">
        <v>234</v>
      </c>
      <c r="S94" s="477" t="s">
        <v>299</v>
      </c>
      <c r="T94" s="398" t="str">
        <f t="shared" si="75"/>
        <v>Not covered</v>
      </c>
      <c r="U94" s="478" t="s">
        <v>626</v>
      </c>
      <c r="V94" s="469" t="s">
        <v>252</v>
      </c>
      <c r="W94" s="395" t="str">
        <f t="shared" si="76"/>
        <v>Documented</v>
      </c>
      <c r="X94" s="484">
        <v>0</v>
      </c>
      <c r="Y94" s="468">
        <v>0</v>
      </c>
      <c r="Z94" s="801"/>
      <c r="AA94" s="485" t="s">
        <v>19</v>
      </c>
      <c r="AB94" s="484">
        <v>2</v>
      </c>
      <c r="AC94" s="490">
        <v>0</v>
      </c>
      <c r="AD94" s="491">
        <v>3000</v>
      </c>
      <c r="AE94" s="497">
        <v>0</v>
      </c>
      <c r="AF94" s="498">
        <v>1</v>
      </c>
      <c r="AG94" s="797"/>
      <c r="AH94" s="401">
        <f t="shared" si="77"/>
        <v>1</v>
      </c>
      <c r="AI94" s="378">
        <f t="shared" si="78"/>
        <v>285</v>
      </c>
      <c r="AJ94" s="379">
        <f t="shared" si="79"/>
        <v>1</v>
      </c>
      <c r="AK94" s="380">
        <f t="shared" si="80"/>
        <v>285</v>
      </c>
      <c r="AL94" s="377">
        <f t="shared" si="81"/>
        <v>1</v>
      </c>
      <c r="AM94" s="380">
        <f t="shared" si="82"/>
        <v>285</v>
      </c>
      <c r="AN94" s="381" t="str">
        <f t="shared" si="83"/>
        <v>80-100%</v>
      </c>
      <c r="AO94" s="377">
        <f t="shared" si="84"/>
        <v>0</v>
      </c>
      <c r="AP94" s="382">
        <f t="shared" si="85"/>
        <v>0</v>
      </c>
      <c r="AQ94" s="380">
        <f t="shared" si="86"/>
        <v>0</v>
      </c>
      <c r="AR94" s="380">
        <f t="shared" si="87"/>
        <v>48</v>
      </c>
      <c r="AS94" s="380">
        <f t="shared" si="88"/>
        <v>0</v>
      </c>
      <c r="AT94" s="501">
        <v>1</v>
      </c>
      <c r="AU94" s="502">
        <f t="shared" si="89"/>
        <v>285</v>
      </c>
      <c r="AV94" s="491"/>
      <c r="AW94" s="747">
        <v>1</v>
      </c>
      <c r="AX94" s="471">
        <v>0</v>
      </c>
      <c r="AY94" s="471"/>
      <c r="AZ94" s="471">
        <v>24</v>
      </c>
      <c r="BA94" s="471"/>
      <c r="BB94" s="468" t="s">
        <v>89</v>
      </c>
      <c r="BC94" s="383">
        <f t="shared" si="90"/>
        <v>1</v>
      </c>
      <c r="BD94" s="380">
        <f t="shared" si="91"/>
        <v>285</v>
      </c>
      <c r="BE94" s="383">
        <f t="shared" si="92"/>
        <v>0</v>
      </c>
      <c r="BF94" s="380">
        <f t="shared" si="93"/>
        <v>0</v>
      </c>
      <c r="BG94" s="383">
        <f t="shared" si="94"/>
        <v>1</v>
      </c>
      <c r="BH94" s="380">
        <f t="shared" si="95"/>
        <v>285</v>
      </c>
      <c r="BI94" s="490">
        <v>0</v>
      </c>
      <c r="BJ94" s="506">
        <v>1</v>
      </c>
      <c r="BK94" s="384">
        <f t="shared" si="108"/>
        <v>285</v>
      </c>
      <c r="BL94" s="385">
        <f t="shared" si="109"/>
        <v>0</v>
      </c>
      <c r="BM94" s="468">
        <v>3</v>
      </c>
      <c r="BN94" s="468" t="s">
        <v>290</v>
      </c>
      <c r="BO94" s="383">
        <f t="shared" si="96"/>
        <v>1</v>
      </c>
      <c r="BP94" s="380">
        <f t="shared" si="97"/>
        <v>285</v>
      </c>
      <c r="BQ94" s="385">
        <f t="shared" si="98"/>
        <v>0</v>
      </c>
      <c r="BR94" s="506">
        <v>1</v>
      </c>
      <c r="BS94" s="380">
        <f t="shared" si="99"/>
        <v>285</v>
      </c>
      <c r="BT94" s="468">
        <v>9</v>
      </c>
      <c r="BU94" s="383">
        <f t="shared" si="100"/>
        <v>1</v>
      </c>
      <c r="BV94" s="385">
        <f t="shared" si="101"/>
        <v>0</v>
      </c>
      <c r="BW94" s="494">
        <v>1</v>
      </c>
      <c r="BX94" s="516"/>
      <c r="BY94" s="518">
        <v>41795</v>
      </c>
      <c r="BZ94" s="804"/>
      <c r="CA94" s="807"/>
      <c r="CB94" s="386" t="str">
        <f t="shared" si="102"/>
        <v>To be realised</v>
      </c>
      <c r="CC94" s="468">
        <v>33</v>
      </c>
      <c r="CD94" s="468">
        <v>6</v>
      </c>
      <c r="CE94" s="387">
        <f t="shared" si="103"/>
        <v>48</v>
      </c>
      <c r="CF94" s="388">
        <f t="shared" si="104"/>
        <v>0</v>
      </c>
      <c r="CG94" s="380">
        <f t="shared" si="105"/>
        <v>0</v>
      </c>
      <c r="CH94" s="403">
        <f t="shared" si="106"/>
        <v>9</v>
      </c>
      <c r="CI94" s="484"/>
      <c r="CJ94" s="494"/>
      <c r="CK94" s="405">
        <f t="shared" si="110"/>
        <v>0</v>
      </c>
      <c r="CL94" s="484">
        <v>1</v>
      </c>
      <c r="CM94" s="389" t="str">
        <f t="shared" si="107"/>
        <v>Excellent coverage</v>
      </c>
      <c r="CN94" s="490">
        <v>0</v>
      </c>
      <c r="CO94" s="485" t="s">
        <v>65</v>
      </c>
      <c r="CP94" s="525"/>
    </row>
    <row r="95" spans="2:94" s="40" customFormat="1" ht="30.75" customHeight="1" x14ac:dyDescent="0.2">
      <c r="B95" s="465" t="s">
        <v>183</v>
      </c>
      <c r="C95" s="466" t="s">
        <v>566</v>
      </c>
      <c r="D95" s="467" t="s">
        <v>259</v>
      </c>
      <c r="E95" s="466" t="s">
        <v>189</v>
      </c>
      <c r="F95" s="467">
        <v>97.242360000000005</v>
      </c>
      <c r="G95" s="467">
        <v>24.264130000000002</v>
      </c>
      <c r="H95" s="467" t="s">
        <v>459</v>
      </c>
      <c r="I95" s="467" t="s">
        <v>213</v>
      </c>
      <c r="J95" s="467"/>
      <c r="K95" s="467"/>
      <c r="L95" s="471">
        <v>2</v>
      </c>
      <c r="M95" s="471">
        <v>9</v>
      </c>
      <c r="N95" s="471"/>
      <c r="O95" s="471">
        <v>9</v>
      </c>
      <c r="P95" s="376" t="str">
        <f t="shared" si="74"/>
        <v>1. Small</v>
      </c>
      <c r="Q95" s="717"/>
      <c r="R95" s="472"/>
      <c r="S95" s="479" t="s">
        <v>299</v>
      </c>
      <c r="T95" s="398" t="str">
        <f t="shared" si="75"/>
        <v>Not covered</v>
      </c>
      <c r="U95" s="480"/>
      <c r="V95" s="481" t="s">
        <v>254</v>
      </c>
      <c r="W95" s="395" t="str">
        <f t="shared" si="76"/>
        <v>Not documented</v>
      </c>
      <c r="X95" s="486">
        <v>0</v>
      </c>
      <c r="Y95" s="471">
        <v>0</v>
      </c>
      <c r="Z95" s="800"/>
      <c r="AA95" s="487" t="s">
        <v>19</v>
      </c>
      <c r="AB95" s="486">
        <v>0</v>
      </c>
      <c r="AC95" s="471">
        <v>0</v>
      </c>
      <c r="AD95" s="487">
        <v>0</v>
      </c>
      <c r="AE95" s="495">
        <v>0</v>
      </c>
      <c r="AF95" s="496">
        <v>0</v>
      </c>
      <c r="AG95" s="796"/>
      <c r="AH95" s="401">
        <f t="shared" si="77"/>
        <v>0</v>
      </c>
      <c r="AI95" s="378">
        <f t="shared" si="78"/>
        <v>0</v>
      </c>
      <c r="AJ95" s="379">
        <f t="shared" si="79"/>
        <v>0</v>
      </c>
      <c r="AK95" s="380">
        <f t="shared" si="80"/>
        <v>0</v>
      </c>
      <c r="AL95" s="377">
        <f t="shared" si="81"/>
        <v>0</v>
      </c>
      <c r="AM95" s="380">
        <f t="shared" si="82"/>
        <v>0</v>
      </c>
      <c r="AN95" s="381" t="str">
        <f t="shared" si="83"/>
        <v>0-10%</v>
      </c>
      <c r="AO95" s="377">
        <f t="shared" si="84"/>
        <v>0</v>
      </c>
      <c r="AP95" s="382">
        <f t="shared" si="85"/>
        <v>0</v>
      </c>
      <c r="AQ95" s="380">
        <f t="shared" si="86"/>
        <v>2.2499999999999999E-2</v>
      </c>
      <c r="AR95" s="380">
        <f t="shared" si="87"/>
        <v>0</v>
      </c>
      <c r="AS95" s="380">
        <f t="shared" si="88"/>
        <v>0</v>
      </c>
      <c r="AT95" s="504">
        <v>0</v>
      </c>
      <c r="AU95" s="502">
        <f t="shared" si="89"/>
        <v>0</v>
      </c>
      <c r="AV95" s="496"/>
      <c r="AW95" s="748">
        <v>6</v>
      </c>
      <c r="AX95" s="471">
        <v>0</v>
      </c>
      <c r="AY95" s="471"/>
      <c r="AZ95" s="471">
        <v>0</v>
      </c>
      <c r="BA95" s="471"/>
      <c r="BB95" s="471" t="s">
        <v>89</v>
      </c>
      <c r="BC95" s="383">
        <f t="shared" si="90"/>
        <v>0</v>
      </c>
      <c r="BD95" s="380">
        <f t="shared" si="91"/>
        <v>0</v>
      </c>
      <c r="BE95" s="383">
        <f t="shared" si="92"/>
        <v>0</v>
      </c>
      <c r="BF95" s="380">
        <f t="shared" si="93"/>
        <v>0</v>
      </c>
      <c r="BG95" s="383">
        <f t="shared" si="94"/>
        <v>0</v>
      </c>
      <c r="BH95" s="380">
        <f t="shared" si="95"/>
        <v>0</v>
      </c>
      <c r="BI95" s="509">
        <v>0</v>
      </c>
      <c r="BJ95" s="504">
        <v>0</v>
      </c>
      <c r="BK95" s="384">
        <f t="shared" si="108"/>
        <v>0</v>
      </c>
      <c r="BL95" s="385">
        <f t="shared" si="109"/>
        <v>0.45</v>
      </c>
      <c r="BM95" s="471">
        <v>0</v>
      </c>
      <c r="BN95" s="471" t="s">
        <v>89</v>
      </c>
      <c r="BO95" s="383">
        <f t="shared" si="96"/>
        <v>0</v>
      </c>
      <c r="BP95" s="380">
        <f t="shared" si="97"/>
        <v>0</v>
      </c>
      <c r="BQ95" s="385">
        <f t="shared" si="98"/>
        <v>0.09</v>
      </c>
      <c r="BR95" s="510">
        <v>0</v>
      </c>
      <c r="BS95" s="380">
        <f t="shared" si="99"/>
        <v>0</v>
      </c>
      <c r="BT95" s="471">
        <v>0</v>
      </c>
      <c r="BU95" s="383">
        <f t="shared" si="100"/>
        <v>0</v>
      </c>
      <c r="BV95" s="385">
        <f t="shared" si="101"/>
        <v>0.09</v>
      </c>
      <c r="BW95" s="496">
        <v>0</v>
      </c>
      <c r="BX95" s="517"/>
      <c r="BY95" s="519"/>
      <c r="BZ95" s="803"/>
      <c r="CA95" s="806"/>
      <c r="CB95" s="386" t="str">
        <f t="shared" si="102"/>
        <v>To be realised</v>
      </c>
      <c r="CC95" s="509">
        <v>0</v>
      </c>
      <c r="CD95" s="509">
        <v>0</v>
      </c>
      <c r="CE95" s="387">
        <f t="shared" si="103"/>
        <v>2</v>
      </c>
      <c r="CF95" s="388">
        <f t="shared" si="104"/>
        <v>0</v>
      </c>
      <c r="CG95" s="380">
        <f t="shared" si="105"/>
        <v>0</v>
      </c>
      <c r="CH95" s="403" t="str">
        <f t="shared" si="106"/>
        <v>Column BN to be completed</v>
      </c>
      <c r="CI95" s="521"/>
      <c r="CJ95" s="496">
        <v>0</v>
      </c>
      <c r="CK95" s="405">
        <f t="shared" si="110"/>
        <v>0</v>
      </c>
      <c r="CL95" s="521">
        <v>0</v>
      </c>
      <c r="CM95" s="389" t="str">
        <f t="shared" si="107"/>
        <v>No coverage</v>
      </c>
      <c r="CN95" s="490">
        <v>0</v>
      </c>
      <c r="CO95" s="529" t="s">
        <v>66</v>
      </c>
      <c r="CP95" s="527"/>
    </row>
    <row r="96" spans="2:94" s="40" customFormat="1" ht="30.75" customHeight="1" x14ac:dyDescent="0.25">
      <c r="B96" s="465" t="s">
        <v>183</v>
      </c>
      <c r="C96" s="474" t="s">
        <v>567</v>
      </c>
      <c r="D96" s="467" t="s">
        <v>259</v>
      </c>
      <c r="E96" s="466" t="s">
        <v>217</v>
      </c>
      <c r="F96" s="467">
        <v>97.325019999999995</v>
      </c>
      <c r="G96" s="467">
        <v>24.245100000000001</v>
      </c>
      <c r="H96" s="467" t="s">
        <v>448</v>
      </c>
      <c r="I96" s="467" t="s">
        <v>213</v>
      </c>
      <c r="J96" s="467"/>
      <c r="K96" s="467"/>
      <c r="L96" s="471">
        <v>259</v>
      </c>
      <c r="M96" s="471">
        <v>1134</v>
      </c>
      <c r="N96" s="471"/>
      <c r="O96" s="471">
        <v>1079</v>
      </c>
      <c r="P96" s="376" t="str">
        <f t="shared" si="74"/>
        <v>3. Large</v>
      </c>
      <c r="Q96" s="717" t="s">
        <v>823</v>
      </c>
      <c r="R96" s="472" t="s">
        <v>230</v>
      </c>
      <c r="S96" s="479" t="s">
        <v>232</v>
      </c>
      <c r="T96" s="398" t="str">
        <f t="shared" si="75"/>
        <v>Covered</v>
      </c>
      <c r="U96" s="480">
        <v>42459</v>
      </c>
      <c r="V96" s="481" t="s">
        <v>252</v>
      </c>
      <c r="W96" s="395" t="str">
        <f t="shared" si="76"/>
        <v>Documented</v>
      </c>
      <c r="X96" s="486">
        <v>0</v>
      </c>
      <c r="Y96" s="471">
        <v>0</v>
      </c>
      <c r="Z96" s="800"/>
      <c r="AA96" s="487" t="s">
        <v>19</v>
      </c>
      <c r="AB96" s="486">
        <v>1</v>
      </c>
      <c r="AC96" s="471">
        <v>0</v>
      </c>
      <c r="AD96" s="487">
        <v>52740</v>
      </c>
      <c r="AE96" s="495">
        <v>0.2</v>
      </c>
      <c r="AF96" s="496">
        <v>0.01</v>
      </c>
      <c r="AG96" s="796"/>
      <c r="AH96" s="401">
        <f t="shared" si="77"/>
        <v>1</v>
      </c>
      <c r="AI96" s="378">
        <f t="shared" si="78"/>
        <v>1079</v>
      </c>
      <c r="AJ96" s="379">
        <f t="shared" si="79"/>
        <v>1</v>
      </c>
      <c r="AK96" s="380">
        <f t="shared" si="80"/>
        <v>1079</v>
      </c>
      <c r="AL96" s="377">
        <f t="shared" si="81"/>
        <v>1</v>
      </c>
      <c r="AM96" s="380">
        <f t="shared" si="82"/>
        <v>1079</v>
      </c>
      <c r="AN96" s="381" t="str">
        <f t="shared" si="83"/>
        <v>80-100%</v>
      </c>
      <c r="AO96" s="377">
        <f t="shared" si="84"/>
        <v>0</v>
      </c>
      <c r="AP96" s="382">
        <f t="shared" si="85"/>
        <v>0</v>
      </c>
      <c r="AQ96" s="380">
        <f t="shared" si="86"/>
        <v>1.6974999999999998</v>
      </c>
      <c r="AR96" s="380">
        <f t="shared" si="87"/>
        <v>2.59</v>
      </c>
      <c r="AS96" s="380">
        <f t="shared" si="88"/>
        <v>215.8</v>
      </c>
      <c r="AT96" s="504">
        <v>1</v>
      </c>
      <c r="AU96" s="502">
        <f t="shared" si="89"/>
        <v>1079</v>
      </c>
      <c r="AV96" s="496" t="s">
        <v>830</v>
      </c>
      <c r="AW96" s="748">
        <v>15</v>
      </c>
      <c r="AX96" s="471">
        <v>2</v>
      </c>
      <c r="AY96" s="471"/>
      <c r="AZ96" s="471">
        <v>52</v>
      </c>
      <c r="BA96" s="471"/>
      <c r="BB96" s="471" t="s">
        <v>291</v>
      </c>
      <c r="BC96" s="383">
        <f t="shared" si="90"/>
        <v>1</v>
      </c>
      <c r="BD96" s="380">
        <f t="shared" si="91"/>
        <v>1079</v>
      </c>
      <c r="BE96" s="383">
        <f t="shared" si="92"/>
        <v>3.6144578313253017E-2</v>
      </c>
      <c r="BF96" s="380">
        <f t="shared" si="93"/>
        <v>39.000000000000007</v>
      </c>
      <c r="BG96" s="383">
        <f t="shared" si="94"/>
        <v>0.96385542168674698</v>
      </c>
      <c r="BH96" s="380">
        <f t="shared" si="95"/>
        <v>1040</v>
      </c>
      <c r="BI96" s="509">
        <v>2</v>
      </c>
      <c r="BJ96" s="504">
        <v>1</v>
      </c>
      <c r="BK96" s="384">
        <f t="shared" si="108"/>
        <v>1079</v>
      </c>
      <c r="BL96" s="385">
        <f t="shared" si="109"/>
        <v>3.9500000000000028</v>
      </c>
      <c r="BM96" s="471">
        <v>7</v>
      </c>
      <c r="BN96" s="471" t="s">
        <v>291</v>
      </c>
      <c r="BO96" s="383">
        <f t="shared" si="96"/>
        <v>0.64874884151992585</v>
      </c>
      <c r="BP96" s="380">
        <f t="shared" si="97"/>
        <v>700</v>
      </c>
      <c r="BQ96" s="385">
        <f t="shared" si="98"/>
        <v>4.34</v>
      </c>
      <c r="BR96" s="510">
        <v>0.65</v>
      </c>
      <c r="BS96" s="380">
        <f t="shared" si="99"/>
        <v>701.35</v>
      </c>
      <c r="BT96" s="471">
        <v>15</v>
      </c>
      <c r="BU96" s="383">
        <f t="shared" si="100"/>
        <v>1</v>
      </c>
      <c r="BV96" s="385">
        <f t="shared" si="101"/>
        <v>0</v>
      </c>
      <c r="BW96" s="496">
        <v>1</v>
      </c>
      <c r="BX96" s="517" t="s">
        <v>881</v>
      </c>
      <c r="BY96" s="519">
        <v>41768</v>
      </c>
      <c r="BZ96" s="803"/>
      <c r="CA96" s="806"/>
      <c r="CB96" s="386" t="str">
        <f t="shared" si="102"/>
        <v>To be realised</v>
      </c>
      <c r="CC96" s="509">
        <v>153</v>
      </c>
      <c r="CD96" s="509">
        <v>6</v>
      </c>
      <c r="CE96" s="387">
        <f t="shared" si="103"/>
        <v>259</v>
      </c>
      <c r="CF96" s="388">
        <f t="shared" si="104"/>
        <v>0</v>
      </c>
      <c r="CG96" s="380">
        <f t="shared" si="105"/>
        <v>0</v>
      </c>
      <c r="CH96" s="403">
        <f t="shared" si="106"/>
        <v>10</v>
      </c>
      <c r="CI96" s="521"/>
      <c r="CJ96" s="496">
        <v>0.85</v>
      </c>
      <c r="CK96" s="405">
        <f t="shared" si="110"/>
        <v>917.15</v>
      </c>
      <c r="CL96" s="521">
        <v>2</v>
      </c>
      <c r="CM96" s="389" t="str">
        <f t="shared" si="107"/>
        <v>Good coverage</v>
      </c>
      <c r="CN96" s="490">
        <v>0</v>
      </c>
      <c r="CO96" s="529" t="s">
        <v>65</v>
      </c>
      <c r="CP96" s="528"/>
    </row>
    <row r="97" spans="2:94" s="40" customFormat="1" ht="30.75" customHeight="1" x14ac:dyDescent="0.2">
      <c r="B97" s="465" t="s">
        <v>183</v>
      </c>
      <c r="C97" s="466" t="s">
        <v>570</v>
      </c>
      <c r="D97" s="467" t="s">
        <v>259</v>
      </c>
      <c r="E97" s="466" t="s">
        <v>464</v>
      </c>
      <c r="F97" s="467">
        <v>97.337649999999996</v>
      </c>
      <c r="G97" s="467">
        <v>24.242049999999999</v>
      </c>
      <c r="H97" s="467" t="s">
        <v>448</v>
      </c>
      <c r="I97" s="467" t="s">
        <v>213</v>
      </c>
      <c r="J97" s="467"/>
      <c r="K97" s="467"/>
      <c r="L97" s="468">
        <v>75</v>
      </c>
      <c r="M97" s="468">
        <v>406</v>
      </c>
      <c r="N97" s="468"/>
      <c r="O97" s="468">
        <v>406</v>
      </c>
      <c r="P97" s="376" t="str">
        <f t="shared" si="74"/>
        <v>2. Medium</v>
      </c>
      <c r="Q97" s="717" t="s">
        <v>253</v>
      </c>
      <c r="R97" s="469" t="s">
        <v>234</v>
      </c>
      <c r="S97" s="477" t="s">
        <v>299</v>
      </c>
      <c r="T97" s="398" t="str">
        <f t="shared" si="75"/>
        <v>Not covered</v>
      </c>
      <c r="U97" s="478" t="s">
        <v>626</v>
      </c>
      <c r="V97" s="469" t="s">
        <v>252</v>
      </c>
      <c r="W97" s="395" t="str">
        <f t="shared" si="76"/>
        <v>Documented</v>
      </c>
      <c r="X97" s="484">
        <v>0</v>
      </c>
      <c r="Y97" s="468">
        <v>0</v>
      </c>
      <c r="Z97" s="801"/>
      <c r="AA97" s="485" t="s">
        <v>19</v>
      </c>
      <c r="AB97" s="484">
        <v>0</v>
      </c>
      <c r="AC97" s="490">
        <v>0</v>
      </c>
      <c r="AD97" s="491">
        <v>7200</v>
      </c>
      <c r="AE97" s="497">
        <v>1</v>
      </c>
      <c r="AF97" s="498">
        <v>1</v>
      </c>
      <c r="AG97" s="797"/>
      <c r="AH97" s="401">
        <f t="shared" si="77"/>
        <v>1</v>
      </c>
      <c r="AI97" s="378">
        <f t="shared" si="78"/>
        <v>406</v>
      </c>
      <c r="AJ97" s="379">
        <f t="shared" si="79"/>
        <v>1</v>
      </c>
      <c r="AK97" s="380">
        <f t="shared" si="80"/>
        <v>406</v>
      </c>
      <c r="AL97" s="377">
        <f t="shared" si="81"/>
        <v>1</v>
      </c>
      <c r="AM97" s="380">
        <f t="shared" si="82"/>
        <v>406</v>
      </c>
      <c r="AN97" s="381" t="str">
        <f t="shared" si="83"/>
        <v>80-100%</v>
      </c>
      <c r="AO97" s="377">
        <f t="shared" si="84"/>
        <v>0</v>
      </c>
      <c r="AP97" s="382">
        <f t="shared" si="85"/>
        <v>0</v>
      </c>
      <c r="AQ97" s="380">
        <f t="shared" si="86"/>
        <v>1.0149999999999999</v>
      </c>
      <c r="AR97" s="380">
        <f t="shared" si="87"/>
        <v>75</v>
      </c>
      <c r="AS97" s="380">
        <f t="shared" si="88"/>
        <v>406</v>
      </c>
      <c r="AT97" s="501">
        <v>1</v>
      </c>
      <c r="AU97" s="502">
        <f t="shared" si="89"/>
        <v>406</v>
      </c>
      <c r="AV97" s="491" t="s">
        <v>833</v>
      </c>
      <c r="AW97" s="747">
        <v>33</v>
      </c>
      <c r="AX97" s="468">
        <v>0</v>
      </c>
      <c r="AY97" s="468"/>
      <c r="AZ97" s="468">
        <v>18</v>
      </c>
      <c r="BA97" s="468"/>
      <c r="BB97" s="468" t="s">
        <v>291</v>
      </c>
      <c r="BC97" s="383">
        <f t="shared" si="90"/>
        <v>0.88669950738916259</v>
      </c>
      <c r="BD97" s="380">
        <f t="shared" si="91"/>
        <v>360</v>
      </c>
      <c r="BE97" s="383">
        <f t="shared" si="92"/>
        <v>0</v>
      </c>
      <c r="BF97" s="380">
        <f t="shared" si="93"/>
        <v>0</v>
      </c>
      <c r="BG97" s="383">
        <f t="shared" si="94"/>
        <v>0.88669950738916259</v>
      </c>
      <c r="BH97" s="380">
        <f t="shared" si="95"/>
        <v>360</v>
      </c>
      <c r="BI97" s="490">
        <v>0</v>
      </c>
      <c r="BJ97" s="506">
        <v>0.89</v>
      </c>
      <c r="BK97" s="384">
        <f t="shared" si="108"/>
        <v>361.34000000000003</v>
      </c>
      <c r="BL97" s="385">
        <f t="shared" si="109"/>
        <v>2.3000000000000007</v>
      </c>
      <c r="BM97" s="468">
        <v>3</v>
      </c>
      <c r="BN97" s="468" t="s">
        <v>290</v>
      </c>
      <c r="BO97" s="383">
        <f t="shared" si="96"/>
        <v>0.73891625615763545</v>
      </c>
      <c r="BP97" s="380">
        <f t="shared" si="97"/>
        <v>300</v>
      </c>
      <c r="BQ97" s="385">
        <f t="shared" si="98"/>
        <v>1.0599999999999996</v>
      </c>
      <c r="BR97" s="506">
        <v>0.74</v>
      </c>
      <c r="BS97" s="380">
        <f t="shared" si="99"/>
        <v>300.44</v>
      </c>
      <c r="BT97" s="468">
        <v>6</v>
      </c>
      <c r="BU97" s="383">
        <f t="shared" si="100"/>
        <v>1</v>
      </c>
      <c r="BV97" s="385">
        <f t="shared" si="101"/>
        <v>0</v>
      </c>
      <c r="BW97" s="494">
        <v>1</v>
      </c>
      <c r="BX97" s="516"/>
      <c r="BY97" s="518">
        <v>41745</v>
      </c>
      <c r="BZ97" s="804"/>
      <c r="CA97" s="807"/>
      <c r="CB97" s="386" t="str">
        <f t="shared" si="102"/>
        <v>To be realised</v>
      </c>
      <c r="CC97" s="468">
        <v>9</v>
      </c>
      <c r="CD97" s="468">
        <v>6</v>
      </c>
      <c r="CE97" s="387">
        <f t="shared" si="103"/>
        <v>75</v>
      </c>
      <c r="CF97" s="388">
        <f t="shared" si="104"/>
        <v>0</v>
      </c>
      <c r="CG97" s="380">
        <f t="shared" si="105"/>
        <v>0</v>
      </c>
      <c r="CH97" s="403">
        <f t="shared" si="106"/>
        <v>11</v>
      </c>
      <c r="CI97" s="484"/>
      <c r="CJ97" s="494"/>
      <c r="CK97" s="405">
        <f t="shared" si="110"/>
        <v>0</v>
      </c>
      <c r="CL97" s="484">
        <v>3</v>
      </c>
      <c r="CM97" s="389" t="str">
        <f t="shared" si="107"/>
        <v>Excellent coverage</v>
      </c>
      <c r="CN97" s="490">
        <v>0</v>
      </c>
      <c r="CO97" s="485" t="s">
        <v>65</v>
      </c>
      <c r="CP97" s="525"/>
    </row>
    <row r="98" spans="2:94" s="40" customFormat="1" ht="30.75" customHeight="1" x14ac:dyDescent="0.2">
      <c r="B98" s="465" t="s">
        <v>183</v>
      </c>
      <c r="C98" s="466" t="s">
        <v>568</v>
      </c>
      <c r="D98" s="467" t="s">
        <v>259</v>
      </c>
      <c r="E98" s="466" t="s">
        <v>190</v>
      </c>
      <c r="F98" s="467">
        <v>97.321659999999994</v>
      </c>
      <c r="G98" s="467">
        <v>24.41</v>
      </c>
      <c r="H98" s="467" t="s">
        <v>459</v>
      </c>
      <c r="I98" s="467" t="s">
        <v>213</v>
      </c>
      <c r="J98" s="467"/>
      <c r="K98" s="467"/>
      <c r="L98" s="471">
        <v>28</v>
      </c>
      <c r="M98" s="471">
        <v>136</v>
      </c>
      <c r="N98" s="471"/>
      <c r="O98" s="471">
        <v>136</v>
      </c>
      <c r="P98" s="376" t="str">
        <f t="shared" si="74"/>
        <v>1. Small</v>
      </c>
      <c r="Q98" s="717"/>
      <c r="R98" s="472"/>
      <c r="S98" s="479" t="s">
        <v>299</v>
      </c>
      <c r="T98" s="398" t="str">
        <f t="shared" si="75"/>
        <v>Not covered</v>
      </c>
      <c r="U98" s="480"/>
      <c r="V98" s="481" t="s">
        <v>254</v>
      </c>
      <c r="W98" s="395" t="str">
        <f t="shared" si="76"/>
        <v>Not documented</v>
      </c>
      <c r="X98" s="486">
        <v>0</v>
      </c>
      <c r="Y98" s="471">
        <v>0</v>
      </c>
      <c r="Z98" s="800"/>
      <c r="AA98" s="487" t="s">
        <v>19</v>
      </c>
      <c r="AB98" s="486">
        <v>0</v>
      </c>
      <c r="AC98" s="471">
        <v>0</v>
      </c>
      <c r="AD98" s="487">
        <v>0</v>
      </c>
      <c r="AE98" s="495">
        <v>0</v>
      </c>
      <c r="AF98" s="496">
        <v>0</v>
      </c>
      <c r="AG98" s="796"/>
      <c r="AH98" s="401">
        <f t="shared" si="77"/>
        <v>0</v>
      </c>
      <c r="AI98" s="378">
        <f t="shared" si="78"/>
        <v>0</v>
      </c>
      <c r="AJ98" s="379">
        <f t="shared" si="79"/>
        <v>0</v>
      </c>
      <c r="AK98" s="380">
        <f t="shared" si="80"/>
        <v>0</v>
      </c>
      <c r="AL98" s="377">
        <f t="shared" si="81"/>
        <v>0</v>
      </c>
      <c r="AM98" s="380">
        <f t="shared" si="82"/>
        <v>0</v>
      </c>
      <c r="AN98" s="381" t="str">
        <f t="shared" si="83"/>
        <v>0-10%</v>
      </c>
      <c r="AO98" s="377">
        <f t="shared" si="84"/>
        <v>0</v>
      </c>
      <c r="AP98" s="382">
        <f t="shared" si="85"/>
        <v>0</v>
      </c>
      <c r="AQ98" s="380">
        <f t="shared" si="86"/>
        <v>0.34</v>
      </c>
      <c r="AR98" s="380">
        <f t="shared" si="87"/>
        <v>0</v>
      </c>
      <c r="AS98" s="380">
        <f t="shared" si="88"/>
        <v>0</v>
      </c>
      <c r="AT98" s="504">
        <v>0</v>
      </c>
      <c r="AU98" s="502">
        <f t="shared" si="89"/>
        <v>0</v>
      </c>
      <c r="AV98" s="496"/>
      <c r="AW98" s="748">
        <v>14</v>
      </c>
      <c r="AX98" s="471">
        <v>0</v>
      </c>
      <c r="AY98" s="471"/>
      <c r="AZ98" s="471">
        <v>0</v>
      </c>
      <c r="BA98" s="471"/>
      <c r="BB98" s="471" t="s">
        <v>89</v>
      </c>
      <c r="BC98" s="383">
        <f t="shared" si="90"/>
        <v>0</v>
      </c>
      <c r="BD98" s="380">
        <f t="shared" si="91"/>
        <v>0</v>
      </c>
      <c r="BE98" s="383">
        <f t="shared" si="92"/>
        <v>0</v>
      </c>
      <c r="BF98" s="380">
        <f t="shared" si="93"/>
        <v>0</v>
      </c>
      <c r="BG98" s="383">
        <f t="shared" si="94"/>
        <v>0</v>
      </c>
      <c r="BH98" s="380">
        <f t="shared" si="95"/>
        <v>0</v>
      </c>
      <c r="BI98" s="509">
        <v>0</v>
      </c>
      <c r="BJ98" s="504">
        <v>0</v>
      </c>
      <c r="BK98" s="384">
        <f t="shared" si="108"/>
        <v>0</v>
      </c>
      <c r="BL98" s="385">
        <f t="shared" si="109"/>
        <v>6.8</v>
      </c>
      <c r="BM98" s="471">
        <v>0</v>
      </c>
      <c r="BN98" s="471" t="s">
        <v>89</v>
      </c>
      <c r="BO98" s="383">
        <f t="shared" si="96"/>
        <v>0</v>
      </c>
      <c r="BP98" s="380">
        <f t="shared" si="97"/>
        <v>0</v>
      </c>
      <c r="BQ98" s="385">
        <f t="shared" si="98"/>
        <v>1.36</v>
      </c>
      <c r="BR98" s="510">
        <v>0</v>
      </c>
      <c r="BS98" s="380">
        <f t="shared" si="99"/>
        <v>0</v>
      </c>
      <c r="BT98" s="471">
        <v>0</v>
      </c>
      <c r="BU98" s="383">
        <f t="shared" si="100"/>
        <v>0</v>
      </c>
      <c r="BV98" s="385">
        <f t="shared" si="101"/>
        <v>1.36</v>
      </c>
      <c r="BW98" s="496">
        <v>0</v>
      </c>
      <c r="BX98" s="517"/>
      <c r="BY98" s="519"/>
      <c r="BZ98" s="803"/>
      <c r="CA98" s="806"/>
      <c r="CB98" s="386" t="str">
        <f t="shared" si="102"/>
        <v>To be realised</v>
      </c>
      <c r="CC98" s="509">
        <v>0</v>
      </c>
      <c r="CD98" s="509">
        <v>0</v>
      </c>
      <c r="CE98" s="387">
        <f t="shared" si="103"/>
        <v>28</v>
      </c>
      <c r="CF98" s="388">
        <f t="shared" si="104"/>
        <v>0</v>
      </c>
      <c r="CG98" s="380">
        <f t="shared" si="105"/>
        <v>0</v>
      </c>
      <c r="CH98" s="403" t="str">
        <f t="shared" si="106"/>
        <v>Column BN to be completed</v>
      </c>
      <c r="CI98" s="521"/>
      <c r="CJ98" s="496">
        <v>0</v>
      </c>
      <c r="CK98" s="405">
        <f t="shared" si="110"/>
        <v>0</v>
      </c>
      <c r="CL98" s="521">
        <v>0</v>
      </c>
      <c r="CM98" s="389" t="str">
        <f t="shared" si="107"/>
        <v>No coverage</v>
      </c>
      <c r="CN98" s="490">
        <v>0</v>
      </c>
      <c r="CO98" s="529" t="s">
        <v>66</v>
      </c>
      <c r="CP98" s="527"/>
    </row>
    <row r="99" spans="2:94" s="40" customFormat="1" ht="30.75" customHeight="1" x14ac:dyDescent="0.25">
      <c r="B99" s="465" t="s">
        <v>183</v>
      </c>
      <c r="C99" s="466" t="s">
        <v>569</v>
      </c>
      <c r="D99" s="467" t="s">
        <v>259</v>
      </c>
      <c r="E99" s="466" t="s">
        <v>191</v>
      </c>
      <c r="F99" s="467">
        <v>97.346940000000004</v>
      </c>
      <c r="G99" s="467">
        <v>24.251860000000001</v>
      </c>
      <c r="H99" s="467" t="s">
        <v>448</v>
      </c>
      <c r="I99" s="467" t="s">
        <v>213</v>
      </c>
      <c r="J99" s="467"/>
      <c r="K99" s="467"/>
      <c r="L99" s="471">
        <v>4</v>
      </c>
      <c r="M99" s="471">
        <v>17</v>
      </c>
      <c r="N99" s="471"/>
      <c r="O99" s="471">
        <v>17</v>
      </c>
      <c r="P99" s="376" t="str">
        <f t="shared" si="74"/>
        <v>1. Small</v>
      </c>
      <c r="Q99" s="717" t="s">
        <v>823</v>
      </c>
      <c r="R99" s="472" t="s">
        <v>275</v>
      </c>
      <c r="S99" s="479" t="s">
        <v>232</v>
      </c>
      <c r="T99" s="398" t="str">
        <f t="shared" si="75"/>
        <v>Covered</v>
      </c>
      <c r="U99" s="480">
        <v>42459</v>
      </c>
      <c r="V99" s="481" t="s">
        <v>252</v>
      </c>
      <c r="W99" s="395" t="str">
        <f t="shared" si="76"/>
        <v>Documented</v>
      </c>
      <c r="X99" s="486">
        <v>0</v>
      </c>
      <c r="Y99" s="471">
        <v>0</v>
      </c>
      <c r="Z99" s="800"/>
      <c r="AA99" s="487" t="s">
        <v>19</v>
      </c>
      <c r="AB99" s="486">
        <v>2</v>
      </c>
      <c r="AC99" s="471">
        <v>0</v>
      </c>
      <c r="AD99" s="487">
        <v>720</v>
      </c>
      <c r="AE99" s="495">
        <v>0</v>
      </c>
      <c r="AF99" s="496">
        <v>0.5</v>
      </c>
      <c r="AG99" s="796"/>
      <c r="AH99" s="401">
        <f t="shared" si="77"/>
        <v>1</v>
      </c>
      <c r="AI99" s="378">
        <f t="shared" si="78"/>
        <v>17</v>
      </c>
      <c r="AJ99" s="379">
        <f t="shared" si="79"/>
        <v>1</v>
      </c>
      <c r="AK99" s="380">
        <f t="shared" si="80"/>
        <v>17</v>
      </c>
      <c r="AL99" s="377">
        <f t="shared" si="81"/>
        <v>1</v>
      </c>
      <c r="AM99" s="380">
        <f t="shared" si="82"/>
        <v>17</v>
      </c>
      <c r="AN99" s="381" t="str">
        <f t="shared" si="83"/>
        <v>80-100%</v>
      </c>
      <c r="AO99" s="377">
        <f t="shared" si="84"/>
        <v>0</v>
      </c>
      <c r="AP99" s="382">
        <f t="shared" si="85"/>
        <v>0</v>
      </c>
      <c r="AQ99" s="380">
        <f t="shared" si="86"/>
        <v>0</v>
      </c>
      <c r="AR99" s="380">
        <f t="shared" si="87"/>
        <v>2</v>
      </c>
      <c r="AS99" s="380">
        <f t="shared" si="88"/>
        <v>0</v>
      </c>
      <c r="AT99" s="504">
        <v>1</v>
      </c>
      <c r="AU99" s="502">
        <f t="shared" si="89"/>
        <v>17</v>
      </c>
      <c r="AV99" s="496"/>
      <c r="AW99" s="748">
        <v>2</v>
      </c>
      <c r="AX99" s="471">
        <v>0</v>
      </c>
      <c r="AY99" s="471"/>
      <c r="AZ99" s="471">
        <v>5</v>
      </c>
      <c r="BA99" s="471"/>
      <c r="BB99" s="471" t="s">
        <v>290</v>
      </c>
      <c r="BC99" s="383">
        <f t="shared" si="90"/>
        <v>1</v>
      </c>
      <c r="BD99" s="380">
        <f t="shared" si="91"/>
        <v>17</v>
      </c>
      <c r="BE99" s="383">
        <f t="shared" si="92"/>
        <v>0</v>
      </c>
      <c r="BF99" s="380">
        <f t="shared" si="93"/>
        <v>0</v>
      </c>
      <c r="BG99" s="383">
        <f t="shared" si="94"/>
        <v>1</v>
      </c>
      <c r="BH99" s="380">
        <f t="shared" si="95"/>
        <v>17</v>
      </c>
      <c r="BI99" s="509">
        <v>0</v>
      </c>
      <c r="BJ99" s="504">
        <v>1</v>
      </c>
      <c r="BK99" s="384">
        <f t="shared" si="108"/>
        <v>17</v>
      </c>
      <c r="BL99" s="385">
        <f t="shared" si="109"/>
        <v>0</v>
      </c>
      <c r="BM99" s="471">
        <v>2</v>
      </c>
      <c r="BN99" s="471" t="s">
        <v>290</v>
      </c>
      <c r="BO99" s="383">
        <f t="shared" si="96"/>
        <v>1</v>
      </c>
      <c r="BP99" s="380">
        <f t="shared" si="97"/>
        <v>17</v>
      </c>
      <c r="BQ99" s="385">
        <f t="shared" si="98"/>
        <v>0</v>
      </c>
      <c r="BR99" s="510">
        <v>1</v>
      </c>
      <c r="BS99" s="380">
        <f t="shared" si="99"/>
        <v>17</v>
      </c>
      <c r="BT99" s="471">
        <v>1</v>
      </c>
      <c r="BU99" s="383">
        <f t="shared" si="100"/>
        <v>1</v>
      </c>
      <c r="BV99" s="385">
        <f t="shared" si="101"/>
        <v>0</v>
      </c>
      <c r="BW99" s="496">
        <v>1</v>
      </c>
      <c r="BX99" s="517"/>
      <c r="BY99" s="519">
        <v>41771</v>
      </c>
      <c r="BZ99" s="803"/>
      <c r="CA99" s="806"/>
      <c r="CB99" s="386" t="str">
        <f t="shared" si="102"/>
        <v>To be realised</v>
      </c>
      <c r="CC99" s="509">
        <v>4</v>
      </c>
      <c r="CD99" s="509">
        <v>6</v>
      </c>
      <c r="CE99" s="387">
        <f t="shared" si="103"/>
        <v>4</v>
      </c>
      <c r="CF99" s="388">
        <f t="shared" si="104"/>
        <v>0</v>
      </c>
      <c r="CG99" s="380">
        <f t="shared" si="105"/>
        <v>0</v>
      </c>
      <c r="CH99" s="403">
        <f t="shared" si="106"/>
        <v>10</v>
      </c>
      <c r="CI99" s="521"/>
      <c r="CJ99" s="496">
        <v>0.8</v>
      </c>
      <c r="CK99" s="405">
        <f t="shared" si="110"/>
        <v>13.600000000000001</v>
      </c>
      <c r="CL99" s="521">
        <v>1</v>
      </c>
      <c r="CM99" s="389" t="str">
        <f t="shared" si="107"/>
        <v>Excellent coverage</v>
      </c>
      <c r="CN99" s="490">
        <v>0</v>
      </c>
      <c r="CO99" s="529" t="s">
        <v>65</v>
      </c>
      <c r="CP99" s="528"/>
    </row>
    <row r="100" spans="2:94" s="40" customFormat="1" ht="30.75" customHeight="1" x14ac:dyDescent="0.25">
      <c r="B100" s="465" t="s">
        <v>183</v>
      </c>
      <c r="C100" s="466" t="s">
        <v>570</v>
      </c>
      <c r="D100" s="467" t="s">
        <v>259</v>
      </c>
      <c r="E100" s="466" t="s">
        <v>192</v>
      </c>
      <c r="F100" s="467">
        <v>97.344359999999995</v>
      </c>
      <c r="G100" s="467">
        <v>24.250689999999999</v>
      </c>
      <c r="H100" s="467" t="s">
        <v>448</v>
      </c>
      <c r="I100" s="467" t="s">
        <v>213</v>
      </c>
      <c r="J100" s="467"/>
      <c r="K100" s="467"/>
      <c r="L100" s="471">
        <v>182</v>
      </c>
      <c r="M100" s="471">
        <v>739</v>
      </c>
      <c r="N100" s="471"/>
      <c r="O100" s="471">
        <v>727</v>
      </c>
      <c r="P100" s="376" t="str">
        <f t="shared" si="74"/>
        <v>2. Medium</v>
      </c>
      <c r="Q100" s="717" t="s">
        <v>823</v>
      </c>
      <c r="R100" s="472" t="s">
        <v>234</v>
      </c>
      <c r="S100" s="479" t="s">
        <v>232</v>
      </c>
      <c r="T100" s="398" t="str">
        <f t="shared" si="75"/>
        <v>Covered</v>
      </c>
      <c r="U100" s="480">
        <v>42459</v>
      </c>
      <c r="V100" s="481" t="s">
        <v>252</v>
      </c>
      <c r="W100" s="395" t="str">
        <f t="shared" si="76"/>
        <v>Documented</v>
      </c>
      <c r="X100" s="486">
        <v>0</v>
      </c>
      <c r="Y100" s="471">
        <v>0</v>
      </c>
      <c r="Z100" s="800"/>
      <c r="AA100" s="487" t="s">
        <v>19</v>
      </c>
      <c r="AB100" s="486">
        <v>1</v>
      </c>
      <c r="AC100" s="471">
        <v>0</v>
      </c>
      <c r="AD100" s="487">
        <v>15020</v>
      </c>
      <c r="AE100" s="495">
        <v>0.1</v>
      </c>
      <c r="AF100" s="496">
        <v>0.01</v>
      </c>
      <c r="AG100" s="796"/>
      <c r="AH100" s="401">
        <f t="shared" si="77"/>
        <v>1</v>
      </c>
      <c r="AI100" s="378">
        <f t="shared" si="78"/>
        <v>727</v>
      </c>
      <c r="AJ100" s="379">
        <f t="shared" si="79"/>
        <v>1</v>
      </c>
      <c r="AK100" s="380">
        <f t="shared" si="80"/>
        <v>727</v>
      </c>
      <c r="AL100" s="377">
        <f t="shared" si="81"/>
        <v>1</v>
      </c>
      <c r="AM100" s="380">
        <f t="shared" si="82"/>
        <v>727</v>
      </c>
      <c r="AN100" s="381" t="str">
        <f t="shared" si="83"/>
        <v>80-100%</v>
      </c>
      <c r="AO100" s="377">
        <f t="shared" si="84"/>
        <v>0</v>
      </c>
      <c r="AP100" s="382">
        <f t="shared" si="85"/>
        <v>0</v>
      </c>
      <c r="AQ100" s="380">
        <f t="shared" si="86"/>
        <v>0.81749999999999989</v>
      </c>
      <c r="AR100" s="380">
        <f t="shared" si="87"/>
        <v>1.82</v>
      </c>
      <c r="AS100" s="380">
        <f t="shared" si="88"/>
        <v>72.7</v>
      </c>
      <c r="AT100" s="504">
        <v>1</v>
      </c>
      <c r="AU100" s="502">
        <f t="shared" si="89"/>
        <v>727</v>
      </c>
      <c r="AV100" s="496" t="s">
        <v>831</v>
      </c>
      <c r="AW100" s="748">
        <v>2</v>
      </c>
      <c r="AX100" s="471">
        <v>13</v>
      </c>
      <c r="AY100" s="471"/>
      <c r="AZ100" s="471">
        <v>10</v>
      </c>
      <c r="BA100" s="471"/>
      <c r="BB100" s="471" t="s">
        <v>289</v>
      </c>
      <c r="BC100" s="383">
        <f t="shared" si="90"/>
        <v>0.6327372764786795</v>
      </c>
      <c r="BD100" s="380">
        <f t="shared" si="91"/>
        <v>460</v>
      </c>
      <c r="BE100" s="383">
        <f t="shared" si="92"/>
        <v>0.35763411279229712</v>
      </c>
      <c r="BF100" s="380">
        <f t="shared" si="93"/>
        <v>260</v>
      </c>
      <c r="BG100" s="383">
        <f t="shared" si="94"/>
        <v>0.27510316368638238</v>
      </c>
      <c r="BH100" s="380">
        <f t="shared" si="95"/>
        <v>200</v>
      </c>
      <c r="BI100" s="509">
        <v>0</v>
      </c>
      <c r="BJ100" s="504">
        <v>0.63</v>
      </c>
      <c r="BK100" s="384">
        <f t="shared" si="108"/>
        <v>458.01</v>
      </c>
      <c r="BL100" s="385">
        <f t="shared" si="109"/>
        <v>26.35</v>
      </c>
      <c r="BM100" s="471">
        <v>4</v>
      </c>
      <c r="BN100" s="471" t="s">
        <v>290</v>
      </c>
      <c r="BO100" s="383">
        <f t="shared" si="96"/>
        <v>0.55020632737276476</v>
      </c>
      <c r="BP100" s="380">
        <f t="shared" si="97"/>
        <v>400</v>
      </c>
      <c r="BQ100" s="385">
        <f t="shared" si="98"/>
        <v>3.3899999999999997</v>
      </c>
      <c r="BR100" s="510">
        <v>0.55000000000000004</v>
      </c>
      <c r="BS100" s="380">
        <f t="shared" si="99"/>
        <v>399.85</v>
      </c>
      <c r="BT100" s="471">
        <v>6</v>
      </c>
      <c r="BU100" s="383">
        <f t="shared" si="100"/>
        <v>0.82530949105914719</v>
      </c>
      <c r="BV100" s="385">
        <f t="shared" si="101"/>
        <v>1.3899999999999997</v>
      </c>
      <c r="BW100" s="496">
        <v>0.83</v>
      </c>
      <c r="BX100" s="517" t="s">
        <v>880</v>
      </c>
      <c r="BY100" s="519">
        <v>41768</v>
      </c>
      <c r="BZ100" s="803"/>
      <c r="CA100" s="806"/>
      <c r="CB100" s="386" t="str">
        <f t="shared" si="102"/>
        <v>To be realised</v>
      </c>
      <c r="CC100" s="509">
        <v>209</v>
      </c>
      <c r="CD100" s="509">
        <v>6</v>
      </c>
      <c r="CE100" s="387">
        <f t="shared" si="103"/>
        <v>182</v>
      </c>
      <c r="CF100" s="388">
        <f t="shared" si="104"/>
        <v>0</v>
      </c>
      <c r="CG100" s="380">
        <f t="shared" si="105"/>
        <v>0</v>
      </c>
      <c r="CH100" s="403">
        <f t="shared" si="106"/>
        <v>10</v>
      </c>
      <c r="CI100" s="521"/>
      <c r="CJ100" s="496">
        <v>0.75</v>
      </c>
      <c r="CK100" s="405">
        <f t="shared" si="110"/>
        <v>545.25</v>
      </c>
      <c r="CL100" s="521">
        <v>1</v>
      </c>
      <c r="CM100" s="389" t="str">
        <f t="shared" si="107"/>
        <v>Good coverage</v>
      </c>
      <c r="CN100" s="490">
        <v>0</v>
      </c>
      <c r="CO100" s="529" t="s">
        <v>292</v>
      </c>
      <c r="CP100" s="528"/>
    </row>
    <row r="101" spans="2:94" s="40" customFormat="1" ht="30.75" customHeight="1" x14ac:dyDescent="0.2">
      <c r="B101" s="465" t="s">
        <v>183</v>
      </c>
      <c r="C101" s="466" t="s">
        <v>559</v>
      </c>
      <c r="D101" s="467" t="s">
        <v>259</v>
      </c>
      <c r="E101" s="466" t="s">
        <v>719</v>
      </c>
      <c r="F101" s="467">
        <v>97.344350000000006</v>
      </c>
      <c r="G101" s="467">
        <v>24.25067</v>
      </c>
      <c r="H101" s="467" t="s">
        <v>459</v>
      </c>
      <c r="I101" s="467" t="s">
        <v>213</v>
      </c>
      <c r="J101" s="467"/>
      <c r="K101" s="467"/>
      <c r="L101" s="471">
        <v>394</v>
      </c>
      <c r="M101" s="471">
        <v>1504</v>
      </c>
      <c r="N101" s="471"/>
      <c r="O101" s="468">
        <v>1504</v>
      </c>
      <c r="P101" s="376" t="str">
        <f t="shared" ref="P101:P132" si="111">IF(L101&gt;50,IF(L101&gt;250,IF(L101&gt;500,IF(L101&gt;1000,"5. Massive","4. Big"),"3. Large"),"2. Medium"),"1. Small")</f>
        <v>3. Large</v>
      </c>
      <c r="Q101" s="717" t="s">
        <v>322</v>
      </c>
      <c r="R101" s="469"/>
      <c r="S101" s="477" t="s">
        <v>299</v>
      </c>
      <c r="T101" s="398" t="str">
        <f t="shared" ref="T101:T132" si="112">IF(S101="None","Not covered","Covered")</f>
        <v>Not covered</v>
      </c>
      <c r="U101" s="478" t="s">
        <v>626</v>
      </c>
      <c r="V101" s="469" t="s">
        <v>252</v>
      </c>
      <c r="W101" s="395" t="str">
        <f t="shared" ref="W101:W132" si="113">IF(V101="Not documented","Not documented","Documented")</f>
        <v>Documented</v>
      </c>
      <c r="X101" s="484">
        <v>0</v>
      </c>
      <c r="Y101" s="468">
        <v>0</v>
      </c>
      <c r="Z101" s="801"/>
      <c r="AA101" s="485" t="s">
        <v>19</v>
      </c>
      <c r="AB101" s="484">
        <v>150</v>
      </c>
      <c r="AC101" s="490">
        <v>63</v>
      </c>
      <c r="AD101" s="491">
        <v>0</v>
      </c>
      <c r="AE101" s="497">
        <v>0</v>
      </c>
      <c r="AF101" s="498">
        <v>0</v>
      </c>
      <c r="AG101" s="797"/>
      <c r="AH101" s="401">
        <f t="shared" ref="AH101:AH132" si="114">IF((((X101/15)+((Y101/30)/15)+AB101*400+AC101*500+(AD101/15))/O101)&gt;1,1,(((X101/15)+((Y101/30)/15)+AB101*400+AC101*500+(AD101/15))/O101))</f>
        <v>1</v>
      </c>
      <c r="AI101" s="378">
        <f t="shared" ref="AI101:AI132" si="115">AH101*O101</f>
        <v>1504</v>
      </c>
      <c r="AJ101" s="379">
        <f t="shared" ref="AJ101:AJ132" si="116">IF(((AB101*400+AC101*500+(AD101/15))/O101)&gt;1,1,(AB101*400+AC101*500+(AD101/15))/O101)</f>
        <v>1</v>
      </c>
      <c r="AK101" s="380">
        <f t="shared" ref="AK101:AK132" si="117">AJ101*O101</f>
        <v>1504</v>
      </c>
      <c r="AL101" s="377">
        <f t="shared" ref="AL101:AL132" si="118">IF(AF101=0,AH101,IF(AF101&lt;AH101,AH101,AF101))</f>
        <v>1</v>
      </c>
      <c r="AM101" s="380">
        <f t="shared" ref="AM101:AM132" si="119">AL101*O101</f>
        <v>1504</v>
      </c>
      <c r="AN101" s="381" t="str">
        <f t="shared" ref="AN101:AN132" si="120">IF(AH101&gt;0.15,IF(AH101&gt;0.3,IF(AH101&gt;0.45,IF(AH101&gt;0.6,IF(AH101&gt;0.8,"80-100%","60-80%"),"45-60%"),"30-45%"),"15-30%"),"0-10%")</f>
        <v>80-100%</v>
      </c>
      <c r="AO101" s="377">
        <f t="shared" ref="AO101:AO132" si="121">IF((AH101-AJ101)&lt; 0, 0, AH101-AJ101)</f>
        <v>0</v>
      </c>
      <c r="AP101" s="382">
        <f t="shared" ref="AP101:AP132" si="122">AO101*O101</f>
        <v>0</v>
      </c>
      <c r="AQ101" s="380">
        <f t="shared" ref="AQ101:AQ132" si="123">IF(O101/400-(AB101+AC101)&lt;0,0,O101/400-(AB101+AC101))</f>
        <v>0</v>
      </c>
      <c r="AR101" s="380">
        <f t="shared" ref="AR101:AR132" si="124">AF101*L101</f>
        <v>0</v>
      </c>
      <c r="AS101" s="380">
        <f t="shared" ref="AS101:AS132" si="125">AE101*O101</f>
        <v>0</v>
      </c>
      <c r="AT101" s="501">
        <v>1</v>
      </c>
      <c r="AU101" s="502">
        <f t="shared" ref="AU101:AU132" si="126">AT101*O101</f>
        <v>1504</v>
      </c>
      <c r="AV101" s="505" t="s">
        <v>837</v>
      </c>
      <c r="AW101" s="747">
        <v>14</v>
      </c>
      <c r="AX101" s="471">
        <v>276</v>
      </c>
      <c r="AY101" s="471"/>
      <c r="AZ101" s="471">
        <v>9</v>
      </c>
      <c r="BA101" s="471"/>
      <c r="BB101" s="468" t="s">
        <v>291</v>
      </c>
      <c r="BC101" s="383">
        <f t="shared" ref="BC101:BC132" si="127">IF((((AX101+AZ101)*20)/O101)&gt;1,1,(((AX101+AZ101)*20)/O101))</f>
        <v>1</v>
      </c>
      <c r="BD101" s="380">
        <f t="shared" ref="BD101:BD132" si="128">BC101*O101</f>
        <v>1504</v>
      </c>
      <c r="BE101" s="383">
        <f t="shared" ref="BE101:BE132" si="129">BC101-BG101</f>
        <v>0.88031914893617025</v>
      </c>
      <c r="BF101" s="380">
        <f t="shared" ref="BF101:BF132" si="130">BE101*O101</f>
        <v>1324</v>
      </c>
      <c r="BG101" s="383">
        <f t="shared" ref="BG101:BG132" si="131">IF(((AZ101*20)/O101)&gt;1,1,((AZ101*20)/O101))</f>
        <v>0.11968085106382979</v>
      </c>
      <c r="BH101" s="380">
        <f t="shared" ref="BH101:BH132" si="132">BG101*O101</f>
        <v>180</v>
      </c>
      <c r="BI101" s="490">
        <v>0</v>
      </c>
      <c r="BJ101" s="506">
        <v>1</v>
      </c>
      <c r="BK101" s="384">
        <f t="shared" si="108"/>
        <v>1504</v>
      </c>
      <c r="BL101" s="385">
        <f t="shared" si="109"/>
        <v>66.2</v>
      </c>
      <c r="BM101" s="468">
        <v>213</v>
      </c>
      <c r="BN101" s="468" t="s">
        <v>89</v>
      </c>
      <c r="BO101" s="383">
        <f t="shared" ref="BO101:BO132" si="133">IF((BM101*100/O101)&gt;1,1,(BM101*100/O101))</f>
        <v>1</v>
      </c>
      <c r="BP101" s="380">
        <f t="shared" ref="BP101:BP132" si="134">BO101*O101</f>
        <v>1504</v>
      </c>
      <c r="BQ101" s="385">
        <f t="shared" ref="BQ101:BQ132" si="135">IF(M101/100-BM101&lt;0,0,M101/100-BM101)</f>
        <v>0</v>
      </c>
      <c r="BR101" s="506">
        <v>1</v>
      </c>
      <c r="BS101" s="380">
        <f t="shared" ref="BS101:BS132" si="136">BR101*O101</f>
        <v>1504</v>
      </c>
      <c r="BT101" s="468">
        <v>0</v>
      </c>
      <c r="BU101" s="383">
        <f t="shared" ref="BU101:BU132" si="137">IF((BT101*100/O101)&gt;1,1,(BT101*100/O101))</f>
        <v>0</v>
      </c>
      <c r="BV101" s="385">
        <f t="shared" ref="BV101:BV132" si="138">IF(M101/100-BT101&lt;0,0,M101/100-BT101)</f>
        <v>15.04</v>
      </c>
      <c r="BW101" s="494">
        <v>0</v>
      </c>
      <c r="BX101" s="516"/>
      <c r="BY101" s="518">
        <v>41992</v>
      </c>
      <c r="BZ101" s="804"/>
      <c r="CA101" s="807"/>
      <c r="CB101" s="386">
        <f t="shared" ref="CB101:CB132" si="139">IF(BY101="","To be realised",IF(BY101="n/a","n/a",IF(BY101+365&lt;$E$2,"To be realised",BY101+365)))</f>
        <v>42357</v>
      </c>
      <c r="CC101" s="468">
        <v>334</v>
      </c>
      <c r="CD101" s="468">
        <v>0</v>
      </c>
      <c r="CE101" s="387">
        <f t="shared" ref="CE101:CE132" si="140">IF(CB101="n/a",0,IF(CB101="To be realised",L101,IF((L101-CC101)&lt;0,0,(L101-CC101))))</f>
        <v>60</v>
      </c>
      <c r="CF101" s="388">
        <f t="shared" ref="CF101:CF132" si="141">IF(CE101=0,1,(L101-CE101)/L101)</f>
        <v>0.84771573604060912</v>
      </c>
      <c r="CG101" s="380">
        <f t="shared" ref="CG101:CG132" si="142">CF101*O101</f>
        <v>1274.9644670050761</v>
      </c>
      <c r="CH101" s="403">
        <f t="shared" ref="CH101:CH132" si="143">IF(BY101="","Column BN to be completed", IF(BY101="n/a",0,IF(($E$2-BY101-30)/30-CD101&lt;0,0,ROUND((($E$2-BY101-30)/30-CD101),0))))</f>
        <v>9</v>
      </c>
      <c r="CI101" s="484"/>
      <c r="CJ101" s="494"/>
      <c r="CK101" s="405">
        <f t="shared" si="110"/>
        <v>0</v>
      </c>
      <c r="CL101" s="484">
        <v>4</v>
      </c>
      <c r="CM101" s="389" t="str">
        <f t="shared" ref="CM101:CM132" si="144">IF(CL101=0,"No coverage",IF(O101/CL101&gt;1000,"Low coverage",IF(O101/CL101&gt;750,"Average coverage",IF(O101/CL101&gt;500,"Good coverage","Excellent coverage"))))</f>
        <v>Excellent coverage</v>
      </c>
      <c r="CN101" s="490">
        <v>0</v>
      </c>
      <c r="CO101" s="719" t="s">
        <v>65</v>
      </c>
      <c r="CP101" s="525"/>
    </row>
    <row r="102" spans="2:94" s="40" customFormat="1" ht="30.75" customHeight="1" x14ac:dyDescent="0.2">
      <c r="B102" s="465" t="s">
        <v>183</v>
      </c>
      <c r="C102" s="466" t="s">
        <v>571</v>
      </c>
      <c r="D102" s="467" t="s">
        <v>259</v>
      </c>
      <c r="E102" s="466" t="s">
        <v>193</v>
      </c>
      <c r="F102" s="467">
        <v>97.406239999999997</v>
      </c>
      <c r="G102" s="467">
        <v>24.40457</v>
      </c>
      <c r="H102" s="467" t="s">
        <v>459</v>
      </c>
      <c r="I102" s="467" t="s">
        <v>213</v>
      </c>
      <c r="J102" s="467"/>
      <c r="K102" s="467"/>
      <c r="L102" s="471">
        <v>13</v>
      </c>
      <c r="M102" s="471">
        <v>53</v>
      </c>
      <c r="N102" s="471"/>
      <c r="O102" s="471">
        <v>53</v>
      </c>
      <c r="P102" s="376" t="str">
        <f t="shared" si="111"/>
        <v>1. Small</v>
      </c>
      <c r="Q102" s="717"/>
      <c r="R102" s="472"/>
      <c r="S102" s="479" t="s">
        <v>299</v>
      </c>
      <c r="T102" s="398" t="str">
        <f t="shared" si="112"/>
        <v>Not covered</v>
      </c>
      <c r="U102" s="480"/>
      <c r="V102" s="481" t="s">
        <v>254</v>
      </c>
      <c r="W102" s="395" t="str">
        <f t="shared" si="113"/>
        <v>Not documented</v>
      </c>
      <c r="X102" s="486">
        <v>0</v>
      </c>
      <c r="Y102" s="471">
        <v>0</v>
      </c>
      <c r="Z102" s="800"/>
      <c r="AA102" s="487" t="s">
        <v>19</v>
      </c>
      <c r="AB102" s="486">
        <v>0</v>
      </c>
      <c r="AC102" s="471">
        <v>0</v>
      </c>
      <c r="AD102" s="487">
        <v>0</v>
      </c>
      <c r="AE102" s="495">
        <v>0</v>
      </c>
      <c r="AF102" s="496">
        <v>0</v>
      </c>
      <c r="AG102" s="796"/>
      <c r="AH102" s="401">
        <f t="shared" si="114"/>
        <v>0</v>
      </c>
      <c r="AI102" s="378">
        <f t="shared" si="115"/>
        <v>0</v>
      </c>
      <c r="AJ102" s="379">
        <f t="shared" si="116"/>
        <v>0</v>
      </c>
      <c r="AK102" s="380">
        <f t="shared" si="117"/>
        <v>0</v>
      </c>
      <c r="AL102" s="377">
        <f t="shared" si="118"/>
        <v>0</v>
      </c>
      <c r="AM102" s="380">
        <f t="shared" si="119"/>
        <v>0</v>
      </c>
      <c r="AN102" s="381" t="str">
        <f t="shared" si="120"/>
        <v>0-10%</v>
      </c>
      <c r="AO102" s="377">
        <f t="shared" si="121"/>
        <v>0</v>
      </c>
      <c r="AP102" s="382">
        <f t="shared" si="122"/>
        <v>0</v>
      </c>
      <c r="AQ102" s="380">
        <f t="shared" si="123"/>
        <v>0.13250000000000001</v>
      </c>
      <c r="AR102" s="380">
        <f t="shared" si="124"/>
        <v>0</v>
      </c>
      <c r="AS102" s="380">
        <f t="shared" si="125"/>
        <v>0</v>
      </c>
      <c r="AT102" s="504">
        <v>0</v>
      </c>
      <c r="AU102" s="502">
        <f t="shared" si="126"/>
        <v>0</v>
      </c>
      <c r="AV102" s="496"/>
      <c r="AW102" s="748">
        <v>23</v>
      </c>
      <c r="AX102" s="471">
        <v>0</v>
      </c>
      <c r="AY102" s="471"/>
      <c r="AZ102" s="471">
        <v>0</v>
      </c>
      <c r="BA102" s="471"/>
      <c r="BB102" s="471" t="s">
        <v>89</v>
      </c>
      <c r="BC102" s="383">
        <f t="shared" si="127"/>
        <v>0</v>
      </c>
      <c r="BD102" s="380">
        <f t="shared" si="128"/>
        <v>0</v>
      </c>
      <c r="BE102" s="383">
        <f t="shared" si="129"/>
        <v>0</v>
      </c>
      <c r="BF102" s="380">
        <f t="shared" si="130"/>
        <v>0</v>
      </c>
      <c r="BG102" s="383">
        <f t="shared" si="131"/>
        <v>0</v>
      </c>
      <c r="BH102" s="380">
        <f t="shared" si="132"/>
        <v>0</v>
      </c>
      <c r="BI102" s="509">
        <v>0</v>
      </c>
      <c r="BJ102" s="504">
        <v>0</v>
      </c>
      <c r="BK102" s="384">
        <f t="shared" ref="BK102:BK133" si="145">BJ102*O102</f>
        <v>0</v>
      </c>
      <c r="BL102" s="385">
        <f t="shared" ref="BL102:BL133" si="146">IF((O102/20-AZ102+BI102)&lt;0,0,(O102/20-AZ102+BI102))</f>
        <v>2.65</v>
      </c>
      <c r="BM102" s="471">
        <v>0</v>
      </c>
      <c r="BN102" s="471" t="s">
        <v>89</v>
      </c>
      <c r="BO102" s="383">
        <f t="shared" si="133"/>
        <v>0</v>
      </c>
      <c r="BP102" s="380">
        <f t="shared" si="134"/>
        <v>0</v>
      </c>
      <c r="BQ102" s="385">
        <f t="shared" si="135"/>
        <v>0.53</v>
      </c>
      <c r="BR102" s="510">
        <v>0</v>
      </c>
      <c r="BS102" s="380">
        <f t="shared" si="136"/>
        <v>0</v>
      </c>
      <c r="BT102" s="471">
        <v>0</v>
      </c>
      <c r="BU102" s="383">
        <f t="shared" si="137"/>
        <v>0</v>
      </c>
      <c r="BV102" s="385">
        <f t="shared" si="138"/>
        <v>0.53</v>
      </c>
      <c r="BW102" s="496">
        <v>0</v>
      </c>
      <c r="BX102" s="517"/>
      <c r="BY102" s="519"/>
      <c r="BZ102" s="803"/>
      <c r="CA102" s="806"/>
      <c r="CB102" s="386" t="str">
        <f t="shared" si="139"/>
        <v>To be realised</v>
      </c>
      <c r="CC102" s="509">
        <v>0</v>
      </c>
      <c r="CD102" s="509">
        <v>0</v>
      </c>
      <c r="CE102" s="387">
        <f t="shared" si="140"/>
        <v>13</v>
      </c>
      <c r="CF102" s="388">
        <f t="shared" si="141"/>
        <v>0</v>
      </c>
      <c r="CG102" s="380">
        <f t="shared" si="142"/>
        <v>0</v>
      </c>
      <c r="CH102" s="403" t="str">
        <f t="shared" si="143"/>
        <v>Column BN to be completed</v>
      </c>
      <c r="CI102" s="521"/>
      <c r="CJ102" s="496">
        <v>0</v>
      </c>
      <c r="CK102" s="405">
        <f t="shared" ref="CK102:CK133" si="147">CJ102*O102</f>
        <v>0</v>
      </c>
      <c r="CL102" s="521">
        <v>0</v>
      </c>
      <c r="CM102" s="389" t="str">
        <f t="shared" si="144"/>
        <v>No coverage</v>
      </c>
      <c r="CN102" s="490">
        <v>0</v>
      </c>
      <c r="CO102" s="529" t="s">
        <v>66</v>
      </c>
      <c r="CP102" s="527"/>
    </row>
    <row r="103" spans="2:94" s="40" customFormat="1" ht="30.75" customHeight="1" x14ac:dyDescent="0.25">
      <c r="B103" s="465" t="s">
        <v>183</v>
      </c>
      <c r="C103" s="466" t="s">
        <v>691</v>
      </c>
      <c r="D103" s="467" t="s">
        <v>265</v>
      </c>
      <c r="E103" s="466" t="s">
        <v>186</v>
      </c>
      <c r="F103" s="467">
        <v>97.669366999999994</v>
      </c>
      <c r="G103" s="467">
        <v>24.378167000000001</v>
      </c>
      <c r="H103" s="467" t="s">
        <v>448</v>
      </c>
      <c r="I103" s="467" t="s">
        <v>221</v>
      </c>
      <c r="J103" s="467"/>
      <c r="K103" s="467"/>
      <c r="L103" s="471">
        <v>369</v>
      </c>
      <c r="M103" s="471">
        <v>1633</v>
      </c>
      <c r="N103" s="471"/>
      <c r="O103" s="471">
        <v>1633</v>
      </c>
      <c r="P103" s="376" t="str">
        <f t="shared" si="111"/>
        <v>3. Large</v>
      </c>
      <c r="Q103" s="717"/>
      <c r="R103" s="472" t="s">
        <v>230</v>
      </c>
      <c r="S103" s="479" t="s">
        <v>299</v>
      </c>
      <c r="T103" s="398" t="str">
        <f t="shared" si="112"/>
        <v>Not covered</v>
      </c>
      <c r="U103" s="478" t="s">
        <v>626</v>
      </c>
      <c r="V103" s="481" t="s">
        <v>252</v>
      </c>
      <c r="W103" s="395" t="str">
        <f t="shared" si="113"/>
        <v>Documented</v>
      </c>
      <c r="X103" s="486">
        <v>0</v>
      </c>
      <c r="Y103" s="471">
        <v>0</v>
      </c>
      <c r="Z103" s="800"/>
      <c r="AA103" s="487" t="s">
        <v>19</v>
      </c>
      <c r="AB103" s="486">
        <v>0</v>
      </c>
      <c r="AC103" s="471">
        <v>0</v>
      </c>
      <c r="AD103" s="487">
        <v>216000</v>
      </c>
      <c r="AE103" s="495">
        <v>0</v>
      </c>
      <c r="AF103" s="496">
        <v>1</v>
      </c>
      <c r="AG103" s="796"/>
      <c r="AH103" s="401">
        <f t="shared" si="114"/>
        <v>1</v>
      </c>
      <c r="AI103" s="378">
        <f t="shared" si="115"/>
        <v>1633</v>
      </c>
      <c r="AJ103" s="379">
        <f t="shared" si="116"/>
        <v>1</v>
      </c>
      <c r="AK103" s="380">
        <f t="shared" si="117"/>
        <v>1633</v>
      </c>
      <c r="AL103" s="377">
        <f t="shared" si="118"/>
        <v>1</v>
      </c>
      <c r="AM103" s="380">
        <f t="shared" si="119"/>
        <v>1633</v>
      </c>
      <c r="AN103" s="381" t="str">
        <f t="shared" si="120"/>
        <v>80-100%</v>
      </c>
      <c r="AO103" s="377">
        <f t="shared" si="121"/>
        <v>0</v>
      </c>
      <c r="AP103" s="382">
        <f t="shared" si="122"/>
        <v>0</v>
      </c>
      <c r="AQ103" s="380">
        <f t="shared" si="123"/>
        <v>4.0824999999999996</v>
      </c>
      <c r="AR103" s="380">
        <f t="shared" si="124"/>
        <v>369</v>
      </c>
      <c r="AS103" s="380">
        <f t="shared" si="125"/>
        <v>0</v>
      </c>
      <c r="AT103" s="504">
        <v>1</v>
      </c>
      <c r="AU103" s="502">
        <f t="shared" si="126"/>
        <v>1633</v>
      </c>
      <c r="AV103" s="496"/>
      <c r="AW103" s="748">
        <v>0</v>
      </c>
      <c r="AX103" s="471">
        <v>50</v>
      </c>
      <c r="AY103" s="471"/>
      <c r="AZ103" s="471">
        <v>54</v>
      </c>
      <c r="BA103" s="471"/>
      <c r="BB103" s="471" t="s">
        <v>89</v>
      </c>
      <c r="BC103" s="383">
        <f t="shared" si="127"/>
        <v>1</v>
      </c>
      <c r="BD103" s="380">
        <f t="shared" si="128"/>
        <v>1633</v>
      </c>
      <c r="BE103" s="383">
        <f t="shared" si="129"/>
        <v>0.33864053888548684</v>
      </c>
      <c r="BF103" s="380">
        <f t="shared" si="130"/>
        <v>553</v>
      </c>
      <c r="BG103" s="383">
        <f t="shared" si="131"/>
        <v>0.66135946111451316</v>
      </c>
      <c r="BH103" s="380">
        <f t="shared" si="132"/>
        <v>1080</v>
      </c>
      <c r="BI103" s="509">
        <v>18</v>
      </c>
      <c r="BJ103" s="504">
        <v>1</v>
      </c>
      <c r="BK103" s="384">
        <f t="shared" si="145"/>
        <v>1633</v>
      </c>
      <c r="BL103" s="385">
        <f t="shared" si="146"/>
        <v>45.650000000000006</v>
      </c>
      <c r="BM103" s="471">
        <v>7</v>
      </c>
      <c r="BN103" s="471" t="s">
        <v>89</v>
      </c>
      <c r="BO103" s="383">
        <f t="shared" si="133"/>
        <v>0.42865890998162892</v>
      </c>
      <c r="BP103" s="380">
        <f t="shared" si="134"/>
        <v>700</v>
      </c>
      <c r="BQ103" s="385">
        <f t="shared" si="135"/>
        <v>9.3299999999999983</v>
      </c>
      <c r="BR103" s="510">
        <v>0.43</v>
      </c>
      <c r="BS103" s="380">
        <f t="shared" si="136"/>
        <v>702.18999999999994</v>
      </c>
      <c r="BT103" s="471">
        <v>10</v>
      </c>
      <c r="BU103" s="383">
        <f t="shared" si="137"/>
        <v>0.61236987140232702</v>
      </c>
      <c r="BV103" s="385">
        <f t="shared" si="138"/>
        <v>6.3299999999999983</v>
      </c>
      <c r="BW103" s="496">
        <v>0.61</v>
      </c>
      <c r="BX103" s="517"/>
      <c r="BY103" s="519">
        <v>41996</v>
      </c>
      <c r="BZ103" s="803"/>
      <c r="CA103" s="806"/>
      <c r="CB103" s="386">
        <f t="shared" si="139"/>
        <v>42361</v>
      </c>
      <c r="CC103" s="509">
        <v>378</v>
      </c>
      <c r="CD103" s="509">
        <v>0</v>
      </c>
      <c r="CE103" s="387">
        <f t="shared" si="140"/>
        <v>0</v>
      </c>
      <c r="CF103" s="388">
        <f t="shared" si="141"/>
        <v>1</v>
      </c>
      <c r="CG103" s="380">
        <f t="shared" si="142"/>
        <v>1633</v>
      </c>
      <c r="CH103" s="403">
        <f t="shared" si="143"/>
        <v>8</v>
      </c>
      <c r="CI103" s="521"/>
      <c r="CJ103" s="496"/>
      <c r="CK103" s="405">
        <f t="shared" si="147"/>
        <v>0</v>
      </c>
      <c r="CL103" s="521">
        <v>13</v>
      </c>
      <c r="CM103" s="389" t="str">
        <f t="shared" si="144"/>
        <v>Excellent coverage</v>
      </c>
      <c r="CN103" s="490">
        <v>0</v>
      </c>
      <c r="CO103" s="529" t="s">
        <v>292</v>
      </c>
      <c r="CP103" s="528"/>
    </row>
    <row r="104" spans="2:94" s="40" customFormat="1" ht="30.75" customHeight="1" x14ac:dyDescent="0.2">
      <c r="B104" s="465" t="s">
        <v>183</v>
      </c>
      <c r="C104" s="466" t="s">
        <v>572</v>
      </c>
      <c r="D104" s="467" t="s">
        <v>259</v>
      </c>
      <c r="E104" s="466" t="s">
        <v>194</v>
      </c>
      <c r="F104" s="467">
        <v>97.347740000000002</v>
      </c>
      <c r="G104" s="467">
        <v>24.253769999999999</v>
      </c>
      <c r="H104" s="467" t="s">
        <v>448</v>
      </c>
      <c r="I104" s="467" t="s">
        <v>213</v>
      </c>
      <c r="J104" s="467"/>
      <c r="K104" s="467"/>
      <c r="L104" s="471">
        <v>25</v>
      </c>
      <c r="M104" s="471">
        <v>92</v>
      </c>
      <c r="N104" s="471"/>
      <c r="O104" s="468">
        <v>92</v>
      </c>
      <c r="P104" s="376" t="str">
        <f t="shared" si="111"/>
        <v>1. Small</v>
      </c>
      <c r="Q104" s="717" t="s">
        <v>253</v>
      </c>
      <c r="R104" s="469" t="s">
        <v>275</v>
      </c>
      <c r="S104" s="477" t="s">
        <v>299</v>
      </c>
      <c r="T104" s="398" t="str">
        <f t="shared" si="112"/>
        <v>Not covered</v>
      </c>
      <c r="U104" s="478" t="s">
        <v>626</v>
      </c>
      <c r="V104" s="469" t="s">
        <v>252</v>
      </c>
      <c r="W104" s="395" t="str">
        <f t="shared" si="113"/>
        <v>Documented</v>
      </c>
      <c r="X104" s="484">
        <v>0</v>
      </c>
      <c r="Y104" s="468">
        <v>0</v>
      </c>
      <c r="Z104" s="801"/>
      <c r="AA104" s="485" t="s">
        <v>19</v>
      </c>
      <c r="AB104" s="484">
        <v>0</v>
      </c>
      <c r="AC104" s="490">
        <v>0</v>
      </c>
      <c r="AD104" s="491">
        <v>1800</v>
      </c>
      <c r="AE104" s="497">
        <v>0</v>
      </c>
      <c r="AF104" s="498">
        <v>1</v>
      </c>
      <c r="AG104" s="797"/>
      <c r="AH104" s="401">
        <f t="shared" si="114"/>
        <v>1</v>
      </c>
      <c r="AI104" s="378">
        <f t="shared" si="115"/>
        <v>92</v>
      </c>
      <c r="AJ104" s="379">
        <f t="shared" si="116"/>
        <v>1</v>
      </c>
      <c r="AK104" s="380">
        <f t="shared" si="117"/>
        <v>92</v>
      </c>
      <c r="AL104" s="377">
        <f t="shared" si="118"/>
        <v>1</v>
      </c>
      <c r="AM104" s="380">
        <f t="shared" si="119"/>
        <v>92</v>
      </c>
      <c r="AN104" s="381" t="str">
        <f t="shared" si="120"/>
        <v>80-100%</v>
      </c>
      <c r="AO104" s="377">
        <f t="shared" si="121"/>
        <v>0</v>
      </c>
      <c r="AP104" s="382">
        <f t="shared" si="122"/>
        <v>0</v>
      </c>
      <c r="AQ104" s="380">
        <f t="shared" si="123"/>
        <v>0.23</v>
      </c>
      <c r="AR104" s="380">
        <f t="shared" si="124"/>
        <v>25</v>
      </c>
      <c r="AS104" s="380">
        <f t="shared" si="125"/>
        <v>0</v>
      </c>
      <c r="AT104" s="501">
        <v>1</v>
      </c>
      <c r="AU104" s="502">
        <f t="shared" si="126"/>
        <v>92</v>
      </c>
      <c r="AV104" s="491"/>
      <c r="AW104" s="747">
        <v>0</v>
      </c>
      <c r="AX104" s="471">
        <v>1</v>
      </c>
      <c r="AY104" s="471"/>
      <c r="AZ104" s="471">
        <v>3</v>
      </c>
      <c r="BA104" s="471"/>
      <c r="BB104" s="468" t="s">
        <v>89</v>
      </c>
      <c r="BC104" s="383">
        <f t="shared" si="127"/>
        <v>0.86956521739130432</v>
      </c>
      <c r="BD104" s="380">
        <f t="shared" si="128"/>
        <v>80</v>
      </c>
      <c r="BE104" s="383">
        <f t="shared" si="129"/>
        <v>0.21739130434782605</v>
      </c>
      <c r="BF104" s="380">
        <f t="shared" si="130"/>
        <v>19.999999999999996</v>
      </c>
      <c r="BG104" s="383">
        <f t="shared" si="131"/>
        <v>0.65217391304347827</v>
      </c>
      <c r="BH104" s="380">
        <f t="shared" si="132"/>
        <v>60</v>
      </c>
      <c r="BI104" s="490">
        <v>0</v>
      </c>
      <c r="BJ104" s="506">
        <v>0.87</v>
      </c>
      <c r="BK104" s="384">
        <f t="shared" si="145"/>
        <v>80.040000000000006</v>
      </c>
      <c r="BL104" s="385">
        <f t="shared" si="146"/>
        <v>1.5999999999999996</v>
      </c>
      <c r="BM104" s="468">
        <v>1</v>
      </c>
      <c r="BN104" s="468" t="s">
        <v>89</v>
      </c>
      <c r="BO104" s="383">
        <f t="shared" si="133"/>
        <v>1</v>
      </c>
      <c r="BP104" s="380">
        <f t="shared" si="134"/>
        <v>92</v>
      </c>
      <c r="BQ104" s="385">
        <f t="shared" si="135"/>
        <v>0</v>
      </c>
      <c r="BR104" s="506">
        <v>1</v>
      </c>
      <c r="BS104" s="380">
        <f t="shared" si="136"/>
        <v>92</v>
      </c>
      <c r="BT104" s="468">
        <v>2</v>
      </c>
      <c r="BU104" s="383">
        <f t="shared" si="137"/>
        <v>1</v>
      </c>
      <c r="BV104" s="385">
        <f t="shared" si="138"/>
        <v>0</v>
      </c>
      <c r="BW104" s="494">
        <v>1</v>
      </c>
      <c r="BX104" s="516"/>
      <c r="BY104" s="518">
        <v>41785</v>
      </c>
      <c r="BZ104" s="804"/>
      <c r="CA104" s="807"/>
      <c r="CB104" s="386" t="str">
        <f t="shared" si="139"/>
        <v>To be realised</v>
      </c>
      <c r="CC104" s="468">
        <v>23</v>
      </c>
      <c r="CD104" s="468">
        <v>6</v>
      </c>
      <c r="CE104" s="387">
        <f t="shared" si="140"/>
        <v>25</v>
      </c>
      <c r="CF104" s="388">
        <f t="shared" si="141"/>
        <v>0</v>
      </c>
      <c r="CG104" s="380">
        <f t="shared" si="142"/>
        <v>0</v>
      </c>
      <c r="CH104" s="403">
        <f t="shared" si="143"/>
        <v>9</v>
      </c>
      <c r="CI104" s="484"/>
      <c r="CJ104" s="494"/>
      <c r="CK104" s="405">
        <f t="shared" si="147"/>
        <v>0</v>
      </c>
      <c r="CL104" s="484">
        <v>1</v>
      </c>
      <c r="CM104" s="389" t="str">
        <f t="shared" si="144"/>
        <v>Excellent coverage</v>
      </c>
      <c r="CN104" s="490">
        <v>0</v>
      </c>
      <c r="CO104" s="485" t="s">
        <v>65</v>
      </c>
      <c r="CP104" s="525"/>
    </row>
    <row r="105" spans="2:94" s="40" customFormat="1" ht="30.75" customHeight="1" x14ac:dyDescent="0.2">
      <c r="B105" s="465" t="s">
        <v>183</v>
      </c>
      <c r="C105" s="466" t="s">
        <v>692</v>
      </c>
      <c r="D105" s="467" t="s">
        <v>265</v>
      </c>
      <c r="E105" s="466" t="s">
        <v>619</v>
      </c>
      <c r="F105" s="467">
        <v>97.755750000000006</v>
      </c>
      <c r="G105" s="467">
        <v>24.273479999999999</v>
      </c>
      <c r="H105" s="467" t="s">
        <v>448</v>
      </c>
      <c r="I105" s="467" t="s">
        <v>221</v>
      </c>
      <c r="J105" s="467"/>
      <c r="K105" s="467"/>
      <c r="L105" s="471">
        <v>297</v>
      </c>
      <c r="M105" s="471">
        <v>1342</v>
      </c>
      <c r="N105" s="471"/>
      <c r="O105" s="471">
        <v>1342</v>
      </c>
      <c r="P105" s="376" t="str">
        <f t="shared" si="111"/>
        <v>3. Large</v>
      </c>
      <c r="Q105" s="717"/>
      <c r="R105" s="472" t="s">
        <v>230</v>
      </c>
      <c r="S105" s="479" t="s">
        <v>299</v>
      </c>
      <c r="T105" s="398" t="str">
        <f t="shared" si="112"/>
        <v>Not covered</v>
      </c>
      <c r="U105" s="478" t="s">
        <v>626</v>
      </c>
      <c r="V105" s="481" t="s">
        <v>252</v>
      </c>
      <c r="W105" s="395" t="str">
        <f t="shared" si="113"/>
        <v>Documented</v>
      </c>
      <c r="X105" s="486">
        <v>0</v>
      </c>
      <c r="Y105" s="471">
        <v>0</v>
      </c>
      <c r="Z105" s="800"/>
      <c r="AA105" s="487" t="s">
        <v>19</v>
      </c>
      <c r="AB105" s="486">
        <v>0</v>
      </c>
      <c r="AC105" s="471">
        <v>0</v>
      </c>
      <c r="AD105" s="487">
        <v>99540</v>
      </c>
      <c r="AE105" s="495">
        <v>0</v>
      </c>
      <c r="AF105" s="496">
        <v>0.5</v>
      </c>
      <c r="AG105" s="796"/>
      <c r="AH105" s="401">
        <f t="shared" si="114"/>
        <v>1</v>
      </c>
      <c r="AI105" s="378">
        <f t="shared" si="115"/>
        <v>1342</v>
      </c>
      <c r="AJ105" s="379">
        <f t="shared" si="116"/>
        <v>1</v>
      </c>
      <c r="AK105" s="380">
        <f t="shared" si="117"/>
        <v>1342</v>
      </c>
      <c r="AL105" s="377">
        <f t="shared" si="118"/>
        <v>1</v>
      </c>
      <c r="AM105" s="380">
        <f t="shared" si="119"/>
        <v>1342</v>
      </c>
      <c r="AN105" s="381" t="str">
        <f t="shared" si="120"/>
        <v>80-100%</v>
      </c>
      <c r="AO105" s="377">
        <f t="shared" si="121"/>
        <v>0</v>
      </c>
      <c r="AP105" s="382">
        <f t="shared" si="122"/>
        <v>0</v>
      </c>
      <c r="AQ105" s="380">
        <f t="shared" si="123"/>
        <v>3.355</v>
      </c>
      <c r="AR105" s="380">
        <f t="shared" si="124"/>
        <v>148.5</v>
      </c>
      <c r="AS105" s="380">
        <f t="shared" si="125"/>
        <v>0</v>
      </c>
      <c r="AT105" s="504">
        <v>1</v>
      </c>
      <c r="AU105" s="502">
        <f t="shared" si="126"/>
        <v>1342</v>
      </c>
      <c r="AV105" s="496"/>
      <c r="AW105" s="748">
        <v>88</v>
      </c>
      <c r="AX105" s="471">
        <v>0</v>
      </c>
      <c r="AY105" s="471"/>
      <c r="AZ105" s="471">
        <v>70</v>
      </c>
      <c r="BA105" s="471"/>
      <c r="BB105" s="471" t="s">
        <v>89</v>
      </c>
      <c r="BC105" s="383">
        <f t="shared" si="127"/>
        <v>1</v>
      </c>
      <c r="BD105" s="380">
        <f t="shared" si="128"/>
        <v>1342</v>
      </c>
      <c r="BE105" s="383">
        <f t="shared" si="129"/>
        <v>0</v>
      </c>
      <c r="BF105" s="380">
        <f t="shared" si="130"/>
        <v>0</v>
      </c>
      <c r="BG105" s="383">
        <f t="shared" si="131"/>
        <v>1</v>
      </c>
      <c r="BH105" s="380">
        <f t="shared" si="132"/>
        <v>1342</v>
      </c>
      <c r="BI105" s="509">
        <v>0</v>
      </c>
      <c r="BJ105" s="504">
        <v>1</v>
      </c>
      <c r="BK105" s="384">
        <f t="shared" si="145"/>
        <v>1342</v>
      </c>
      <c r="BL105" s="385">
        <f t="shared" si="146"/>
        <v>0</v>
      </c>
      <c r="BM105" s="471">
        <v>2</v>
      </c>
      <c r="BN105" s="471" t="s">
        <v>291</v>
      </c>
      <c r="BO105" s="383">
        <f t="shared" si="133"/>
        <v>0.14903129657228018</v>
      </c>
      <c r="BP105" s="380">
        <f t="shared" si="134"/>
        <v>200</v>
      </c>
      <c r="BQ105" s="385">
        <f t="shared" si="135"/>
        <v>11.42</v>
      </c>
      <c r="BR105" s="510">
        <v>0.15</v>
      </c>
      <c r="BS105" s="380">
        <f t="shared" si="136"/>
        <v>201.29999999999998</v>
      </c>
      <c r="BT105" s="471">
        <v>53</v>
      </c>
      <c r="BU105" s="383">
        <f t="shared" si="137"/>
        <v>1</v>
      </c>
      <c r="BV105" s="385">
        <f t="shared" si="138"/>
        <v>0</v>
      </c>
      <c r="BW105" s="496">
        <v>1</v>
      </c>
      <c r="BX105" s="517"/>
      <c r="BY105" s="519">
        <v>41996</v>
      </c>
      <c r="BZ105" s="803"/>
      <c r="CA105" s="806"/>
      <c r="CB105" s="386">
        <f t="shared" si="139"/>
        <v>42361</v>
      </c>
      <c r="CC105" s="509">
        <v>322</v>
      </c>
      <c r="CD105" s="509">
        <v>3</v>
      </c>
      <c r="CE105" s="387">
        <f t="shared" si="140"/>
        <v>0</v>
      </c>
      <c r="CF105" s="388">
        <f t="shared" si="141"/>
        <v>1</v>
      </c>
      <c r="CG105" s="380">
        <f t="shared" si="142"/>
        <v>1342</v>
      </c>
      <c r="CH105" s="403">
        <f t="shared" si="143"/>
        <v>5</v>
      </c>
      <c r="CI105" s="521"/>
      <c r="CJ105" s="496"/>
      <c r="CK105" s="405">
        <f t="shared" si="147"/>
        <v>0</v>
      </c>
      <c r="CL105" s="521">
        <v>4</v>
      </c>
      <c r="CM105" s="389" t="str">
        <f t="shared" si="144"/>
        <v>Excellent coverage</v>
      </c>
      <c r="CN105" s="490">
        <v>0</v>
      </c>
      <c r="CO105" s="529" t="s">
        <v>292</v>
      </c>
      <c r="CP105" s="527"/>
    </row>
    <row r="106" spans="2:94" s="40" customFormat="1" ht="30.75" customHeight="1" x14ac:dyDescent="0.2">
      <c r="B106" s="465" t="s">
        <v>183</v>
      </c>
      <c r="C106" s="466" t="s">
        <v>692</v>
      </c>
      <c r="D106" s="467" t="s">
        <v>265</v>
      </c>
      <c r="E106" s="466" t="s">
        <v>618</v>
      </c>
      <c r="F106" s="467">
        <v>97.754009999999994</v>
      </c>
      <c r="G106" s="467">
        <v>24.275549999999999</v>
      </c>
      <c r="H106" s="467" t="s">
        <v>448</v>
      </c>
      <c r="I106" s="467" t="s">
        <v>221</v>
      </c>
      <c r="J106" s="467"/>
      <c r="K106" s="467"/>
      <c r="L106" s="471">
        <v>58</v>
      </c>
      <c r="M106" s="471">
        <v>251</v>
      </c>
      <c r="N106" s="471"/>
      <c r="O106" s="471">
        <v>251</v>
      </c>
      <c r="P106" s="376" t="str">
        <f t="shared" si="111"/>
        <v>2. Medium</v>
      </c>
      <c r="Q106" s="717"/>
      <c r="R106" s="472" t="s">
        <v>230</v>
      </c>
      <c r="S106" s="479" t="s">
        <v>299</v>
      </c>
      <c r="T106" s="398" t="str">
        <f t="shared" si="112"/>
        <v>Not covered</v>
      </c>
      <c r="U106" s="478" t="s">
        <v>626</v>
      </c>
      <c r="V106" s="481" t="s">
        <v>252</v>
      </c>
      <c r="W106" s="395" t="str">
        <f t="shared" si="113"/>
        <v>Documented</v>
      </c>
      <c r="X106" s="486">
        <v>0</v>
      </c>
      <c r="Y106" s="471">
        <v>0</v>
      </c>
      <c r="Z106" s="800"/>
      <c r="AA106" s="487" t="s">
        <v>19</v>
      </c>
      <c r="AB106" s="486">
        <v>0</v>
      </c>
      <c r="AC106" s="471">
        <v>0</v>
      </c>
      <c r="AD106" s="487">
        <v>8640</v>
      </c>
      <c r="AE106" s="495">
        <v>0</v>
      </c>
      <c r="AF106" s="496">
        <v>0</v>
      </c>
      <c r="AG106" s="796"/>
      <c r="AH106" s="401">
        <f t="shared" si="114"/>
        <v>1</v>
      </c>
      <c r="AI106" s="378">
        <f t="shared" si="115"/>
        <v>251</v>
      </c>
      <c r="AJ106" s="379">
        <f t="shared" si="116"/>
        <v>1</v>
      </c>
      <c r="AK106" s="380">
        <f t="shared" si="117"/>
        <v>251</v>
      </c>
      <c r="AL106" s="377">
        <f t="shared" si="118"/>
        <v>1</v>
      </c>
      <c r="AM106" s="380">
        <f t="shared" si="119"/>
        <v>251</v>
      </c>
      <c r="AN106" s="381" t="str">
        <f t="shared" si="120"/>
        <v>80-100%</v>
      </c>
      <c r="AO106" s="377">
        <f t="shared" si="121"/>
        <v>0</v>
      </c>
      <c r="AP106" s="382">
        <f t="shared" si="122"/>
        <v>0</v>
      </c>
      <c r="AQ106" s="380">
        <f t="shared" si="123"/>
        <v>0.62749999999999995</v>
      </c>
      <c r="AR106" s="380">
        <f t="shared" si="124"/>
        <v>0</v>
      </c>
      <c r="AS106" s="380">
        <f t="shared" si="125"/>
        <v>0</v>
      </c>
      <c r="AT106" s="504">
        <v>1</v>
      </c>
      <c r="AU106" s="502">
        <f t="shared" si="126"/>
        <v>251</v>
      </c>
      <c r="AV106" s="496"/>
      <c r="AW106" s="748">
        <v>63</v>
      </c>
      <c r="AX106" s="471">
        <v>0</v>
      </c>
      <c r="AY106" s="471"/>
      <c r="AZ106" s="471">
        <v>27</v>
      </c>
      <c r="BA106" s="471"/>
      <c r="BB106" s="471" t="s">
        <v>89</v>
      </c>
      <c r="BC106" s="383">
        <f t="shared" si="127"/>
        <v>1</v>
      </c>
      <c r="BD106" s="380">
        <f t="shared" si="128"/>
        <v>251</v>
      </c>
      <c r="BE106" s="383">
        <f t="shared" si="129"/>
        <v>0</v>
      </c>
      <c r="BF106" s="380">
        <f t="shared" si="130"/>
        <v>0</v>
      </c>
      <c r="BG106" s="383">
        <f t="shared" si="131"/>
        <v>1</v>
      </c>
      <c r="BH106" s="380">
        <f t="shared" si="132"/>
        <v>251</v>
      </c>
      <c r="BI106" s="509">
        <v>0</v>
      </c>
      <c r="BJ106" s="504">
        <v>1</v>
      </c>
      <c r="BK106" s="384">
        <f t="shared" si="145"/>
        <v>251</v>
      </c>
      <c r="BL106" s="385">
        <f t="shared" si="146"/>
        <v>0</v>
      </c>
      <c r="BM106" s="471">
        <v>3</v>
      </c>
      <c r="BN106" s="471" t="s">
        <v>89</v>
      </c>
      <c r="BO106" s="383">
        <f t="shared" si="133"/>
        <v>1</v>
      </c>
      <c r="BP106" s="380">
        <f t="shared" si="134"/>
        <v>251</v>
      </c>
      <c r="BQ106" s="385">
        <f t="shared" si="135"/>
        <v>0</v>
      </c>
      <c r="BR106" s="510">
        <v>1</v>
      </c>
      <c r="BS106" s="380">
        <f t="shared" si="136"/>
        <v>251</v>
      </c>
      <c r="BT106" s="471">
        <v>18</v>
      </c>
      <c r="BU106" s="383">
        <f t="shared" si="137"/>
        <v>1</v>
      </c>
      <c r="BV106" s="385">
        <f t="shared" si="138"/>
        <v>0</v>
      </c>
      <c r="BW106" s="496">
        <v>1</v>
      </c>
      <c r="BX106" s="517"/>
      <c r="BY106" s="519">
        <v>41996</v>
      </c>
      <c r="BZ106" s="803"/>
      <c r="CA106" s="806"/>
      <c r="CB106" s="386">
        <f t="shared" si="139"/>
        <v>42361</v>
      </c>
      <c r="CC106" s="509">
        <v>58</v>
      </c>
      <c r="CD106" s="509">
        <v>0</v>
      </c>
      <c r="CE106" s="387">
        <f t="shared" si="140"/>
        <v>0</v>
      </c>
      <c r="CF106" s="388">
        <f t="shared" si="141"/>
        <v>1</v>
      </c>
      <c r="CG106" s="380">
        <f t="shared" si="142"/>
        <v>251</v>
      </c>
      <c r="CH106" s="403">
        <f t="shared" si="143"/>
        <v>8</v>
      </c>
      <c r="CI106" s="521"/>
      <c r="CJ106" s="496"/>
      <c r="CK106" s="405">
        <f t="shared" si="147"/>
        <v>0</v>
      </c>
      <c r="CL106" s="521">
        <v>9</v>
      </c>
      <c r="CM106" s="389" t="str">
        <f t="shared" si="144"/>
        <v>Excellent coverage</v>
      </c>
      <c r="CN106" s="490">
        <v>0</v>
      </c>
      <c r="CO106" s="529" t="s">
        <v>292</v>
      </c>
      <c r="CP106" s="527"/>
    </row>
    <row r="107" spans="2:94" s="40" customFormat="1" ht="30.75" customHeight="1" x14ac:dyDescent="0.25">
      <c r="B107" s="465" t="s">
        <v>183</v>
      </c>
      <c r="C107" s="466" t="s">
        <v>692</v>
      </c>
      <c r="D107" s="467" t="s">
        <v>265</v>
      </c>
      <c r="E107" s="466" t="s">
        <v>617</v>
      </c>
      <c r="F107" s="467">
        <v>97.751050000000006</v>
      </c>
      <c r="G107" s="467">
        <v>24.279910000000001</v>
      </c>
      <c r="H107" s="467" t="s">
        <v>448</v>
      </c>
      <c r="I107" s="467" t="s">
        <v>221</v>
      </c>
      <c r="J107" s="467"/>
      <c r="K107" s="467"/>
      <c r="L107" s="471">
        <v>128</v>
      </c>
      <c r="M107" s="471">
        <v>538</v>
      </c>
      <c r="N107" s="471"/>
      <c r="O107" s="471">
        <v>538</v>
      </c>
      <c r="P107" s="376" t="str">
        <f t="shared" si="111"/>
        <v>2. Medium</v>
      </c>
      <c r="Q107" s="717"/>
      <c r="R107" s="472" t="s">
        <v>230</v>
      </c>
      <c r="S107" s="479" t="s">
        <v>299</v>
      </c>
      <c r="T107" s="398" t="str">
        <f t="shared" si="112"/>
        <v>Not covered</v>
      </c>
      <c r="U107" s="478" t="s">
        <v>626</v>
      </c>
      <c r="V107" s="481" t="s">
        <v>252</v>
      </c>
      <c r="W107" s="395" t="str">
        <f t="shared" si="113"/>
        <v>Documented</v>
      </c>
      <c r="X107" s="486">
        <v>0</v>
      </c>
      <c r="Y107" s="471">
        <v>0</v>
      </c>
      <c r="Z107" s="800"/>
      <c r="AA107" s="487" t="s">
        <v>19</v>
      </c>
      <c r="AB107" s="486">
        <v>0</v>
      </c>
      <c r="AC107" s="471">
        <v>0</v>
      </c>
      <c r="AD107" s="487">
        <v>94000</v>
      </c>
      <c r="AE107" s="495">
        <v>0</v>
      </c>
      <c r="AF107" s="496">
        <v>0.5</v>
      </c>
      <c r="AG107" s="796"/>
      <c r="AH107" s="401">
        <f t="shared" si="114"/>
        <v>1</v>
      </c>
      <c r="AI107" s="378">
        <f t="shared" si="115"/>
        <v>538</v>
      </c>
      <c r="AJ107" s="379">
        <f t="shared" si="116"/>
        <v>1</v>
      </c>
      <c r="AK107" s="380">
        <f t="shared" si="117"/>
        <v>538</v>
      </c>
      <c r="AL107" s="377">
        <f t="shared" si="118"/>
        <v>1</v>
      </c>
      <c r="AM107" s="380">
        <f t="shared" si="119"/>
        <v>538</v>
      </c>
      <c r="AN107" s="381" t="str">
        <f t="shared" si="120"/>
        <v>80-100%</v>
      </c>
      <c r="AO107" s="377">
        <f t="shared" si="121"/>
        <v>0</v>
      </c>
      <c r="AP107" s="382">
        <f t="shared" si="122"/>
        <v>0</v>
      </c>
      <c r="AQ107" s="380">
        <f t="shared" si="123"/>
        <v>1.345</v>
      </c>
      <c r="AR107" s="380">
        <f t="shared" si="124"/>
        <v>64</v>
      </c>
      <c r="AS107" s="380">
        <f t="shared" si="125"/>
        <v>0</v>
      </c>
      <c r="AT107" s="504">
        <v>1</v>
      </c>
      <c r="AU107" s="502">
        <f t="shared" si="126"/>
        <v>538</v>
      </c>
      <c r="AV107" s="496"/>
      <c r="AW107" s="748">
        <v>0</v>
      </c>
      <c r="AX107" s="471">
        <v>10</v>
      </c>
      <c r="AY107" s="471"/>
      <c r="AZ107" s="471">
        <v>30</v>
      </c>
      <c r="BA107" s="471"/>
      <c r="BB107" s="471" t="s">
        <v>89</v>
      </c>
      <c r="BC107" s="383">
        <f t="shared" si="127"/>
        <v>1</v>
      </c>
      <c r="BD107" s="380">
        <f t="shared" si="128"/>
        <v>538</v>
      </c>
      <c r="BE107" s="383">
        <f t="shared" si="129"/>
        <v>0</v>
      </c>
      <c r="BF107" s="380">
        <f t="shared" si="130"/>
        <v>0</v>
      </c>
      <c r="BG107" s="383">
        <f t="shared" si="131"/>
        <v>1</v>
      </c>
      <c r="BH107" s="380">
        <f t="shared" si="132"/>
        <v>538</v>
      </c>
      <c r="BI107" s="509">
        <v>0</v>
      </c>
      <c r="BJ107" s="504">
        <v>1</v>
      </c>
      <c r="BK107" s="384">
        <f t="shared" si="145"/>
        <v>538</v>
      </c>
      <c r="BL107" s="385">
        <f t="shared" si="146"/>
        <v>0</v>
      </c>
      <c r="BM107" s="471">
        <v>4</v>
      </c>
      <c r="BN107" s="471" t="s">
        <v>291</v>
      </c>
      <c r="BO107" s="383">
        <f t="shared" si="133"/>
        <v>0.74349442379182151</v>
      </c>
      <c r="BP107" s="380">
        <f t="shared" si="134"/>
        <v>400</v>
      </c>
      <c r="BQ107" s="385">
        <f t="shared" si="135"/>
        <v>1.38</v>
      </c>
      <c r="BR107" s="510">
        <v>0.74</v>
      </c>
      <c r="BS107" s="380">
        <f t="shared" si="136"/>
        <v>398.12</v>
      </c>
      <c r="BT107" s="471">
        <v>16</v>
      </c>
      <c r="BU107" s="383">
        <f t="shared" si="137"/>
        <v>1</v>
      </c>
      <c r="BV107" s="385">
        <f t="shared" si="138"/>
        <v>0</v>
      </c>
      <c r="BW107" s="496">
        <v>1</v>
      </c>
      <c r="BX107" s="517"/>
      <c r="BY107" s="519">
        <v>41996</v>
      </c>
      <c r="BZ107" s="803"/>
      <c r="CA107" s="806"/>
      <c r="CB107" s="386">
        <f t="shared" si="139"/>
        <v>42361</v>
      </c>
      <c r="CC107" s="509">
        <v>228</v>
      </c>
      <c r="CD107" s="509">
        <v>0</v>
      </c>
      <c r="CE107" s="387">
        <f t="shared" si="140"/>
        <v>0</v>
      </c>
      <c r="CF107" s="388">
        <f t="shared" si="141"/>
        <v>1</v>
      </c>
      <c r="CG107" s="380">
        <f t="shared" si="142"/>
        <v>538</v>
      </c>
      <c r="CH107" s="403">
        <f t="shared" si="143"/>
        <v>8</v>
      </c>
      <c r="CI107" s="521"/>
      <c r="CJ107" s="496"/>
      <c r="CK107" s="405">
        <f t="shared" si="147"/>
        <v>0</v>
      </c>
      <c r="CL107" s="521">
        <v>14</v>
      </c>
      <c r="CM107" s="389" t="str">
        <f t="shared" si="144"/>
        <v>Excellent coverage</v>
      </c>
      <c r="CN107" s="490">
        <v>0</v>
      </c>
      <c r="CO107" s="529" t="s">
        <v>292</v>
      </c>
      <c r="CP107" s="528"/>
    </row>
    <row r="108" spans="2:94" s="40" customFormat="1" ht="30.75" customHeight="1" x14ac:dyDescent="0.2">
      <c r="B108" s="465" t="s">
        <v>183</v>
      </c>
      <c r="C108" s="466" t="s">
        <v>692</v>
      </c>
      <c r="D108" s="467" t="s">
        <v>265</v>
      </c>
      <c r="E108" s="466" t="s">
        <v>616</v>
      </c>
      <c r="F108" s="467">
        <v>97.740570000000005</v>
      </c>
      <c r="G108" s="467">
        <v>24.266819999999999</v>
      </c>
      <c r="H108" s="467" t="s">
        <v>449</v>
      </c>
      <c r="I108" s="467" t="s">
        <v>221</v>
      </c>
      <c r="J108" s="467"/>
      <c r="K108" s="467"/>
      <c r="L108" s="471">
        <v>0</v>
      </c>
      <c r="M108" s="471">
        <v>333</v>
      </c>
      <c r="N108" s="471"/>
      <c r="O108" s="471">
        <v>333</v>
      </c>
      <c r="P108" s="376" t="str">
        <f t="shared" si="111"/>
        <v>1. Small</v>
      </c>
      <c r="Q108" s="717"/>
      <c r="R108" s="472" t="s">
        <v>230</v>
      </c>
      <c r="S108" s="479" t="s">
        <v>299</v>
      </c>
      <c r="T108" s="398" t="str">
        <f t="shared" si="112"/>
        <v>Not covered</v>
      </c>
      <c r="U108" s="478" t="s">
        <v>626</v>
      </c>
      <c r="V108" s="481" t="s">
        <v>252</v>
      </c>
      <c r="W108" s="395" t="str">
        <f t="shared" si="113"/>
        <v>Documented</v>
      </c>
      <c r="X108" s="486">
        <v>0</v>
      </c>
      <c r="Y108" s="471">
        <v>0</v>
      </c>
      <c r="Z108" s="800"/>
      <c r="AA108" s="487" t="s">
        <v>19</v>
      </c>
      <c r="AB108" s="486">
        <v>0</v>
      </c>
      <c r="AC108" s="471">
        <v>0</v>
      </c>
      <c r="AD108" s="487">
        <v>8640</v>
      </c>
      <c r="AE108" s="495">
        <v>0</v>
      </c>
      <c r="AF108" s="496">
        <v>0</v>
      </c>
      <c r="AG108" s="796"/>
      <c r="AH108" s="401">
        <f t="shared" si="114"/>
        <v>1</v>
      </c>
      <c r="AI108" s="378">
        <f t="shared" si="115"/>
        <v>333</v>
      </c>
      <c r="AJ108" s="379">
        <f t="shared" si="116"/>
        <v>1</v>
      </c>
      <c r="AK108" s="380">
        <f t="shared" si="117"/>
        <v>333</v>
      </c>
      <c r="AL108" s="377">
        <f t="shared" si="118"/>
        <v>1</v>
      </c>
      <c r="AM108" s="380">
        <f t="shared" si="119"/>
        <v>333</v>
      </c>
      <c r="AN108" s="381" t="str">
        <f t="shared" si="120"/>
        <v>80-100%</v>
      </c>
      <c r="AO108" s="377">
        <f t="shared" si="121"/>
        <v>0</v>
      </c>
      <c r="AP108" s="382">
        <f t="shared" si="122"/>
        <v>0</v>
      </c>
      <c r="AQ108" s="380">
        <f t="shared" si="123"/>
        <v>0.83250000000000002</v>
      </c>
      <c r="AR108" s="380">
        <f t="shared" si="124"/>
        <v>0</v>
      </c>
      <c r="AS108" s="380">
        <f t="shared" si="125"/>
        <v>0</v>
      </c>
      <c r="AT108" s="504">
        <v>1</v>
      </c>
      <c r="AU108" s="502">
        <f t="shared" si="126"/>
        <v>333</v>
      </c>
      <c r="AV108" s="496"/>
      <c r="AW108" s="748">
        <v>50</v>
      </c>
      <c r="AX108" s="471">
        <v>0</v>
      </c>
      <c r="AY108" s="471"/>
      <c r="AZ108" s="471">
        <v>27</v>
      </c>
      <c r="BA108" s="471"/>
      <c r="BB108" s="471" t="s">
        <v>290</v>
      </c>
      <c r="BC108" s="383">
        <f t="shared" si="127"/>
        <v>1</v>
      </c>
      <c r="BD108" s="380">
        <f t="shared" si="128"/>
        <v>333</v>
      </c>
      <c r="BE108" s="383">
        <f t="shared" si="129"/>
        <v>0</v>
      </c>
      <c r="BF108" s="380">
        <f t="shared" si="130"/>
        <v>0</v>
      </c>
      <c r="BG108" s="383">
        <f t="shared" si="131"/>
        <v>1</v>
      </c>
      <c r="BH108" s="380">
        <f t="shared" si="132"/>
        <v>333</v>
      </c>
      <c r="BI108" s="509">
        <v>0</v>
      </c>
      <c r="BJ108" s="504">
        <v>1</v>
      </c>
      <c r="BK108" s="384">
        <f t="shared" si="145"/>
        <v>333</v>
      </c>
      <c r="BL108" s="385">
        <f t="shared" si="146"/>
        <v>0</v>
      </c>
      <c r="BM108" s="471">
        <v>4</v>
      </c>
      <c r="BN108" s="471" t="s">
        <v>291</v>
      </c>
      <c r="BO108" s="383">
        <f t="shared" si="133"/>
        <v>1</v>
      </c>
      <c r="BP108" s="380">
        <f t="shared" si="134"/>
        <v>333</v>
      </c>
      <c r="BQ108" s="385">
        <f t="shared" si="135"/>
        <v>0</v>
      </c>
      <c r="BR108" s="510">
        <v>1</v>
      </c>
      <c r="BS108" s="380">
        <f t="shared" si="136"/>
        <v>333</v>
      </c>
      <c r="BT108" s="471">
        <v>4</v>
      </c>
      <c r="BU108" s="383">
        <f t="shared" si="137"/>
        <v>1</v>
      </c>
      <c r="BV108" s="385">
        <f t="shared" si="138"/>
        <v>0</v>
      </c>
      <c r="BW108" s="496">
        <v>1</v>
      </c>
      <c r="BX108" s="517"/>
      <c r="BY108" s="519">
        <v>41996</v>
      </c>
      <c r="BZ108" s="803"/>
      <c r="CA108" s="806"/>
      <c r="CB108" s="386">
        <f t="shared" si="139"/>
        <v>42361</v>
      </c>
      <c r="CC108" s="509">
        <v>0</v>
      </c>
      <c r="CD108" s="509">
        <v>0</v>
      </c>
      <c r="CE108" s="387">
        <f t="shared" si="140"/>
        <v>0</v>
      </c>
      <c r="CF108" s="388">
        <f t="shared" si="141"/>
        <v>1</v>
      </c>
      <c r="CG108" s="380">
        <f t="shared" si="142"/>
        <v>333</v>
      </c>
      <c r="CH108" s="403">
        <f t="shared" si="143"/>
        <v>8</v>
      </c>
      <c r="CI108" s="521"/>
      <c r="CJ108" s="496"/>
      <c r="CK108" s="405">
        <f t="shared" si="147"/>
        <v>0</v>
      </c>
      <c r="CL108" s="521">
        <v>2</v>
      </c>
      <c r="CM108" s="389" t="str">
        <f t="shared" si="144"/>
        <v>Excellent coverage</v>
      </c>
      <c r="CN108" s="490">
        <v>0</v>
      </c>
      <c r="CO108" s="529" t="s">
        <v>66</v>
      </c>
      <c r="CP108" s="527"/>
    </row>
    <row r="109" spans="2:94" s="40" customFormat="1" ht="30.75" customHeight="1" x14ac:dyDescent="0.2">
      <c r="B109" s="465" t="s">
        <v>183</v>
      </c>
      <c r="C109" s="466" t="s">
        <v>692</v>
      </c>
      <c r="D109" s="467" t="s">
        <v>265</v>
      </c>
      <c r="E109" s="466" t="s">
        <v>615</v>
      </c>
      <c r="F109" s="467">
        <v>97.758769999999998</v>
      </c>
      <c r="G109" s="467">
        <v>24.255469999999999</v>
      </c>
      <c r="H109" s="467" t="s">
        <v>449</v>
      </c>
      <c r="I109" s="467" t="s">
        <v>221</v>
      </c>
      <c r="J109" s="467"/>
      <c r="K109" s="467"/>
      <c r="L109" s="471">
        <v>0</v>
      </c>
      <c r="M109" s="471">
        <v>506</v>
      </c>
      <c r="N109" s="471"/>
      <c r="O109" s="471">
        <v>506</v>
      </c>
      <c r="P109" s="376" t="str">
        <f t="shared" si="111"/>
        <v>1. Small</v>
      </c>
      <c r="Q109" s="717"/>
      <c r="R109" s="472" t="s">
        <v>230</v>
      </c>
      <c r="S109" s="479" t="s">
        <v>299</v>
      </c>
      <c r="T109" s="398" t="str">
        <f t="shared" si="112"/>
        <v>Not covered</v>
      </c>
      <c r="U109" s="478" t="s">
        <v>626</v>
      </c>
      <c r="V109" s="481" t="s">
        <v>252</v>
      </c>
      <c r="W109" s="395" t="str">
        <f t="shared" si="113"/>
        <v>Documented</v>
      </c>
      <c r="X109" s="486">
        <v>0</v>
      </c>
      <c r="Y109" s="471">
        <v>0</v>
      </c>
      <c r="Z109" s="800"/>
      <c r="AA109" s="487" t="s">
        <v>19</v>
      </c>
      <c r="AB109" s="486">
        <v>0</v>
      </c>
      <c r="AC109" s="471">
        <v>0</v>
      </c>
      <c r="AD109" s="487">
        <v>24300</v>
      </c>
      <c r="AE109" s="495">
        <v>0</v>
      </c>
      <c r="AF109" s="496">
        <v>0</v>
      </c>
      <c r="AG109" s="796"/>
      <c r="AH109" s="401">
        <f t="shared" si="114"/>
        <v>1</v>
      </c>
      <c r="AI109" s="378">
        <f t="shared" si="115"/>
        <v>506</v>
      </c>
      <c r="AJ109" s="379">
        <f t="shared" si="116"/>
        <v>1</v>
      </c>
      <c r="AK109" s="380">
        <f t="shared" si="117"/>
        <v>506</v>
      </c>
      <c r="AL109" s="377">
        <f t="shared" si="118"/>
        <v>1</v>
      </c>
      <c r="AM109" s="380">
        <f t="shared" si="119"/>
        <v>506</v>
      </c>
      <c r="AN109" s="381" t="str">
        <f t="shared" si="120"/>
        <v>80-100%</v>
      </c>
      <c r="AO109" s="377">
        <f t="shared" si="121"/>
        <v>0</v>
      </c>
      <c r="AP109" s="382">
        <f t="shared" si="122"/>
        <v>0</v>
      </c>
      <c r="AQ109" s="380">
        <f t="shared" si="123"/>
        <v>1.2649999999999999</v>
      </c>
      <c r="AR109" s="380">
        <f t="shared" si="124"/>
        <v>0</v>
      </c>
      <c r="AS109" s="380">
        <f t="shared" si="125"/>
        <v>0</v>
      </c>
      <c r="AT109" s="504">
        <v>1</v>
      </c>
      <c r="AU109" s="502">
        <f t="shared" si="126"/>
        <v>506</v>
      </c>
      <c r="AV109" s="496"/>
      <c r="AW109" s="748">
        <v>84</v>
      </c>
      <c r="AX109" s="471">
        <v>6</v>
      </c>
      <c r="AY109" s="471"/>
      <c r="AZ109" s="471">
        <v>16</v>
      </c>
      <c r="BA109" s="471"/>
      <c r="BB109" s="471" t="s">
        <v>89</v>
      </c>
      <c r="BC109" s="383">
        <f t="shared" si="127"/>
        <v>0.86956521739130432</v>
      </c>
      <c r="BD109" s="380">
        <f t="shared" si="128"/>
        <v>440</v>
      </c>
      <c r="BE109" s="383">
        <f t="shared" si="129"/>
        <v>0.23715415019762842</v>
      </c>
      <c r="BF109" s="380">
        <f t="shared" si="130"/>
        <v>119.99999999999999</v>
      </c>
      <c r="BG109" s="383">
        <f t="shared" si="131"/>
        <v>0.6324110671936759</v>
      </c>
      <c r="BH109" s="380">
        <f t="shared" si="132"/>
        <v>320</v>
      </c>
      <c r="BI109" s="509">
        <v>0</v>
      </c>
      <c r="BJ109" s="504">
        <v>0.873</v>
      </c>
      <c r="BK109" s="384">
        <f t="shared" si="145"/>
        <v>441.738</v>
      </c>
      <c r="BL109" s="385">
        <f t="shared" si="146"/>
        <v>9.3000000000000007</v>
      </c>
      <c r="BM109" s="471">
        <v>1</v>
      </c>
      <c r="BN109" s="471" t="s">
        <v>290</v>
      </c>
      <c r="BO109" s="383">
        <f t="shared" si="133"/>
        <v>0.19762845849802371</v>
      </c>
      <c r="BP109" s="380">
        <f t="shared" si="134"/>
        <v>100</v>
      </c>
      <c r="BQ109" s="385">
        <f t="shared" si="135"/>
        <v>4.0599999999999996</v>
      </c>
      <c r="BR109" s="510">
        <v>0.28999999999999998</v>
      </c>
      <c r="BS109" s="380">
        <f t="shared" si="136"/>
        <v>146.73999999999998</v>
      </c>
      <c r="BT109" s="471">
        <v>2</v>
      </c>
      <c r="BU109" s="383">
        <f t="shared" si="137"/>
        <v>0.39525691699604742</v>
      </c>
      <c r="BV109" s="385">
        <f t="shared" si="138"/>
        <v>3.0599999999999996</v>
      </c>
      <c r="BW109" s="496">
        <v>0.4</v>
      </c>
      <c r="BX109" s="517"/>
      <c r="BY109" s="519">
        <v>41996</v>
      </c>
      <c r="BZ109" s="803"/>
      <c r="CA109" s="806"/>
      <c r="CB109" s="386">
        <f t="shared" si="139"/>
        <v>42361</v>
      </c>
      <c r="CC109" s="509">
        <v>0</v>
      </c>
      <c r="CD109" s="509">
        <v>0</v>
      </c>
      <c r="CE109" s="387">
        <f t="shared" si="140"/>
        <v>0</v>
      </c>
      <c r="CF109" s="388">
        <f t="shared" si="141"/>
        <v>1</v>
      </c>
      <c r="CG109" s="380">
        <f t="shared" si="142"/>
        <v>506</v>
      </c>
      <c r="CH109" s="403">
        <f t="shared" si="143"/>
        <v>8</v>
      </c>
      <c r="CI109" s="521"/>
      <c r="CJ109" s="496"/>
      <c r="CK109" s="405">
        <f t="shared" si="147"/>
        <v>0</v>
      </c>
      <c r="CL109" s="521">
        <v>2</v>
      </c>
      <c r="CM109" s="389" t="str">
        <f t="shared" si="144"/>
        <v>Excellent coverage</v>
      </c>
      <c r="CN109" s="490">
        <v>0</v>
      </c>
      <c r="CO109" s="529" t="s">
        <v>292</v>
      </c>
      <c r="CP109" s="527"/>
    </row>
    <row r="110" spans="2:94" s="40" customFormat="1" ht="30.75" customHeight="1" x14ac:dyDescent="0.2">
      <c r="B110" s="465" t="s">
        <v>183</v>
      </c>
      <c r="C110" s="466" t="s">
        <v>692</v>
      </c>
      <c r="D110" s="467" t="s">
        <v>265</v>
      </c>
      <c r="E110" s="466" t="s">
        <v>620</v>
      </c>
      <c r="F110" s="467">
        <v>97.758769999999998</v>
      </c>
      <c r="G110" s="467">
        <v>24.255469999999999</v>
      </c>
      <c r="H110" s="467" t="s">
        <v>459</v>
      </c>
      <c r="I110" s="467" t="s">
        <v>221</v>
      </c>
      <c r="J110" s="467"/>
      <c r="K110" s="467"/>
      <c r="L110" s="471">
        <v>78</v>
      </c>
      <c r="M110" s="471">
        <v>326</v>
      </c>
      <c r="N110" s="471"/>
      <c r="O110" s="471">
        <v>326</v>
      </c>
      <c r="P110" s="376" t="str">
        <f t="shared" si="111"/>
        <v>2. Medium</v>
      </c>
      <c r="Q110" s="717"/>
      <c r="R110" s="472" t="s">
        <v>230</v>
      </c>
      <c r="S110" s="479" t="s">
        <v>299</v>
      </c>
      <c r="T110" s="398" t="str">
        <f t="shared" si="112"/>
        <v>Not covered</v>
      </c>
      <c r="U110" s="478" t="s">
        <v>626</v>
      </c>
      <c r="V110" s="481" t="s">
        <v>252</v>
      </c>
      <c r="W110" s="395" t="str">
        <f t="shared" si="113"/>
        <v>Documented</v>
      </c>
      <c r="X110" s="486">
        <v>0</v>
      </c>
      <c r="Y110" s="471">
        <v>0</v>
      </c>
      <c r="Z110" s="800"/>
      <c r="AA110" s="487" t="s">
        <v>19</v>
      </c>
      <c r="AB110" s="486">
        <v>0</v>
      </c>
      <c r="AC110" s="471">
        <v>0</v>
      </c>
      <c r="AD110" s="487">
        <v>10631</v>
      </c>
      <c r="AE110" s="495">
        <v>0</v>
      </c>
      <c r="AF110" s="496">
        <v>0</v>
      </c>
      <c r="AG110" s="796"/>
      <c r="AH110" s="401">
        <f t="shared" si="114"/>
        <v>1</v>
      </c>
      <c r="AI110" s="378">
        <f t="shared" si="115"/>
        <v>326</v>
      </c>
      <c r="AJ110" s="379">
        <f t="shared" si="116"/>
        <v>1</v>
      </c>
      <c r="AK110" s="380">
        <f t="shared" si="117"/>
        <v>326</v>
      </c>
      <c r="AL110" s="377">
        <f t="shared" si="118"/>
        <v>1</v>
      </c>
      <c r="AM110" s="380">
        <f t="shared" si="119"/>
        <v>326</v>
      </c>
      <c r="AN110" s="381" t="str">
        <f t="shared" si="120"/>
        <v>80-100%</v>
      </c>
      <c r="AO110" s="377">
        <f t="shared" si="121"/>
        <v>0</v>
      </c>
      <c r="AP110" s="382">
        <f t="shared" si="122"/>
        <v>0</v>
      </c>
      <c r="AQ110" s="380">
        <f t="shared" si="123"/>
        <v>0.81499999999999995</v>
      </c>
      <c r="AR110" s="380">
        <f t="shared" si="124"/>
        <v>0</v>
      </c>
      <c r="AS110" s="380">
        <f t="shared" si="125"/>
        <v>0</v>
      </c>
      <c r="AT110" s="504">
        <v>1</v>
      </c>
      <c r="AU110" s="502">
        <f t="shared" si="126"/>
        <v>326</v>
      </c>
      <c r="AV110" s="496"/>
      <c r="AW110" s="748">
        <v>10</v>
      </c>
      <c r="AX110" s="471">
        <v>78</v>
      </c>
      <c r="AY110" s="471"/>
      <c r="AZ110" s="471">
        <v>0</v>
      </c>
      <c r="BA110" s="471"/>
      <c r="BB110" s="471" t="s">
        <v>89</v>
      </c>
      <c r="BC110" s="383">
        <f t="shared" si="127"/>
        <v>1</v>
      </c>
      <c r="BD110" s="380">
        <f t="shared" si="128"/>
        <v>326</v>
      </c>
      <c r="BE110" s="383">
        <f t="shared" si="129"/>
        <v>1</v>
      </c>
      <c r="BF110" s="380">
        <f t="shared" si="130"/>
        <v>326</v>
      </c>
      <c r="BG110" s="383">
        <f t="shared" si="131"/>
        <v>0</v>
      </c>
      <c r="BH110" s="380">
        <f t="shared" si="132"/>
        <v>0</v>
      </c>
      <c r="BI110" s="509">
        <v>0</v>
      </c>
      <c r="BJ110" s="504">
        <v>1</v>
      </c>
      <c r="BK110" s="384">
        <f t="shared" si="145"/>
        <v>326</v>
      </c>
      <c r="BL110" s="385">
        <f t="shared" si="146"/>
        <v>16.3</v>
      </c>
      <c r="BM110" s="471">
        <v>0</v>
      </c>
      <c r="BN110" s="471" t="s">
        <v>89</v>
      </c>
      <c r="BO110" s="383">
        <f t="shared" si="133"/>
        <v>0</v>
      </c>
      <c r="BP110" s="380">
        <f t="shared" si="134"/>
        <v>0</v>
      </c>
      <c r="BQ110" s="385">
        <f t="shared" si="135"/>
        <v>3.26</v>
      </c>
      <c r="BR110" s="510">
        <v>0</v>
      </c>
      <c r="BS110" s="380">
        <f t="shared" si="136"/>
        <v>0</v>
      </c>
      <c r="BT110" s="471">
        <v>0</v>
      </c>
      <c r="BU110" s="383">
        <f t="shared" si="137"/>
        <v>0</v>
      </c>
      <c r="BV110" s="385">
        <f t="shared" si="138"/>
        <v>3.26</v>
      </c>
      <c r="BW110" s="496">
        <v>0</v>
      </c>
      <c r="BX110" s="517"/>
      <c r="BY110" s="519">
        <v>41996</v>
      </c>
      <c r="BZ110" s="803"/>
      <c r="CA110" s="806"/>
      <c r="CB110" s="386">
        <f t="shared" si="139"/>
        <v>42361</v>
      </c>
      <c r="CC110" s="509">
        <v>78</v>
      </c>
      <c r="CD110" s="509">
        <v>0</v>
      </c>
      <c r="CE110" s="387">
        <f t="shared" si="140"/>
        <v>0</v>
      </c>
      <c r="CF110" s="388">
        <f t="shared" si="141"/>
        <v>1</v>
      </c>
      <c r="CG110" s="380">
        <f t="shared" si="142"/>
        <v>326</v>
      </c>
      <c r="CH110" s="403">
        <f t="shared" si="143"/>
        <v>8</v>
      </c>
      <c r="CI110" s="521"/>
      <c r="CJ110" s="496"/>
      <c r="CK110" s="405">
        <f t="shared" si="147"/>
        <v>0</v>
      </c>
      <c r="CL110" s="521">
        <v>0</v>
      </c>
      <c r="CM110" s="389" t="str">
        <f t="shared" si="144"/>
        <v>No coverage</v>
      </c>
      <c r="CN110" s="490">
        <v>0</v>
      </c>
      <c r="CO110" s="529" t="s">
        <v>66</v>
      </c>
      <c r="CP110" s="527"/>
    </row>
    <row r="111" spans="2:94" s="40" customFormat="1" ht="30.75" customHeight="1" x14ac:dyDescent="0.2">
      <c r="B111" s="465" t="s">
        <v>183</v>
      </c>
      <c r="C111" s="466" t="s">
        <v>692</v>
      </c>
      <c r="D111" s="467" t="s">
        <v>265</v>
      </c>
      <c r="E111" s="466" t="s">
        <v>668</v>
      </c>
      <c r="F111" s="467">
        <v>97.755750000000006</v>
      </c>
      <c r="G111" s="467">
        <v>24.273479999999999</v>
      </c>
      <c r="H111" s="467" t="s">
        <v>449</v>
      </c>
      <c r="I111" s="467" t="s">
        <v>221</v>
      </c>
      <c r="J111" s="467"/>
      <c r="K111" s="467"/>
      <c r="L111" s="471">
        <v>0</v>
      </c>
      <c r="M111" s="471">
        <v>211</v>
      </c>
      <c r="N111" s="471"/>
      <c r="O111" s="471">
        <v>211</v>
      </c>
      <c r="P111" s="376" t="str">
        <f t="shared" si="111"/>
        <v>1. Small</v>
      </c>
      <c r="Q111" s="717"/>
      <c r="R111" s="472" t="s">
        <v>230</v>
      </c>
      <c r="S111" s="479" t="s">
        <v>299</v>
      </c>
      <c r="T111" s="398" t="str">
        <f t="shared" si="112"/>
        <v>Not covered</v>
      </c>
      <c r="U111" s="478" t="s">
        <v>626</v>
      </c>
      <c r="V111" s="481" t="s">
        <v>252</v>
      </c>
      <c r="W111" s="395" t="str">
        <f t="shared" si="113"/>
        <v>Documented</v>
      </c>
      <c r="X111" s="486">
        <v>0</v>
      </c>
      <c r="Y111" s="471">
        <v>0</v>
      </c>
      <c r="Z111" s="800"/>
      <c r="AA111" s="487" t="s">
        <v>19</v>
      </c>
      <c r="AB111" s="486">
        <v>0</v>
      </c>
      <c r="AC111" s="471">
        <v>0</v>
      </c>
      <c r="AD111" s="487">
        <v>9000</v>
      </c>
      <c r="AE111" s="495">
        <v>0</v>
      </c>
      <c r="AF111" s="496">
        <v>0</v>
      </c>
      <c r="AG111" s="796"/>
      <c r="AH111" s="401">
        <f t="shared" si="114"/>
        <v>1</v>
      </c>
      <c r="AI111" s="378">
        <f t="shared" si="115"/>
        <v>211</v>
      </c>
      <c r="AJ111" s="379">
        <f t="shared" si="116"/>
        <v>1</v>
      </c>
      <c r="AK111" s="380">
        <f t="shared" si="117"/>
        <v>211</v>
      </c>
      <c r="AL111" s="377">
        <f t="shared" si="118"/>
        <v>1</v>
      </c>
      <c r="AM111" s="380">
        <f t="shared" si="119"/>
        <v>211</v>
      </c>
      <c r="AN111" s="381" t="str">
        <f t="shared" si="120"/>
        <v>80-100%</v>
      </c>
      <c r="AO111" s="377">
        <f t="shared" si="121"/>
        <v>0</v>
      </c>
      <c r="AP111" s="382">
        <f t="shared" si="122"/>
        <v>0</v>
      </c>
      <c r="AQ111" s="380">
        <f t="shared" si="123"/>
        <v>0.52749999999999997</v>
      </c>
      <c r="AR111" s="380">
        <f t="shared" si="124"/>
        <v>0</v>
      </c>
      <c r="AS111" s="380">
        <f t="shared" si="125"/>
        <v>0</v>
      </c>
      <c r="AT111" s="504">
        <v>1</v>
      </c>
      <c r="AU111" s="502">
        <f t="shared" si="126"/>
        <v>211</v>
      </c>
      <c r="AV111" s="496"/>
      <c r="AW111" s="748">
        <v>0</v>
      </c>
      <c r="AX111" s="471">
        <v>6</v>
      </c>
      <c r="AY111" s="471"/>
      <c r="AZ111" s="471">
        <v>0</v>
      </c>
      <c r="BA111" s="471"/>
      <c r="BB111" s="471" t="s">
        <v>89</v>
      </c>
      <c r="BC111" s="383">
        <f t="shared" si="127"/>
        <v>0.56872037914691942</v>
      </c>
      <c r="BD111" s="380">
        <f t="shared" si="128"/>
        <v>120</v>
      </c>
      <c r="BE111" s="383">
        <f t="shared" si="129"/>
        <v>0.56872037914691942</v>
      </c>
      <c r="BF111" s="380">
        <f t="shared" si="130"/>
        <v>120</v>
      </c>
      <c r="BG111" s="383">
        <f t="shared" si="131"/>
        <v>0</v>
      </c>
      <c r="BH111" s="380">
        <f t="shared" si="132"/>
        <v>0</v>
      </c>
      <c r="BI111" s="509">
        <v>0</v>
      </c>
      <c r="BJ111" s="504">
        <v>0.57299999999999995</v>
      </c>
      <c r="BK111" s="384">
        <f t="shared" si="145"/>
        <v>120.90299999999999</v>
      </c>
      <c r="BL111" s="385">
        <f t="shared" si="146"/>
        <v>10.55</v>
      </c>
      <c r="BM111" s="471">
        <v>2</v>
      </c>
      <c r="BN111" s="471" t="s">
        <v>290</v>
      </c>
      <c r="BO111" s="383">
        <f t="shared" si="133"/>
        <v>0.94786729857819907</v>
      </c>
      <c r="BP111" s="380">
        <f t="shared" si="134"/>
        <v>200</v>
      </c>
      <c r="BQ111" s="385">
        <f t="shared" si="135"/>
        <v>0.10999999999999988</v>
      </c>
      <c r="BR111" s="510">
        <v>0.95</v>
      </c>
      <c r="BS111" s="380">
        <f t="shared" si="136"/>
        <v>200.45</v>
      </c>
      <c r="BT111" s="471">
        <v>0</v>
      </c>
      <c r="BU111" s="383">
        <f t="shared" si="137"/>
        <v>0</v>
      </c>
      <c r="BV111" s="385">
        <f t="shared" si="138"/>
        <v>2.11</v>
      </c>
      <c r="BW111" s="496">
        <v>0</v>
      </c>
      <c r="BX111" s="517"/>
      <c r="BY111" s="519">
        <v>41996</v>
      </c>
      <c r="BZ111" s="803"/>
      <c r="CA111" s="806"/>
      <c r="CB111" s="386">
        <f t="shared" si="139"/>
        <v>42361</v>
      </c>
      <c r="CC111" s="509">
        <v>0</v>
      </c>
      <c r="CD111" s="509">
        <v>0</v>
      </c>
      <c r="CE111" s="387">
        <f t="shared" si="140"/>
        <v>0</v>
      </c>
      <c r="CF111" s="388">
        <f t="shared" si="141"/>
        <v>1</v>
      </c>
      <c r="CG111" s="380">
        <f t="shared" si="142"/>
        <v>211</v>
      </c>
      <c r="CH111" s="403">
        <f t="shared" si="143"/>
        <v>8</v>
      </c>
      <c r="CI111" s="521"/>
      <c r="CJ111" s="496"/>
      <c r="CK111" s="405">
        <f t="shared" si="147"/>
        <v>0</v>
      </c>
      <c r="CL111" s="521">
        <v>0</v>
      </c>
      <c r="CM111" s="389" t="str">
        <f t="shared" si="144"/>
        <v>No coverage</v>
      </c>
      <c r="CN111" s="490">
        <v>0</v>
      </c>
      <c r="CO111" s="529" t="s">
        <v>292</v>
      </c>
      <c r="CP111" s="527"/>
    </row>
    <row r="112" spans="2:94" s="40" customFormat="1" ht="30.75" customHeight="1" x14ac:dyDescent="0.2">
      <c r="B112" s="465" t="s">
        <v>183</v>
      </c>
      <c r="C112" s="466" t="s">
        <v>573</v>
      </c>
      <c r="D112" s="467" t="s">
        <v>259</v>
      </c>
      <c r="E112" s="466" t="s">
        <v>465</v>
      </c>
      <c r="F112" s="467">
        <v>97.417240000000007</v>
      </c>
      <c r="G112" s="467">
        <v>24.49184</v>
      </c>
      <c r="H112" s="467" t="s">
        <v>459</v>
      </c>
      <c r="I112" s="467" t="s">
        <v>213</v>
      </c>
      <c r="J112" s="467"/>
      <c r="K112" s="467"/>
      <c r="L112" s="471">
        <v>10</v>
      </c>
      <c r="M112" s="471">
        <v>38</v>
      </c>
      <c r="N112" s="471"/>
      <c r="O112" s="471">
        <v>38</v>
      </c>
      <c r="P112" s="376" t="str">
        <f t="shared" si="111"/>
        <v>1. Small</v>
      </c>
      <c r="Q112" s="717"/>
      <c r="R112" s="472"/>
      <c r="S112" s="479" t="s">
        <v>299</v>
      </c>
      <c r="T112" s="398" t="str">
        <f t="shared" si="112"/>
        <v>Not covered</v>
      </c>
      <c r="U112" s="480"/>
      <c r="V112" s="481" t="s">
        <v>254</v>
      </c>
      <c r="W112" s="395" t="str">
        <f t="shared" si="113"/>
        <v>Not documented</v>
      </c>
      <c r="X112" s="486">
        <v>0</v>
      </c>
      <c r="Y112" s="471">
        <v>0</v>
      </c>
      <c r="Z112" s="800"/>
      <c r="AA112" s="487" t="s">
        <v>19</v>
      </c>
      <c r="AB112" s="486">
        <v>0</v>
      </c>
      <c r="AC112" s="471">
        <v>0</v>
      </c>
      <c r="AD112" s="487">
        <v>0</v>
      </c>
      <c r="AE112" s="495">
        <v>0</v>
      </c>
      <c r="AF112" s="496">
        <v>0</v>
      </c>
      <c r="AG112" s="796"/>
      <c r="AH112" s="401">
        <f t="shared" si="114"/>
        <v>0</v>
      </c>
      <c r="AI112" s="378">
        <f t="shared" si="115"/>
        <v>0</v>
      </c>
      <c r="AJ112" s="379">
        <f t="shared" si="116"/>
        <v>0</v>
      </c>
      <c r="AK112" s="380">
        <f t="shared" si="117"/>
        <v>0</v>
      </c>
      <c r="AL112" s="377">
        <f t="shared" si="118"/>
        <v>0</v>
      </c>
      <c r="AM112" s="380">
        <f t="shared" si="119"/>
        <v>0</v>
      </c>
      <c r="AN112" s="381" t="str">
        <f t="shared" si="120"/>
        <v>0-10%</v>
      </c>
      <c r="AO112" s="377">
        <f t="shared" si="121"/>
        <v>0</v>
      </c>
      <c r="AP112" s="382">
        <f t="shared" si="122"/>
        <v>0</v>
      </c>
      <c r="AQ112" s="380">
        <f t="shared" si="123"/>
        <v>9.5000000000000001E-2</v>
      </c>
      <c r="AR112" s="380">
        <f t="shared" si="124"/>
        <v>0</v>
      </c>
      <c r="AS112" s="380">
        <f t="shared" si="125"/>
        <v>0</v>
      </c>
      <c r="AT112" s="504">
        <v>0</v>
      </c>
      <c r="AU112" s="502">
        <f t="shared" si="126"/>
        <v>0</v>
      </c>
      <c r="AV112" s="496"/>
      <c r="AW112" s="748">
        <v>78</v>
      </c>
      <c r="AX112" s="471">
        <v>0</v>
      </c>
      <c r="AY112" s="471"/>
      <c r="AZ112" s="471">
        <v>0</v>
      </c>
      <c r="BA112" s="471"/>
      <c r="BB112" s="471" t="s">
        <v>89</v>
      </c>
      <c r="BC112" s="383">
        <f t="shared" si="127"/>
        <v>0</v>
      </c>
      <c r="BD112" s="380">
        <f t="shared" si="128"/>
        <v>0</v>
      </c>
      <c r="BE112" s="383">
        <f t="shared" si="129"/>
        <v>0</v>
      </c>
      <c r="BF112" s="380">
        <f t="shared" si="130"/>
        <v>0</v>
      </c>
      <c r="BG112" s="383">
        <f t="shared" si="131"/>
        <v>0</v>
      </c>
      <c r="BH112" s="380">
        <f t="shared" si="132"/>
        <v>0</v>
      </c>
      <c r="BI112" s="509">
        <v>0</v>
      </c>
      <c r="BJ112" s="504">
        <v>0</v>
      </c>
      <c r="BK112" s="384">
        <f t="shared" si="145"/>
        <v>0</v>
      </c>
      <c r="BL112" s="385">
        <f t="shared" si="146"/>
        <v>1.9</v>
      </c>
      <c r="BM112" s="471">
        <v>0</v>
      </c>
      <c r="BN112" s="471" t="s">
        <v>89</v>
      </c>
      <c r="BO112" s="383">
        <f t="shared" si="133"/>
        <v>0</v>
      </c>
      <c r="BP112" s="380">
        <f t="shared" si="134"/>
        <v>0</v>
      </c>
      <c r="BQ112" s="385">
        <f t="shared" si="135"/>
        <v>0.38</v>
      </c>
      <c r="BR112" s="510">
        <v>0</v>
      </c>
      <c r="BS112" s="380">
        <f t="shared" si="136"/>
        <v>0</v>
      </c>
      <c r="BT112" s="471">
        <v>0</v>
      </c>
      <c r="BU112" s="383">
        <f t="shared" si="137"/>
        <v>0</v>
      </c>
      <c r="BV112" s="385">
        <f t="shared" si="138"/>
        <v>0.38</v>
      </c>
      <c r="BW112" s="496">
        <v>0</v>
      </c>
      <c r="BX112" s="517"/>
      <c r="BY112" s="519"/>
      <c r="BZ112" s="803"/>
      <c r="CA112" s="806"/>
      <c r="CB112" s="386" t="str">
        <f t="shared" si="139"/>
        <v>To be realised</v>
      </c>
      <c r="CC112" s="509">
        <v>0</v>
      </c>
      <c r="CD112" s="509">
        <v>0</v>
      </c>
      <c r="CE112" s="387">
        <f t="shared" si="140"/>
        <v>10</v>
      </c>
      <c r="CF112" s="388">
        <f t="shared" si="141"/>
        <v>0</v>
      </c>
      <c r="CG112" s="380">
        <f t="shared" si="142"/>
        <v>0</v>
      </c>
      <c r="CH112" s="403" t="str">
        <f t="shared" si="143"/>
        <v>Column BN to be completed</v>
      </c>
      <c r="CI112" s="521"/>
      <c r="CJ112" s="496">
        <v>0</v>
      </c>
      <c r="CK112" s="405">
        <f t="shared" si="147"/>
        <v>0</v>
      </c>
      <c r="CL112" s="521">
        <v>0</v>
      </c>
      <c r="CM112" s="389" t="str">
        <f t="shared" si="144"/>
        <v>No coverage</v>
      </c>
      <c r="CN112" s="490">
        <v>0</v>
      </c>
      <c r="CO112" s="529" t="s">
        <v>66</v>
      </c>
      <c r="CP112" s="527"/>
    </row>
    <row r="113" spans="2:94" s="40" customFormat="1" ht="30.75" customHeight="1" x14ac:dyDescent="0.2">
      <c r="B113" s="465" t="s">
        <v>209</v>
      </c>
      <c r="C113" s="466" t="s">
        <v>697</v>
      </c>
      <c r="D113" s="467" t="s">
        <v>266</v>
      </c>
      <c r="E113" s="466" t="s">
        <v>478</v>
      </c>
      <c r="F113" s="467">
        <v>97.909217999999996</v>
      </c>
      <c r="G113" s="467">
        <v>24.005448999999999</v>
      </c>
      <c r="H113" s="467" t="s">
        <v>448</v>
      </c>
      <c r="I113" s="467" t="s">
        <v>213</v>
      </c>
      <c r="J113" s="467"/>
      <c r="K113" s="467"/>
      <c r="L113" s="468">
        <v>61</v>
      </c>
      <c r="M113" s="468">
        <v>250</v>
      </c>
      <c r="N113" s="468"/>
      <c r="O113" s="468">
        <v>250</v>
      </c>
      <c r="P113" s="376" t="str">
        <f t="shared" si="111"/>
        <v>2. Medium</v>
      </c>
      <c r="Q113" s="717" t="s">
        <v>808</v>
      </c>
      <c r="R113" s="469" t="s">
        <v>234</v>
      </c>
      <c r="S113" s="477" t="s">
        <v>232</v>
      </c>
      <c r="T113" s="398" t="str">
        <f t="shared" si="112"/>
        <v>Covered</v>
      </c>
      <c r="U113" s="478">
        <v>42369</v>
      </c>
      <c r="V113" s="469" t="s">
        <v>252</v>
      </c>
      <c r="W113" s="395" t="str">
        <f t="shared" si="113"/>
        <v>Documented</v>
      </c>
      <c r="X113" s="484">
        <v>0</v>
      </c>
      <c r="Y113" s="468">
        <v>0</v>
      </c>
      <c r="Z113" s="801"/>
      <c r="AA113" s="485" t="s">
        <v>19</v>
      </c>
      <c r="AB113" s="492">
        <v>0</v>
      </c>
      <c r="AC113" s="468">
        <v>0</v>
      </c>
      <c r="AD113" s="485">
        <v>20000</v>
      </c>
      <c r="AE113" s="497">
        <v>1</v>
      </c>
      <c r="AF113" s="498">
        <v>1</v>
      </c>
      <c r="AG113" s="797"/>
      <c r="AH113" s="401">
        <f t="shared" si="114"/>
        <v>1</v>
      </c>
      <c r="AI113" s="378">
        <f t="shared" si="115"/>
        <v>250</v>
      </c>
      <c r="AJ113" s="379">
        <f t="shared" si="116"/>
        <v>1</v>
      </c>
      <c r="AK113" s="380">
        <f t="shared" si="117"/>
        <v>250</v>
      </c>
      <c r="AL113" s="377">
        <f t="shared" si="118"/>
        <v>1</v>
      </c>
      <c r="AM113" s="380">
        <f t="shared" si="119"/>
        <v>250</v>
      </c>
      <c r="AN113" s="381" t="str">
        <f t="shared" si="120"/>
        <v>80-100%</v>
      </c>
      <c r="AO113" s="377">
        <f t="shared" si="121"/>
        <v>0</v>
      </c>
      <c r="AP113" s="382">
        <f t="shared" si="122"/>
        <v>0</v>
      </c>
      <c r="AQ113" s="380">
        <f t="shared" si="123"/>
        <v>0.625</v>
      </c>
      <c r="AR113" s="380">
        <f t="shared" si="124"/>
        <v>61</v>
      </c>
      <c r="AS113" s="380">
        <f t="shared" si="125"/>
        <v>250</v>
      </c>
      <c r="AT113" s="506">
        <v>1</v>
      </c>
      <c r="AU113" s="502">
        <f t="shared" si="126"/>
        <v>250</v>
      </c>
      <c r="AV113" s="507"/>
      <c r="AW113" s="747">
        <v>81</v>
      </c>
      <c r="AX113" s="468">
        <v>10</v>
      </c>
      <c r="AY113" s="468"/>
      <c r="AZ113" s="468">
        <v>0</v>
      </c>
      <c r="BA113" s="468"/>
      <c r="BB113" s="468" t="s">
        <v>289</v>
      </c>
      <c r="BC113" s="383">
        <f t="shared" si="127"/>
        <v>0.8</v>
      </c>
      <c r="BD113" s="380">
        <f t="shared" si="128"/>
        <v>200</v>
      </c>
      <c r="BE113" s="383">
        <f t="shared" si="129"/>
        <v>0.8</v>
      </c>
      <c r="BF113" s="380">
        <f t="shared" si="130"/>
        <v>200</v>
      </c>
      <c r="BG113" s="383">
        <f t="shared" si="131"/>
        <v>0</v>
      </c>
      <c r="BH113" s="380">
        <f t="shared" si="132"/>
        <v>0</v>
      </c>
      <c r="BI113" s="490">
        <v>3</v>
      </c>
      <c r="BJ113" s="506">
        <v>1</v>
      </c>
      <c r="BK113" s="384">
        <f t="shared" si="145"/>
        <v>250</v>
      </c>
      <c r="BL113" s="385">
        <f t="shared" si="146"/>
        <v>15.5</v>
      </c>
      <c r="BM113" s="468">
        <v>4</v>
      </c>
      <c r="BN113" s="468" t="s">
        <v>290</v>
      </c>
      <c r="BO113" s="383">
        <f t="shared" si="133"/>
        <v>1</v>
      </c>
      <c r="BP113" s="380">
        <f t="shared" si="134"/>
        <v>250</v>
      </c>
      <c r="BQ113" s="385">
        <f t="shared" si="135"/>
        <v>0</v>
      </c>
      <c r="BR113" s="501">
        <v>1</v>
      </c>
      <c r="BS113" s="380">
        <f t="shared" si="136"/>
        <v>250</v>
      </c>
      <c r="BT113" s="468">
        <v>2</v>
      </c>
      <c r="BU113" s="383">
        <f t="shared" si="137"/>
        <v>0.8</v>
      </c>
      <c r="BV113" s="385">
        <f t="shared" si="138"/>
        <v>0.5</v>
      </c>
      <c r="BW113" s="494">
        <v>0.8</v>
      </c>
      <c r="BX113" s="516" t="s">
        <v>729</v>
      </c>
      <c r="BY113" s="518">
        <v>42135</v>
      </c>
      <c r="BZ113" s="804"/>
      <c r="CA113" s="807"/>
      <c r="CB113" s="386">
        <f t="shared" si="139"/>
        <v>42500</v>
      </c>
      <c r="CC113" s="468">
        <v>81</v>
      </c>
      <c r="CD113" s="468">
        <v>4</v>
      </c>
      <c r="CE113" s="390">
        <f t="shared" si="140"/>
        <v>0</v>
      </c>
      <c r="CF113" s="391">
        <f t="shared" si="141"/>
        <v>1</v>
      </c>
      <c r="CG113" s="384">
        <f t="shared" si="142"/>
        <v>250</v>
      </c>
      <c r="CH113" s="791">
        <f t="shared" si="143"/>
        <v>0</v>
      </c>
      <c r="CI113" s="484"/>
      <c r="CJ113" s="498">
        <v>0.5</v>
      </c>
      <c r="CK113" s="405">
        <f t="shared" si="147"/>
        <v>125</v>
      </c>
      <c r="CL113" s="492">
        <v>2</v>
      </c>
      <c r="CM113" s="389" t="str">
        <f t="shared" si="144"/>
        <v>Excellent coverage</v>
      </c>
      <c r="CN113" s="468">
        <v>0</v>
      </c>
      <c r="CO113" s="485" t="s">
        <v>292</v>
      </c>
      <c r="CP113" s="525"/>
    </row>
    <row r="114" spans="2:94" s="40" customFormat="1" ht="30.75" customHeight="1" x14ac:dyDescent="0.2">
      <c r="B114" s="465" t="s">
        <v>209</v>
      </c>
      <c r="C114" s="466" t="s">
        <v>698</v>
      </c>
      <c r="D114" s="467" t="s">
        <v>266</v>
      </c>
      <c r="E114" s="466" t="s">
        <v>479</v>
      </c>
      <c r="F114" s="467">
        <v>97.911671100000007</v>
      </c>
      <c r="G114" s="467">
        <v>24.006896999999999</v>
      </c>
      <c r="H114" s="467" t="s">
        <v>448</v>
      </c>
      <c r="I114" s="467" t="s">
        <v>213</v>
      </c>
      <c r="J114" s="467"/>
      <c r="K114" s="467"/>
      <c r="L114" s="468">
        <v>31</v>
      </c>
      <c r="M114" s="468">
        <v>127</v>
      </c>
      <c r="N114" s="468"/>
      <c r="O114" s="468">
        <v>127</v>
      </c>
      <c r="P114" s="376" t="str">
        <f t="shared" si="111"/>
        <v>1. Small</v>
      </c>
      <c r="Q114" s="717"/>
      <c r="R114" s="469" t="s">
        <v>230</v>
      </c>
      <c r="S114" s="477" t="s">
        <v>299</v>
      </c>
      <c r="T114" s="398" t="str">
        <f t="shared" si="112"/>
        <v>Not covered</v>
      </c>
      <c r="U114" s="478">
        <v>42460</v>
      </c>
      <c r="V114" s="469" t="s">
        <v>254</v>
      </c>
      <c r="W114" s="395" t="str">
        <f t="shared" si="113"/>
        <v>Not documented</v>
      </c>
      <c r="X114" s="484">
        <v>0</v>
      </c>
      <c r="Y114" s="468">
        <v>0</v>
      </c>
      <c r="Z114" s="801"/>
      <c r="AA114" s="485" t="s">
        <v>19</v>
      </c>
      <c r="AB114" s="492">
        <v>0</v>
      </c>
      <c r="AC114" s="468">
        <v>0</v>
      </c>
      <c r="AD114" s="485">
        <v>1000</v>
      </c>
      <c r="AE114" s="497">
        <v>0.6</v>
      </c>
      <c r="AF114" s="498">
        <v>0</v>
      </c>
      <c r="AG114" s="797"/>
      <c r="AH114" s="401">
        <f t="shared" si="114"/>
        <v>0.52493438320209973</v>
      </c>
      <c r="AI114" s="378">
        <f t="shared" si="115"/>
        <v>66.666666666666671</v>
      </c>
      <c r="AJ114" s="379">
        <f t="shared" si="116"/>
        <v>0.52493438320209973</v>
      </c>
      <c r="AK114" s="380">
        <f t="shared" si="117"/>
        <v>66.666666666666671</v>
      </c>
      <c r="AL114" s="377">
        <f t="shared" si="118"/>
        <v>0.52493438320209973</v>
      </c>
      <c r="AM114" s="380">
        <f t="shared" si="119"/>
        <v>66.666666666666671</v>
      </c>
      <c r="AN114" s="381" t="str">
        <f t="shared" si="120"/>
        <v>45-60%</v>
      </c>
      <c r="AO114" s="377">
        <f t="shared" si="121"/>
        <v>0</v>
      </c>
      <c r="AP114" s="382">
        <f t="shared" si="122"/>
        <v>0</v>
      </c>
      <c r="AQ114" s="380">
        <f t="shared" si="123"/>
        <v>0.3175</v>
      </c>
      <c r="AR114" s="380">
        <f t="shared" si="124"/>
        <v>0</v>
      </c>
      <c r="AS114" s="380">
        <f t="shared" si="125"/>
        <v>76.2</v>
      </c>
      <c r="AT114" s="506">
        <v>1</v>
      </c>
      <c r="AU114" s="502">
        <f t="shared" si="126"/>
        <v>127</v>
      </c>
      <c r="AV114" s="485"/>
      <c r="AW114" s="747">
        <v>2</v>
      </c>
      <c r="AX114" s="468">
        <v>7</v>
      </c>
      <c r="AY114" s="468"/>
      <c r="AZ114" s="468">
        <v>0</v>
      </c>
      <c r="BA114" s="468"/>
      <c r="BB114" s="468" t="s">
        <v>290</v>
      </c>
      <c r="BC114" s="383">
        <f t="shared" si="127"/>
        <v>1</v>
      </c>
      <c r="BD114" s="380">
        <f t="shared" si="128"/>
        <v>127</v>
      </c>
      <c r="BE114" s="383">
        <f t="shared" si="129"/>
        <v>1</v>
      </c>
      <c r="BF114" s="380">
        <f t="shared" si="130"/>
        <v>127</v>
      </c>
      <c r="BG114" s="383">
        <f t="shared" si="131"/>
        <v>0</v>
      </c>
      <c r="BH114" s="380">
        <f t="shared" si="132"/>
        <v>0</v>
      </c>
      <c r="BI114" s="490">
        <v>2</v>
      </c>
      <c r="BJ114" s="506">
        <v>1</v>
      </c>
      <c r="BK114" s="384">
        <f t="shared" si="145"/>
        <v>127</v>
      </c>
      <c r="BL114" s="385">
        <f t="shared" si="146"/>
        <v>8.35</v>
      </c>
      <c r="BM114" s="468">
        <v>2</v>
      </c>
      <c r="BN114" s="468" t="s">
        <v>290</v>
      </c>
      <c r="BO114" s="383">
        <f t="shared" si="133"/>
        <v>1</v>
      </c>
      <c r="BP114" s="380">
        <f t="shared" si="134"/>
        <v>127</v>
      </c>
      <c r="BQ114" s="385">
        <f t="shared" si="135"/>
        <v>0</v>
      </c>
      <c r="BR114" s="501">
        <v>1</v>
      </c>
      <c r="BS114" s="380">
        <f t="shared" si="136"/>
        <v>127</v>
      </c>
      <c r="BT114" s="468">
        <v>0</v>
      </c>
      <c r="BU114" s="383">
        <f t="shared" si="137"/>
        <v>0</v>
      </c>
      <c r="BV114" s="385">
        <f t="shared" si="138"/>
        <v>1.27</v>
      </c>
      <c r="BW114" s="494">
        <v>0</v>
      </c>
      <c r="BX114" s="516" t="s">
        <v>894</v>
      </c>
      <c r="BY114" s="518">
        <v>41776</v>
      </c>
      <c r="BZ114" s="804"/>
      <c r="CA114" s="807"/>
      <c r="CB114" s="386" t="str">
        <f t="shared" si="139"/>
        <v>To be realised</v>
      </c>
      <c r="CC114" s="468">
        <v>80</v>
      </c>
      <c r="CD114" s="468">
        <v>9</v>
      </c>
      <c r="CE114" s="390">
        <f t="shared" si="140"/>
        <v>31</v>
      </c>
      <c r="CF114" s="391">
        <f t="shared" si="141"/>
        <v>0</v>
      </c>
      <c r="CG114" s="384">
        <f t="shared" si="142"/>
        <v>0</v>
      </c>
      <c r="CH114" s="791">
        <f t="shared" si="143"/>
        <v>7</v>
      </c>
      <c r="CI114" s="484"/>
      <c r="CJ114" s="498">
        <v>0.5</v>
      </c>
      <c r="CK114" s="405">
        <f t="shared" si="147"/>
        <v>63.5</v>
      </c>
      <c r="CL114" s="492">
        <v>1</v>
      </c>
      <c r="CM114" s="389" t="str">
        <f t="shared" si="144"/>
        <v>Excellent coverage</v>
      </c>
      <c r="CN114" s="468">
        <v>0</v>
      </c>
      <c r="CO114" s="485" t="s">
        <v>65</v>
      </c>
      <c r="CP114" s="525"/>
    </row>
    <row r="115" spans="2:94" s="40" customFormat="1" ht="30.75" customHeight="1" x14ac:dyDescent="0.2">
      <c r="B115" s="465" t="s">
        <v>209</v>
      </c>
      <c r="C115" s="466" t="s">
        <v>699</v>
      </c>
      <c r="D115" s="467" t="s">
        <v>266</v>
      </c>
      <c r="E115" s="466" t="s">
        <v>622</v>
      </c>
      <c r="F115" s="467">
        <v>98.132779999999997</v>
      </c>
      <c r="G115" s="467">
        <v>23.951699999999999</v>
      </c>
      <c r="H115" s="467" t="s">
        <v>448</v>
      </c>
      <c r="I115" s="467" t="s">
        <v>213</v>
      </c>
      <c r="J115" s="467"/>
      <c r="K115" s="467"/>
      <c r="L115" s="468">
        <v>9</v>
      </c>
      <c r="M115" s="468">
        <v>44</v>
      </c>
      <c r="N115" s="468"/>
      <c r="O115" s="468">
        <v>44</v>
      </c>
      <c r="P115" s="376" t="str">
        <f t="shared" si="111"/>
        <v>1. Small</v>
      </c>
      <c r="Q115" s="717" t="s">
        <v>808</v>
      </c>
      <c r="R115" s="469" t="s">
        <v>234</v>
      </c>
      <c r="S115" s="477" t="s">
        <v>232</v>
      </c>
      <c r="T115" s="398" t="str">
        <f t="shared" si="112"/>
        <v>Covered</v>
      </c>
      <c r="U115" s="478">
        <v>42460</v>
      </c>
      <c r="V115" s="469" t="s">
        <v>252</v>
      </c>
      <c r="W115" s="395" t="str">
        <f t="shared" si="113"/>
        <v>Documented</v>
      </c>
      <c r="X115" s="484">
        <v>0</v>
      </c>
      <c r="Y115" s="468">
        <v>0</v>
      </c>
      <c r="Z115" s="801"/>
      <c r="AA115" s="485" t="s">
        <v>19</v>
      </c>
      <c r="AB115" s="492">
        <v>0</v>
      </c>
      <c r="AC115" s="468">
        <v>0</v>
      </c>
      <c r="AD115" s="485">
        <v>22500</v>
      </c>
      <c r="AE115" s="497">
        <v>1</v>
      </c>
      <c r="AF115" s="498">
        <v>0</v>
      </c>
      <c r="AG115" s="797"/>
      <c r="AH115" s="401">
        <f t="shared" si="114"/>
        <v>1</v>
      </c>
      <c r="AI115" s="378">
        <f t="shared" si="115"/>
        <v>44</v>
      </c>
      <c r="AJ115" s="379">
        <f t="shared" si="116"/>
        <v>1</v>
      </c>
      <c r="AK115" s="380">
        <f t="shared" si="117"/>
        <v>44</v>
      </c>
      <c r="AL115" s="377">
        <f t="shared" si="118"/>
        <v>1</v>
      </c>
      <c r="AM115" s="380">
        <f t="shared" si="119"/>
        <v>44</v>
      </c>
      <c r="AN115" s="381" t="str">
        <f t="shared" si="120"/>
        <v>80-100%</v>
      </c>
      <c r="AO115" s="377">
        <f t="shared" si="121"/>
        <v>0</v>
      </c>
      <c r="AP115" s="382">
        <f t="shared" si="122"/>
        <v>0</v>
      </c>
      <c r="AQ115" s="380">
        <f t="shared" si="123"/>
        <v>0.11</v>
      </c>
      <c r="AR115" s="380">
        <f t="shared" si="124"/>
        <v>0</v>
      </c>
      <c r="AS115" s="380">
        <f t="shared" si="125"/>
        <v>44</v>
      </c>
      <c r="AT115" s="506">
        <v>1</v>
      </c>
      <c r="AU115" s="502">
        <f t="shared" si="126"/>
        <v>44</v>
      </c>
      <c r="AV115" s="485"/>
      <c r="AW115" s="747">
        <v>0</v>
      </c>
      <c r="AX115" s="468">
        <v>3</v>
      </c>
      <c r="AY115" s="468"/>
      <c r="AZ115" s="468">
        <v>0</v>
      </c>
      <c r="BA115" s="468"/>
      <c r="BB115" s="468" t="s">
        <v>290</v>
      </c>
      <c r="BC115" s="383">
        <f t="shared" si="127"/>
        <v>1</v>
      </c>
      <c r="BD115" s="380">
        <f t="shared" si="128"/>
        <v>44</v>
      </c>
      <c r="BE115" s="383">
        <f t="shared" si="129"/>
        <v>1</v>
      </c>
      <c r="BF115" s="380">
        <f t="shared" si="130"/>
        <v>44</v>
      </c>
      <c r="BG115" s="383">
        <f t="shared" si="131"/>
        <v>0</v>
      </c>
      <c r="BH115" s="380">
        <f t="shared" si="132"/>
        <v>0</v>
      </c>
      <c r="BI115" s="490">
        <v>0</v>
      </c>
      <c r="BJ115" s="506">
        <v>1</v>
      </c>
      <c r="BK115" s="384">
        <f t="shared" si="145"/>
        <v>44</v>
      </c>
      <c r="BL115" s="385">
        <f t="shared" si="146"/>
        <v>2.2000000000000002</v>
      </c>
      <c r="BM115" s="468">
        <v>1</v>
      </c>
      <c r="BN115" s="468" t="s">
        <v>89</v>
      </c>
      <c r="BO115" s="383">
        <f t="shared" si="133"/>
        <v>1</v>
      </c>
      <c r="BP115" s="380">
        <f t="shared" si="134"/>
        <v>44</v>
      </c>
      <c r="BQ115" s="385">
        <f t="shared" si="135"/>
        <v>0</v>
      </c>
      <c r="BR115" s="501">
        <v>1</v>
      </c>
      <c r="BS115" s="380">
        <f t="shared" si="136"/>
        <v>44</v>
      </c>
      <c r="BT115" s="468">
        <v>0</v>
      </c>
      <c r="BU115" s="383">
        <f t="shared" si="137"/>
        <v>0</v>
      </c>
      <c r="BV115" s="385">
        <f t="shared" si="138"/>
        <v>0.44</v>
      </c>
      <c r="BW115" s="496">
        <v>0</v>
      </c>
      <c r="BX115" s="517" t="s">
        <v>893</v>
      </c>
      <c r="BY115" s="518">
        <v>42125</v>
      </c>
      <c r="BZ115" s="804"/>
      <c r="CA115" s="807"/>
      <c r="CB115" s="386">
        <f t="shared" si="139"/>
        <v>42490</v>
      </c>
      <c r="CC115" s="468">
        <v>10</v>
      </c>
      <c r="CD115" s="468">
        <v>10</v>
      </c>
      <c r="CE115" s="390">
        <f t="shared" si="140"/>
        <v>0</v>
      </c>
      <c r="CF115" s="391">
        <f t="shared" si="141"/>
        <v>1</v>
      </c>
      <c r="CG115" s="384">
        <f t="shared" si="142"/>
        <v>44</v>
      </c>
      <c r="CH115" s="791">
        <f t="shared" si="143"/>
        <v>0</v>
      </c>
      <c r="CI115" s="484" t="s">
        <v>818</v>
      </c>
      <c r="CJ115" s="498">
        <v>0</v>
      </c>
      <c r="CK115" s="405">
        <f t="shared" si="147"/>
        <v>0</v>
      </c>
      <c r="CL115" s="492">
        <v>0</v>
      </c>
      <c r="CM115" s="389" t="str">
        <f t="shared" si="144"/>
        <v>No coverage</v>
      </c>
      <c r="CN115" s="468">
        <v>0</v>
      </c>
      <c r="CO115" s="485" t="s">
        <v>292</v>
      </c>
      <c r="CP115" s="525"/>
    </row>
    <row r="116" spans="2:94" s="40" customFormat="1" ht="30.75" customHeight="1" x14ac:dyDescent="0.2">
      <c r="B116" s="465" t="s">
        <v>131</v>
      </c>
      <c r="C116" s="466" t="s">
        <v>493</v>
      </c>
      <c r="D116" s="467" t="s">
        <v>257</v>
      </c>
      <c r="E116" s="466" t="s">
        <v>132</v>
      </c>
      <c r="F116" s="467">
        <v>97.385101000000006</v>
      </c>
      <c r="G116" s="467">
        <v>25.399795999999998</v>
      </c>
      <c r="H116" s="467" t="s">
        <v>448</v>
      </c>
      <c r="I116" s="467" t="s">
        <v>213</v>
      </c>
      <c r="J116" s="467"/>
      <c r="K116" s="467"/>
      <c r="L116" s="468">
        <v>6</v>
      </c>
      <c r="M116" s="468">
        <v>27</v>
      </c>
      <c r="N116" s="468"/>
      <c r="O116" s="468">
        <v>27</v>
      </c>
      <c r="P116" s="376" t="str">
        <f t="shared" si="111"/>
        <v>1. Small</v>
      </c>
      <c r="Q116" s="717" t="s">
        <v>805</v>
      </c>
      <c r="R116" s="469" t="s">
        <v>234</v>
      </c>
      <c r="S116" s="477" t="s">
        <v>234</v>
      </c>
      <c r="T116" s="398" t="str">
        <f t="shared" si="112"/>
        <v>Covered</v>
      </c>
      <c r="U116" s="478">
        <v>42369</v>
      </c>
      <c r="V116" s="469" t="s">
        <v>252</v>
      </c>
      <c r="W116" s="395" t="str">
        <f t="shared" si="113"/>
        <v>Documented</v>
      </c>
      <c r="X116" s="484">
        <v>0</v>
      </c>
      <c r="Y116" s="468">
        <v>0</v>
      </c>
      <c r="Z116" s="801"/>
      <c r="AA116" s="485" t="s">
        <v>19</v>
      </c>
      <c r="AB116" s="484">
        <v>0</v>
      </c>
      <c r="AC116" s="490">
        <v>1</v>
      </c>
      <c r="AD116" s="491">
        <v>0</v>
      </c>
      <c r="AE116" s="497">
        <v>0</v>
      </c>
      <c r="AF116" s="498">
        <v>1</v>
      </c>
      <c r="AG116" s="797"/>
      <c r="AH116" s="401">
        <f t="shared" si="114"/>
        <v>1</v>
      </c>
      <c r="AI116" s="378">
        <f t="shared" si="115"/>
        <v>27</v>
      </c>
      <c r="AJ116" s="379">
        <f t="shared" si="116"/>
        <v>1</v>
      </c>
      <c r="AK116" s="380">
        <f t="shared" si="117"/>
        <v>27</v>
      </c>
      <c r="AL116" s="377">
        <f t="shared" si="118"/>
        <v>1</v>
      </c>
      <c r="AM116" s="380">
        <f t="shared" si="119"/>
        <v>27</v>
      </c>
      <c r="AN116" s="381" t="str">
        <f t="shared" si="120"/>
        <v>80-100%</v>
      </c>
      <c r="AO116" s="377">
        <f t="shared" si="121"/>
        <v>0</v>
      </c>
      <c r="AP116" s="382">
        <f t="shared" si="122"/>
        <v>0</v>
      </c>
      <c r="AQ116" s="380">
        <f t="shared" si="123"/>
        <v>0</v>
      </c>
      <c r="AR116" s="380">
        <f t="shared" si="124"/>
        <v>6</v>
      </c>
      <c r="AS116" s="380">
        <f t="shared" si="125"/>
        <v>0</v>
      </c>
      <c r="AT116" s="501">
        <v>1</v>
      </c>
      <c r="AU116" s="502">
        <f t="shared" si="126"/>
        <v>27</v>
      </c>
      <c r="AV116" s="491"/>
      <c r="AW116" s="747">
        <v>27</v>
      </c>
      <c r="AX116" s="468">
        <v>0</v>
      </c>
      <c r="AY116" s="468"/>
      <c r="AZ116" s="468">
        <v>1</v>
      </c>
      <c r="BA116" s="468"/>
      <c r="BB116" s="468" t="s">
        <v>289</v>
      </c>
      <c r="BC116" s="383">
        <f t="shared" si="127"/>
        <v>0.7407407407407407</v>
      </c>
      <c r="BD116" s="380">
        <f t="shared" si="128"/>
        <v>20</v>
      </c>
      <c r="BE116" s="383">
        <f t="shared" si="129"/>
        <v>0</v>
      </c>
      <c r="BF116" s="380">
        <f t="shared" si="130"/>
        <v>0</v>
      </c>
      <c r="BG116" s="383">
        <f t="shared" si="131"/>
        <v>0.7407407407407407</v>
      </c>
      <c r="BH116" s="380">
        <f t="shared" si="132"/>
        <v>20</v>
      </c>
      <c r="BI116" s="490">
        <v>0</v>
      </c>
      <c r="BJ116" s="506">
        <v>0.75</v>
      </c>
      <c r="BK116" s="384">
        <f t="shared" si="145"/>
        <v>20.25</v>
      </c>
      <c r="BL116" s="385">
        <f t="shared" si="146"/>
        <v>0.35000000000000009</v>
      </c>
      <c r="BM116" s="468">
        <v>1</v>
      </c>
      <c r="BN116" s="468" t="s">
        <v>89</v>
      </c>
      <c r="BO116" s="383">
        <f t="shared" si="133"/>
        <v>1</v>
      </c>
      <c r="BP116" s="380">
        <f t="shared" si="134"/>
        <v>27</v>
      </c>
      <c r="BQ116" s="385">
        <f t="shared" si="135"/>
        <v>0</v>
      </c>
      <c r="BR116" s="501">
        <v>1</v>
      </c>
      <c r="BS116" s="380">
        <f t="shared" si="136"/>
        <v>27</v>
      </c>
      <c r="BT116" s="490">
        <v>0</v>
      </c>
      <c r="BU116" s="383">
        <f t="shared" si="137"/>
        <v>0</v>
      </c>
      <c r="BV116" s="385">
        <f t="shared" si="138"/>
        <v>0.27</v>
      </c>
      <c r="BW116" s="494">
        <v>0</v>
      </c>
      <c r="BX116" s="516" t="s">
        <v>844</v>
      </c>
      <c r="BY116" s="518">
        <v>42053</v>
      </c>
      <c r="BZ116" s="804"/>
      <c r="CA116" s="807"/>
      <c r="CB116" s="386">
        <f t="shared" si="139"/>
        <v>42418</v>
      </c>
      <c r="CC116" s="468">
        <v>6</v>
      </c>
      <c r="CD116" s="468">
        <v>4</v>
      </c>
      <c r="CE116" s="387">
        <f t="shared" si="140"/>
        <v>0</v>
      </c>
      <c r="CF116" s="388">
        <f t="shared" si="141"/>
        <v>1</v>
      </c>
      <c r="CG116" s="380">
        <f t="shared" si="142"/>
        <v>27</v>
      </c>
      <c r="CH116" s="403">
        <f t="shared" si="143"/>
        <v>2</v>
      </c>
      <c r="CI116" s="484" t="s">
        <v>896</v>
      </c>
      <c r="CJ116" s="494">
        <v>1</v>
      </c>
      <c r="CK116" s="405">
        <f t="shared" si="147"/>
        <v>27</v>
      </c>
      <c r="CL116" s="484">
        <v>2</v>
      </c>
      <c r="CM116" s="389" t="str">
        <f t="shared" si="144"/>
        <v>Excellent coverage</v>
      </c>
      <c r="CN116" s="490">
        <v>0</v>
      </c>
      <c r="CO116" s="485" t="s">
        <v>292</v>
      </c>
      <c r="CP116" s="525"/>
    </row>
    <row r="117" spans="2:94" s="40" customFormat="1" ht="30.75" customHeight="1" x14ac:dyDescent="0.2">
      <c r="B117" s="465" t="s">
        <v>131</v>
      </c>
      <c r="C117" s="466" t="s">
        <v>491</v>
      </c>
      <c r="D117" s="467" t="s">
        <v>257</v>
      </c>
      <c r="E117" s="466" t="s">
        <v>133</v>
      </c>
      <c r="F117" s="467">
        <v>97.383056999999994</v>
      </c>
      <c r="G117" s="467">
        <v>25.395994000000002</v>
      </c>
      <c r="H117" s="467" t="s">
        <v>448</v>
      </c>
      <c r="I117" s="467" t="s">
        <v>213</v>
      </c>
      <c r="J117" s="467"/>
      <c r="K117" s="467"/>
      <c r="L117" s="468">
        <v>6</v>
      </c>
      <c r="M117" s="468">
        <v>35</v>
      </c>
      <c r="N117" s="468"/>
      <c r="O117" s="468">
        <v>35</v>
      </c>
      <c r="P117" s="376" t="str">
        <f t="shared" si="111"/>
        <v>1. Small</v>
      </c>
      <c r="Q117" s="717" t="s">
        <v>805</v>
      </c>
      <c r="R117" s="469" t="s">
        <v>234</v>
      </c>
      <c r="S117" s="477" t="s">
        <v>234</v>
      </c>
      <c r="T117" s="398" t="str">
        <f t="shared" si="112"/>
        <v>Covered</v>
      </c>
      <c r="U117" s="478">
        <v>42429</v>
      </c>
      <c r="V117" s="469" t="s">
        <v>252</v>
      </c>
      <c r="W117" s="395" t="str">
        <f t="shared" si="113"/>
        <v>Documented</v>
      </c>
      <c r="X117" s="484">
        <v>0</v>
      </c>
      <c r="Y117" s="468">
        <v>0</v>
      </c>
      <c r="Z117" s="801"/>
      <c r="AA117" s="485" t="s">
        <v>19</v>
      </c>
      <c r="AB117" s="484">
        <v>0</v>
      </c>
      <c r="AC117" s="490">
        <v>1</v>
      </c>
      <c r="AD117" s="491">
        <v>0</v>
      </c>
      <c r="AE117" s="497">
        <v>0</v>
      </c>
      <c r="AF117" s="498">
        <v>1</v>
      </c>
      <c r="AG117" s="797"/>
      <c r="AH117" s="401">
        <f t="shared" si="114"/>
        <v>1</v>
      </c>
      <c r="AI117" s="378">
        <f t="shared" si="115"/>
        <v>35</v>
      </c>
      <c r="AJ117" s="379">
        <f t="shared" si="116"/>
        <v>1</v>
      </c>
      <c r="AK117" s="380">
        <f t="shared" si="117"/>
        <v>35</v>
      </c>
      <c r="AL117" s="377">
        <f t="shared" si="118"/>
        <v>1</v>
      </c>
      <c r="AM117" s="380">
        <f t="shared" si="119"/>
        <v>35</v>
      </c>
      <c r="AN117" s="381" t="str">
        <f t="shared" si="120"/>
        <v>80-100%</v>
      </c>
      <c r="AO117" s="377">
        <f t="shared" si="121"/>
        <v>0</v>
      </c>
      <c r="AP117" s="382">
        <f t="shared" si="122"/>
        <v>0</v>
      </c>
      <c r="AQ117" s="380">
        <f t="shared" si="123"/>
        <v>0</v>
      </c>
      <c r="AR117" s="380">
        <f t="shared" si="124"/>
        <v>6</v>
      </c>
      <c r="AS117" s="380">
        <f t="shared" si="125"/>
        <v>0</v>
      </c>
      <c r="AT117" s="501">
        <v>1</v>
      </c>
      <c r="AU117" s="502">
        <f t="shared" si="126"/>
        <v>35</v>
      </c>
      <c r="AV117" s="491"/>
      <c r="AW117" s="747">
        <v>0</v>
      </c>
      <c r="AX117" s="468">
        <v>0</v>
      </c>
      <c r="AY117" s="468"/>
      <c r="AZ117" s="468">
        <v>3</v>
      </c>
      <c r="BA117" s="468"/>
      <c r="BB117" s="468" t="s">
        <v>289</v>
      </c>
      <c r="BC117" s="383">
        <f t="shared" si="127"/>
        <v>1</v>
      </c>
      <c r="BD117" s="380">
        <f t="shared" si="128"/>
        <v>35</v>
      </c>
      <c r="BE117" s="383">
        <f t="shared" si="129"/>
        <v>0</v>
      </c>
      <c r="BF117" s="380">
        <f t="shared" si="130"/>
        <v>0</v>
      </c>
      <c r="BG117" s="383">
        <f t="shared" si="131"/>
        <v>1</v>
      </c>
      <c r="BH117" s="380">
        <f t="shared" si="132"/>
        <v>35</v>
      </c>
      <c r="BI117" s="490">
        <v>0</v>
      </c>
      <c r="BJ117" s="506">
        <v>1</v>
      </c>
      <c r="BK117" s="384">
        <f t="shared" si="145"/>
        <v>35</v>
      </c>
      <c r="BL117" s="385">
        <f t="shared" si="146"/>
        <v>0</v>
      </c>
      <c r="BM117" s="468">
        <v>1</v>
      </c>
      <c r="BN117" s="468" t="s">
        <v>89</v>
      </c>
      <c r="BO117" s="383">
        <f t="shared" si="133"/>
        <v>1</v>
      </c>
      <c r="BP117" s="380">
        <f t="shared" si="134"/>
        <v>35</v>
      </c>
      <c r="BQ117" s="385">
        <f t="shared" si="135"/>
        <v>0</v>
      </c>
      <c r="BR117" s="501">
        <v>1</v>
      </c>
      <c r="BS117" s="380">
        <f t="shared" si="136"/>
        <v>35</v>
      </c>
      <c r="BT117" s="490">
        <v>0</v>
      </c>
      <c r="BU117" s="383">
        <f t="shared" si="137"/>
        <v>0</v>
      </c>
      <c r="BV117" s="385">
        <f t="shared" si="138"/>
        <v>0.35</v>
      </c>
      <c r="BW117" s="494">
        <v>0</v>
      </c>
      <c r="BX117" s="516" t="s">
        <v>847</v>
      </c>
      <c r="BY117" s="518">
        <v>42053</v>
      </c>
      <c r="BZ117" s="804"/>
      <c r="CA117" s="807"/>
      <c r="CB117" s="386">
        <f t="shared" si="139"/>
        <v>42418</v>
      </c>
      <c r="CC117" s="468">
        <v>6</v>
      </c>
      <c r="CD117" s="468">
        <v>4</v>
      </c>
      <c r="CE117" s="387">
        <f t="shared" si="140"/>
        <v>0</v>
      </c>
      <c r="CF117" s="388">
        <f t="shared" si="141"/>
        <v>1</v>
      </c>
      <c r="CG117" s="380">
        <f t="shared" si="142"/>
        <v>35</v>
      </c>
      <c r="CH117" s="403">
        <f t="shared" si="143"/>
        <v>2</v>
      </c>
      <c r="CI117" s="484" t="s">
        <v>896</v>
      </c>
      <c r="CJ117" s="494">
        <v>1</v>
      </c>
      <c r="CK117" s="405">
        <f t="shared" si="147"/>
        <v>35</v>
      </c>
      <c r="CL117" s="484">
        <v>2</v>
      </c>
      <c r="CM117" s="389" t="str">
        <f t="shared" si="144"/>
        <v>Excellent coverage</v>
      </c>
      <c r="CN117" s="490">
        <v>0</v>
      </c>
      <c r="CO117" s="485" t="s">
        <v>292</v>
      </c>
      <c r="CP117" s="525"/>
    </row>
    <row r="118" spans="2:94" s="40" customFormat="1" ht="30.75" customHeight="1" x14ac:dyDescent="0.2">
      <c r="B118" s="465" t="s">
        <v>131</v>
      </c>
      <c r="C118" s="466" t="s">
        <v>492</v>
      </c>
      <c r="D118" s="467" t="s">
        <v>257</v>
      </c>
      <c r="E118" s="466" t="s">
        <v>134</v>
      </c>
      <c r="F118" s="467">
        <v>97.381195000000005</v>
      </c>
      <c r="G118" s="467">
        <v>25.396363999999998</v>
      </c>
      <c r="H118" s="467" t="s">
        <v>448</v>
      </c>
      <c r="I118" s="467" t="s">
        <v>213</v>
      </c>
      <c r="J118" s="467"/>
      <c r="K118" s="467"/>
      <c r="L118" s="468">
        <v>8</v>
      </c>
      <c r="M118" s="468">
        <v>26</v>
      </c>
      <c r="N118" s="468"/>
      <c r="O118" s="468">
        <v>26</v>
      </c>
      <c r="P118" s="376" t="str">
        <f t="shared" si="111"/>
        <v>1. Small</v>
      </c>
      <c r="Q118" s="717" t="s">
        <v>805</v>
      </c>
      <c r="R118" s="469" t="s">
        <v>234</v>
      </c>
      <c r="S118" s="477" t="s">
        <v>234</v>
      </c>
      <c r="T118" s="398" t="str">
        <f t="shared" si="112"/>
        <v>Covered</v>
      </c>
      <c r="U118" s="478">
        <v>42369</v>
      </c>
      <c r="V118" s="469" t="s">
        <v>252</v>
      </c>
      <c r="W118" s="395" t="str">
        <f t="shared" si="113"/>
        <v>Documented</v>
      </c>
      <c r="X118" s="484">
        <v>0</v>
      </c>
      <c r="Y118" s="468">
        <v>0</v>
      </c>
      <c r="Z118" s="801"/>
      <c r="AA118" s="485" t="s">
        <v>19</v>
      </c>
      <c r="AB118" s="484">
        <v>0</v>
      </c>
      <c r="AC118" s="490">
        <v>1</v>
      </c>
      <c r="AD118" s="491">
        <v>0</v>
      </c>
      <c r="AE118" s="497">
        <v>0</v>
      </c>
      <c r="AF118" s="498">
        <v>1</v>
      </c>
      <c r="AG118" s="797"/>
      <c r="AH118" s="401">
        <f t="shared" si="114"/>
        <v>1</v>
      </c>
      <c r="AI118" s="378">
        <f t="shared" si="115"/>
        <v>26</v>
      </c>
      <c r="AJ118" s="379">
        <f t="shared" si="116"/>
        <v>1</v>
      </c>
      <c r="AK118" s="380">
        <f t="shared" si="117"/>
        <v>26</v>
      </c>
      <c r="AL118" s="377">
        <f t="shared" si="118"/>
        <v>1</v>
      </c>
      <c r="AM118" s="380">
        <f t="shared" si="119"/>
        <v>26</v>
      </c>
      <c r="AN118" s="381" t="str">
        <f t="shared" si="120"/>
        <v>80-100%</v>
      </c>
      <c r="AO118" s="377">
        <f t="shared" si="121"/>
        <v>0</v>
      </c>
      <c r="AP118" s="382">
        <f t="shared" si="122"/>
        <v>0</v>
      </c>
      <c r="AQ118" s="380">
        <f t="shared" si="123"/>
        <v>0</v>
      </c>
      <c r="AR118" s="380">
        <f t="shared" si="124"/>
        <v>8</v>
      </c>
      <c r="AS118" s="380">
        <f t="shared" si="125"/>
        <v>0</v>
      </c>
      <c r="AT118" s="501">
        <v>1</v>
      </c>
      <c r="AU118" s="502">
        <f t="shared" si="126"/>
        <v>26</v>
      </c>
      <c r="AV118" s="491"/>
      <c r="AW118" s="747">
        <v>0</v>
      </c>
      <c r="AX118" s="468">
        <v>0</v>
      </c>
      <c r="AY118" s="468"/>
      <c r="AZ118" s="468">
        <v>1</v>
      </c>
      <c r="BA118" s="468"/>
      <c r="BB118" s="468" t="s">
        <v>289</v>
      </c>
      <c r="BC118" s="383">
        <f t="shared" si="127"/>
        <v>0.76923076923076927</v>
      </c>
      <c r="BD118" s="380">
        <f t="shared" si="128"/>
        <v>20</v>
      </c>
      <c r="BE118" s="383">
        <f t="shared" si="129"/>
        <v>0</v>
      </c>
      <c r="BF118" s="380">
        <f t="shared" si="130"/>
        <v>0</v>
      </c>
      <c r="BG118" s="383">
        <f t="shared" si="131"/>
        <v>0.76923076923076927</v>
      </c>
      <c r="BH118" s="380">
        <f t="shared" si="132"/>
        <v>20</v>
      </c>
      <c r="BI118" s="490">
        <v>0</v>
      </c>
      <c r="BJ118" s="506">
        <v>0.77</v>
      </c>
      <c r="BK118" s="384">
        <f t="shared" si="145"/>
        <v>20.02</v>
      </c>
      <c r="BL118" s="385">
        <f t="shared" si="146"/>
        <v>0.30000000000000004</v>
      </c>
      <c r="BM118" s="468">
        <v>1</v>
      </c>
      <c r="BN118" s="468" t="s">
        <v>89</v>
      </c>
      <c r="BO118" s="383">
        <f t="shared" si="133"/>
        <v>1</v>
      </c>
      <c r="BP118" s="380">
        <f t="shared" si="134"/>
        <v>26</v>
      </c>
      <c r="BQ118" s="385">
        <f t="shared" si="135"/>
        <v>0</v>
      </c>
      <c r="BR118" s="501">
        <v>1</v>
      </c>
      <c r="BS118" s="380">
        <f t="shared" si="136"/>
        <v>26</v>
      </c>
      <c r="BT118" s="490">
        <v>0</v>
      </c>
      <c r="BU118" s="383">
        <f t="shared" si="137"/>
        <v>0</v>
      </c>
      <c r="BV118" s="385">
        <f t="shared" si="138"/>
        <v>0.26</v>
      </c>
      <c r="BW118" s="494">
        <v>0</v>
      </c>
      <c r="BX118" s="516" t="s">
        <v>847</v>
      </c>
      <c r="BY118" s="518">
        <v>42053</v>
      </c>
      <c r="BZ118" s="804"/>
      <c r="CA118" s="807"/>
      <c r="CB118" s="386">
        <f t="shared" si="139"/>
        <v>42418</v>
      </c>
      <c r="CC118" s="468">
        <v>8</v>
      </c>
      <c r="CD118" s="468">
        <v>4</v>
      </c>
      <c r="CE118" s="387">
        <f t="shared" si="140"/>
        <v>0</v>
      </c>
      <c r="CF118" s="388">
        <f t="shared" si="141"/>
        <v>1</v>
      </c>
      <c r="CG118" s="380">
        <f t="shared" si="142"/>
        <v>26</v>
      </c>
      <c r="CH118" s="403">
        <f t="shared" si="143"/>
        <v>2</v>
      </c>
      <c r="CI118" s="484" t="s">
        <v>896</v>
      </c>
      <c r="CJ118" s="494">
        <v>1</v>
      </c>
      <c r="CK118" s="405">
        <f t="shared" si="147"/>
        <v>26</v>
      </c>
      <c r="CL118" s="484">
        <v>2</v>
      </c>
      <c r="CM118" s="389" t="str">
        <f t="shared" si="144"/>
        <v>Excellent coverage</v>
      </c>
      <c r="CN118" s="490">
        <v>0</v>
      </c>
      <c r="CO118" s="485" t="s">
        <v>292</v>
      </c>
      <c r="CP118" s="525"/>
    </row>
    <row r="119" spans="2:94" s="40" customFormat="1" ht="30.75" customHeight="1" x14ac:dyDescent="0.2">
      <c r="B119" s="465" t="s">
        <v>131</v>
      </c>
      <c r="C119" s="466" t="s">
        <v>498</v>
      </c>
      <c r="D119" s="467" t="s">
        <v>257</v>
      </c>
      <c r="E119" s="466" t="s">
        <v>135</v>
      </c>
      <c r="F119" s="467">
        <v>97.389778000000007</v>
      </c>
      <c r="G119" s="467">
        <v>25.417733999999999</v>
      </c>
      <c r="H119" s="467" t="s">
        <v>448</v>
      </c>
      <c r="I119" s="467" t="s">
        <v>213</v>
      </c>
      <c r="J119" s="467"/>
      <c r="K119" s="467"/>
      <c r="L119" s="468">
        <v>187</v>
      </c>
      <c r="M119" s="468">
        <v>927</v>
      </c>
      <c r="N119" s="468"/>
      <c r="O119" s="468">
        <v>927</v>
      </c>
      <c r="P119" s="376" t="str">
        <f t="shared" si="111"/>
        <v>2. Medium</v>
      </c>
      <c r="Q119" s="717" t="s">
        <v>805</v>
      </c>
      <c r="R119" s="469" t="s">
        <v>234</v>
      </c>
      <c r="S119" s="477" t="s">
        <v>234</v>
      </c>
      <c r="T119" s="398" t="str">
        <f t="shared" si="112"/>
        <v>Covered</v>
      </c>
      <c r="U119" s="478">
        <v>42429</v>
      </c>
      <c r="V119" s="469" t="s">
        <v>252</v>
      </c>
      <c r="W119" s="395" t="str">
        <f t="shared" si="113"/>
        <v>Documented</v>
      </c>
      <c r="X119" s="484">
        <v>0</v>
      </c>
      <c r="Y119" s="468">
        <v>0</v>
      </c>
      <c r="Z119" s="801"/>
      <c r="AA119" s="485" t="s">
        <v>19</v>
      </c>
      <c r="AB119" s="484">
        <v>1</v>
      </c>
      <c r="AC119" s="490">
        <v>9</v>
      </c>
      <c r="AD119" s="491">
        <v>3000</v>
      </c>
      <c r="AE119" s="497">
        <v>0</v>
      </c>
      <c r="AF119" s="498">
        <v>1</v>
      </c>
      <c r="AG119" s="797"/>
      <c r="AH119" s="401">
        <f t="shared" si="114"/>
        <v>1</v>
      </c>
      <c r="AI119" s="378">
        <f t="shared" si="115"/>
        <v>927</v>
      </c>
      <c r="AJ119" s="379">
        <f t="shared" si="116"/>
        <v>1</v>
      </c>
      <c r="AK119" s="380">
        <f t="shared" si="117"/>
        <v>927</v>
      </c>
      <c r="AL119" s="377">
        <f t="shared" si="118"/>
        <v>1</v>
      </c>
      <c r="AM119" s="380">
        <f t="shared" si="119"/>
        <v>927</v>
      </c>
      <c r="AN119" s="381" t="str">
        <f t="shared" si="120"/>
        <v>80-100%</v>
      </c>
      <c r="AO119" s="377">
        <f t="shared" si="121"/>
        <v>0</v>
      </c>
      <c r="AP119" s="382">
        <f t="shared" si="122"/>
        <v>0</v>
      </c>
      <c r="AQ119" s="380">
        <f t="shared" si="123"/>
        <v>0</v>
      </c>
      <c r="AR119" s="380">
        <f t="shared" si="124"/>
        <v>187</v>
      </c>
      <c r="AS119" s="380">
        <f t="shared" si="125"/>
        <v>0</v>
      </c>
      <c r="AT119" s="501">
        <v>1</v>
      </c>
      <c r="AU119" s="502">
        <f t="shared" si="126"/>
        <v>927</v>
      </c>
      <c r="AV119" s="491"/>
      <c r="AW119" s="747">
        <v>0</v>
      </c>
      <c r="AX119" s="468">
        <v>0</v>
      </c>
      <c r="AY119" s="468"/>
      <c r="AZ119" s="468">
        <v>51</v>
      </c>
      <c r="BA119" s="468"/>
      <c r="BB119" s="468" t="s">
        <v>289</v>
      </c>
      <c r="BC119" s="383">
        <f t="shared" si="127"/>
        <v>1</v>
      </c>
      <c r="BD119" s="380">
        <f t="shared" si="128"/>
        <v>927</v>
      </c>
      <c r="BE119" s="383">
        <f t="shared" si="129"/>
        <v>0</v>
      </c>
      <c r="BF119" s="380">
        <f t="shared" si="130"/>
        <v>0</v>
      </c>
      <c r="BG119" s="383">
        <f t="shared" si="131"/>
        <v>1</v>
      </c>
      <c r="BH119" s="380">
        <f t="shared" si="132"/>
        <v>927</v>
      </c>
      <c r="BI119" s="490">
        <v>0</v>
      </c>
      <c r="BJ119" s="506">
        <v>1</v>
      </c>
      <c r="BK119" s="384">
        <f t="shared" si="145"/>
        <v>927</v>
      </c>
      <c r="BL119" s="385">
        <f t="shared" si="146"/>
        <v>0</v>
      </c>
      <c r="BM119" s="468">
        <v>4</v>
      </c>
      <c r="BN119" s="468" t="s">
        <v>291</v>
      </c>
      <c r="BO119" s="383">
        <f t="shared" si="133"/>
        <v>0.43149946062567424</v>
      </c>
      <c r="BP119" s="380">
        <f t="shared" si="134"/>
        <v>400</v>
      </c>
      <c r="BQ119" s="385">
        <f t="shared" si="135"/>
        <v>5.27</v>
      </c>
      <c r="BR119" s="501">
        <v>0.43</v>
      </c>
      <c r="BS119" s="380">
        <f t="shared" si="136"/>
        <v>398.61</v>
      </c>
      <c r="BT119" s="490">
        <v>0</v>
      </c>
      <c r="BU119" s="383">
        <f t="shared" si="137"/>
        <v>0</v>
      </c>
      <c r="BV119" s="385">
        <f t="shared" si="138"/>
        <v>9.27</v>
      </c>
      <c r="BW119" s="494">
        <v>0</v>
      </c>
      <c r="BX119" s="516" t="s">
        <v>847</v>
      </c>
      <c r="BY119" s="518">
        <v>42053</v>
      </c>
      <c r="BZ119" s="804"/>
      <c r="CA119" s="807"/>
      <c r="CB119" s="386">
        <f t="shared" si="139"/>
        <v>42418</v>
      </c>
      <c r="CC119" s="468">
        <v>189</v>
      </c>
      <c r="CD119" s="468">
        <v>4</v>
      </c>
      <c r="CE119" s="387">
        <f t="shared" si="140"/>
        <v>0</v>
      </c>
      <c r="CF119" s="388">
        <f t="shared" si="141"/>
        <v>1</v>
      </c>
      <c r="CG119" s="380">
        <f t="shared" si="142"/>
        <v>927</v>
      </c>
      <c r="CH119" s="403">
        <f t="shared" si="143"/>
        <v>2</v>
      </c>
      <c r="CI119" s="484" t="s">
        <v>896</v>
      </c>
      <c r="CJ119" s="494">
        <v>1</v>
      </c>
      <c r="CK119" s="405">
        <f t="shared" si="147"/>
        <v>927</v>
      </c>
      <c r="CL119" s="484">
        <v>2</v>
      </c>
      <c r="CM119" s="389" t="str">
        <f t="shared" si="144"/>
        <v>Excellent coverage</v>
      </c>
      <c r="CN119" s="490">
        <v>0</v>
      </c>
      <c r="CO119" s="485" t="s">
        <v>65</v>
      </c>
      <c r="CP119" s="525"/>
    </row>
    <row r="120" spans="2:94" s="40" customFormat="1" ht="30.75" customHeight="1" x14ac:dyDescent="0.2">
      <c r="B120" s="465" t="s">
        <v>131</v>
      </c>
      <c r="C120" s="466" t="s">
        <v>499</v>
      </c>
      <c r="D120" s="467" t="s">
        <v>257</v>
      </c>
      <c r="E120" s="466" t="s">
        <v>136</v>
      </c>
      <c r="F120" s="467">
        <v>97.373361000000003</v>
      </c>
      <c r="G120" s="467">
        <v>25.403476999999999</v>
      </c>
      <c r="H120" s="467" t="s">
        <v>448</v>
      </c>
      <c r="I120" s="467" t="s">
        <v>213</v>
      </c>
      <c r="J120" s="467"/>
      <c r="K120" s="467"/>
      <c r="L120" s="468">
        <v>106</v>
      </c>
      <c r="M120" s="468">
        <v>468</v>
      </c>
      <c r="N120" s="468"/>
      <c r="O120" s="468">
        <v>468</v>
      </c>
      <c r="P120" s="376" t="str">
        <f t="shared" si="111"/>
        <v>2. Medium</v>
      </c>
      <c r="Q120" s="717" t="s">
        <v>825</v>
      </c>
      <c r="R120" s="469" t="s">
        <v>230</v>
      </c>
      <c r="S120" s="477" t="s">
        <v>230</v>
      </c>
      <c r="T120" s="398" t="str">
        <f t="shared" si="112"/>
        <v>Covered</v>
      </c>
      <c r="U120" s="478">
        <v>42429</v>
      </c>
      <c r="V120" s="469" t="s">
        <v>252</v>
      </c>
      <c r="W120" s="395" t="str">
        <f t="shared" si="113"/>
        <v>Documented</v>
      </c>
      <c r="X120" s="484">
        <v>0</v>
      </c>
      <c r="Y120" s="468">
        <v>0</v>
      </c>
      <c r="Z120" s="801"/>
      <c r="AA120" s="485" t="s">
        <v>19</v>
      </c>
      <c r="AB120" s="484">
        <v>1</v>
      </c>
      <c r="AC120" s="490">
        <v>3</v>
      </c>
      <c r="AD120" s="491">
        <v>3000</v>
      </c>
      <c r="AE120" s="497">
        <v>0</v>
      </c>
      <c r="AF120" s="498">
        <v>1</v>
      </c>
      <c r="AG120" s="797"/>
      <c r="AH120" s="401">
        <f t="shared" si="114"/>
        <v>1</v>
      </c>
      <c r="AI120" s="378">
        <f t="shared" si="115"/>
        <v>468</v>
      </c>
      <c r="AJ120" s="379">
        <f t="shared" si="116"/>
        <v>1</v>
      </c>
      <c r="AK120" s="380">
        <f t="shared" si="117"/>
        <v>468</v>
      </c>
      <c r="AL120" s="377">
        <f t="shared" si="118"/>
        <v>1</v>
      </c>
      <c r="AM120" s="380">
        <f t="shared" si="119"/>
        <v>468</v>
      </c>
      <c r="AN120" s="381" t="str">
        <f t="shared" si="120"/>
        <v>80-100%</v>
      </c>
      <c r="AO120" s="377">
        <f t="shared" si="121"/>
        <v>0</v>
      </c>
      <c r="AP120" s="382">
        <f t="shared" si="122"/>
        <v>0</v>
      </c>
      <c r="AQ120" s="380">
        <f t="shared" si="123"/>
        <v>0</v>
      </c>
      <c r="AR120" s="380">
        <f t="shared" si="124"/>
        <v>106</v>
      </c>
      <c r="AS120" s="380">
        <f t="shared" si="125"/>
        <v>0</v>
      </c>
      <c r="AT120" s="501">
        <v>1</v>
      </c>
      <c r="AU120" s="502">
        <f t="shared" si="126"/>
        <v>468</v>
      </c>
      <c r="AV120" s="491" t="s">
        <v>744</v>
      </c>
      <c r="AW120" s="747">
        <v>0</v>
      </c>
      <c r="AX120" s="468">
        <v>0</v>
      </c>
      <c r="AY120" s="468"/>
      <c r="AZ120" s="468">
        <v>20</v>
      </c>
      <c r="BA120" s="468"/>
      <c r="BB120" s="468" t="s">
        <v>289</v>
      </c>
      <c r="BC120" s="383">
        <f t="shared" si="127"/>
        <v>0.85470085470085466</v>
      </c>
      <c r="BD120" s="380">
        <f t="shared" si="128"/>
        <v>400</v>
      </c>
      <c r="BE120" s="383">
        <f t="shared" si="129"/>
        <v>0</v>
      </c>
      <c r="BF120" s="380">
        <f t="shared" si="130"/>
        <v>0</v>
      </c>
      <c r="BG120" s="383">
        <f t="shared" si="131"/>
        <v>0.85470085470085466</v>
      </c>
      <c r="BH120" s="380">
        <f t="shared" si="132"/>
        <v>400</v>
      </c>
      <c r="BI120" s="490">
        <v>0</v>
      </c>
      <c r="BJ120" s="506">
        <v>0.86</v>
      </c>
      <c r="BK120" s="384">
        <f t="shared" si="145"/>
        <v>402.48</v>
      </c>
      <c r="BL120" s="385">
        <f t="shared" si="146"/>
        <v>3.3999999999999986</v>
      </c>
      <c r="BM120" s="468">
        <v>1</v>
      </c>
      <c r="BN120" s="468" t="s">
        <v>89</v>
      </c>
      <c r="BO120" s="383">
        <f t="shared" si="133"/>
        <v>0.21367521367521367</v>
      </c>
      <c r="BP120" s="380">
        <f t="shared" si="134"/>
        <v>100</v>
      </c>
      <c r="BQ120" s="385">
        <f t="shared" si="135"/>
        <v>3.6799999999999997</v>
      </c>
      <c r="BR120" s="501">
        <v>1</v>
      </c>
      <c r="BS120" s="380">
        <f t="shared" si="136"/>
        <v>468</v>
      </c>
      <c r="BT120" s="490">
        <v>4</v>
      </c>
      <c r="BU120" s="383">
        <f t="shared" si="137"/>
        <v>0.85470085470085466</v>
      </c>
      <c r="BV120" s="385">
        <f t="shared" si="138"/>
        <v>0.67999999999999972</v>
      </c>
      <c r="BW120" s="494">
        <v>0.85</v>
      </c>
      <c r="BX120" s="516" t="s">
        <v>814</v>
      </c>
      <c r="BY120" s="518">
        <v>41781</v>
      </c>
      <c r="BZ120" s="804"/>
      <c r="CA120" s="807"/>
      <c r="CB120" s="386" t="str">
        <f t="shared" si="139"/>
        <v>To be realised</v>
      </c>
      <c r="CC120" s="468">
        <v>106</v>
      </c>
      <c r="CD120" s="468">
        <v>2</v>
      </c>
      <c r="CE120" s="387">
        <f t="shared" si="140"/>
        <v>106</v>
      </c>
      <c r="CF120" s="388">
        <f t="shared" si="141"/>
        <v>0</v>
      </c>
      <c r="CG120" s="380">
        <f t="shared" si="142"/>
        <v>0</v>
      </c>
      <c r="CH120" s="403">
        <f t="shared" si="143"/>
        <v>14</v>
      </c>
      <c r="CI120" s="484"/>
      <c r="CJ120" s="494">
        <v>0.8</v>
      </c>
      <c r="CK120" s="405">
        <f t="shared" si="147"/>
        <v>374.40000000000003</v>
      </c>
      <c r="CL120" s="484">
        <v>4</v>
      </c>
      <c r="CM120" s="389" t="str">
        <f t="shared" si="144"/>
        <v>Excellent coverage</v>
      </c>
      <c r="CN120" s="490">
        <v>0</v>
      </c>
      <c r="CO120" s="485" t="s">
        <v>292</v>
      </c>
      <c r="CP120" s="525"/>
    </row>
    <row r="121" spans="2:94" s="40" customFormat="1" ht="30.75" customHeight="1" x14ac:dyDescent="0.2">
      <c r="B121" s="465" t="s">
        <v>131</v>
      </c>
      <c r="C121" s="466" t="s">
        <v>494</v>
      </c>
      <c r="D121" s="467" t="s">
        <v>257</v>
      </c>
      <c r="E121" s="466" t="s">
        <v>137</v>
      </c>
      <c r="F121" s="467">
        <v>97.405120999999994</v>
      </c>
      <c r="G121" s="467">
        <v>25.365891000000001</v>
      </c>
      <c r="H121" s="467" t="s">
        <v>448</v>
      </c>
      <c r="I121" s="467" t="s">
        <v>213</v>
      </c>
      <c r="J121" s="467"/>
      <c r="K121" s="467"/>
      <c r="L121" s="468">
        <v>46</v>
      </c>
      <c r="M121" s="468">
        <v>193</v>
      </c>
      <c r="N121" s="468"/>
      <c r="O121" s="468">
        <v>193</v>
      </c>
      <c r="P121" s="376" t="str">
        <f t="shared" si="111"/>
        <v>1. Small</v>
      </c>
      <c r="Q121" s="717" t="s">
        <v>805</v>
      </c>
      <c r="R121" s="469" t="s">
        <v>234</v>
      </c>
      <c r="S121" s="477" t="s">
        <v>234</v>
      </c>
      <c r="T121" s="398" t="str">
        <f t="shared" si="112"/>
        <v>Covered</v>
      </c>
      <c r="U121" s="478">
        <v>42429</v>
      </c>
      <c r="V121" s="469" t="s">
        <v>252</v>
      </c>
      <c r="W121" s="395" t="str">
        <f t="shared" si="113"/>
        <v>Documented</v>
      </c>
      <c r="X121" s="484">
        <v>0</v>
      </c>
      <c r="Y121" s="468">
        <v>0</v>
      </c>
      <c r="Z121" s="801"/>
      <c r="AA121" s="485" t="s">
        <v>19</v>
      </c>
      <c r="AB121" s="484">
        <v>1</v>
      </c>
      <c r="AC121" s="490">
        <v>1</v>
      </c>
      <c r="AD121" s="491">
        <v>0</v>
      </c>
      <c r="AE121" s="497">
        <v>0</v>
      </c>
      <c r="AF121" s="498">
        <v>1</v>
      </c>
      <c r="AG121" s="797"/>
      <c r="AH121" s="401">
        <f t="shared" si="114"/>
        <v>1</v>
      </c>
      <c r="AI121" s="378">
        <f t="shared" si="115"/>
        <v>193</v>
      </c>
      <c r="AJ121" s="379">
        <f t="shared" si="116"/>
        <v>1</v>
      </c>
      <c r="AK121" s="380">
        <f t="shared" si="117"/>
        <v>193</v>
      </c>
      <c r="AL121" s="377">
        <f t="shared" si="118"/>
        <v>1</v>
      </c>
      <c r="AM121" s="380">
        <f t="shared" si="119"/>
        <v>193</v>
      </c>
      <c r="AN121" s="381" t="str">
        <f t="shared" si="120"/>
        <v>80-100%</v>
      </c>
      <c r="AO121" s="377">
        <f t="shared" si="121"/>
        <v>0</v>
      </c>
      <c r="AP121" s="382">
        <f t="shared" si="122"/>
        <v>0</v>
      </c>
      <c r="AQ121" s="380">
        <f t="shared" si="123"/>
        <v>0</v>
      </c>
      <c r="AR121" s="380">
        <f t="shared" si="124"/>
        <v>46</v>
      </c>
      <c r="AS121" s="380">
        <f t="shared" si="125"/>
        <v>0</v>
      </c>
      <c r="AT121" s="501">
        <v>1</v>
      </c>
      <c r="AU121" s="502">
        <f t="shared" si="126"/>
        <v>193</v>
      </c>
      <c r="AV121" s="491"/>
      <c r="AW121" s="747">
        <v>0</v>
      </c>
      <c r="AX121" s="468">
        <v>0</v>
      </c>
      <c r="AY121" s="468"/>
      <c r="AZ121" s="468">
        <v>8</v>
      </c>
      <c r="BA121" s="468"/>
      <c r="BB121" s="468" t="s">
        <v>289</v>
      </c>
      <c r="BC121" s="383">
        <f t="shared" si="127"/>
        <v>0.82901554404145072</v>
      </c>
      <c r="BD121" s="380">
        <f t="shared" si="128"/>
        <v>160</v>
      </c>
      <c r="BE121" s="383">
        <f t="shared" si="129"/>
        <v>0</v>
      </c>
      <c r="BF121" s="380">
        <f t="shared" si="130"/>
        <v>0</v>
      </c>
      <c r="BG121" s="383">
        <f t="shared" si="131"/>
        <v>0.82901554404145072</v>
      </c>
      <c r="BH121" s="380">
        <f t="shared" si="132"/>
        <v>160</v>
      </c>
      <c r="BI121" s="490">
        <v>0</v>
      </c>
      <c r="BJ121" s="506">
        <v>0.83</v>
      </c>
      <c r="BK121" s="384">
        <f t="shared" si="145"/>
        <v>160.19</v>
      </c>
      <c r="BL121" s="385">
        <f t="shared" si="146"/>
        <v>1.6500000000000004</v>
      </c>
      <c r="BM121" s="468">
        <v>2</v>
      </c>
      <c r="BN121" s="468" t="s">
        <v>89</v>
      </c>
      <c r="BO121" s="383">
        <f t="shared" si="133"/>
        <v>1</v>
      </c>
      <c r="BP121" s="380">
        <f t="shared" si="134"/>
        <v>193</v>
      </c>
      <c r="BQ121" s="385">
        <f t="shared" si="135"/>
        <v>0</v>
      </c>
      <c r="BR121" s="501">
        <v>0.43</v>
      </c>
      <c r="BS121" s="380">
        <f t="shared" si="136"/>
        <v>82.99</v>
      </c>
      <c r="BT121" s="490">
        <v>0</v>
      </c>
      <c r="BU121" s="383">
        <f t="shared" si="137"/>
        <v>0</v>
      </c>
      <c r="BV121" s="385">
        <f t="shared" si="138"/>
        <v>1.93</v>
      </c>
      <c r="BW121" s="494">
        <v>0</v>
      </c>
      <c r="BX121" s="516" t="s">
        <v>850</v>
      </c>
      <c r="BY121" s="518">
        <v>42053</v>
      </c>
      <c r="BZ121" s="804"/>
      <c r="CA121" s="807"/>
      <c r="CB121" s="386">
        <f t="shared" si="139"/>
        <v>42418</v>
      </c>
      <c r="CC121" s="468">
        <v>44</v>
      </c>
      <c r="CD121" s="468">
        <v>4</v>
      </c>
      <c r="CE121" s="387">
        <f t="shared" si="140"/>
        <v>2</v>
      </c>
      <c r="CF121" s="388">
        <f t="shared" si="141"/>
        <v>0.95652173913043481</v>
      </c>
      <c r="CG121" s="380">
        <f t="shared" si="142"/>
        <v>184.60869565217391</v>
      </c>
      <c r="CH121" s="403">
        <f t="shared" si="143"/>
        <v>2</v>
      </c>
      <c r="CI121" s="484" t="s">
        <v>896</v>
      </c>
      <c r="CJ121" s="494">
        <v>1</v>
      </c>
      <c r="CK121" s="405">
        <f t="shared" si="147"/>
        <v>193</v>
      </c>
      <c r="CL121" s="484">
        <v>2</v>
      </c>
      <c r="CM121" s="389" t="str">
        <f t="shared" si="144"/>
        <v>Excellent coverage</v>
      </c>
      <c r="CN121" s="490">
        <v>0</v>
      </c>
      <c r="CO121" s="485" t="s">
        <v>65</v>
      </c>
      <c r="CP121" s="525"/>
    </row>
    <row r="122" spans="2:94" s="40" customFormat="1" ht="30.75" customHeight="1" x14ac:dyDescent="0.2">
      <c r="B122" s="465" t="s">
        <v>131</v>
      </c>
      <c r="C122" s="466" t="s">
        <v>685</v>
      </c>
      <c r="D122" s="467" t="s">
        <v>257</v>
      </c>
      <c r="E122" s="466" t="s">
        <v>195</v>
      </c>
      <c r="F122" s="467"/>
      <c r="G122" s="467"/>
      <c r="H122" s="467" t="s">
        <v>448</v>
      </c>
      <c r="I122" s="467" t="s">
        <v>221</v>
      </c>
      <c r="J122" s="467"/>
      <c r="K122" s="467"/>
      <c r="L122" s="468">
        <v>19</v>
      </c>
      <c r="M122" s="468">
        <v>68</v>
      </c>
      <c r="N122" s="468"/>
      <c r="O122" s="468">
        <v>68</v>
      </c>
      <c r="P122" s="376" t="str">
        <f t="shared" si="111"/>
        <v>1. Small</v>
      </c>
      <c r="Q122" s="717" t="s">
        <v>825</v>
      </c>
      <c r="R122" s="469" t="s">
        <v>230</v>
      </c>
      <c r="S122" s="477" t="s">
        <v>230</v>
      </c>
      <c r="T122" s="398" t="str">
        <f t="shared" si="112"/>
        <v>Covered</v>
      </c>
      <c r="U122" s="478">
        <v>42429</v>
      </c>
      <c r="V122" s="469" t="s">
        <v>252</v>
      </c>
      <c r="W122" s="395" t="str">
        <f t="shared" si="113"/>
        <v>Documented</v>
      </c>
      <c r="X122" s="484">
        <v>0</v>
      </c>
      <c r="Y122" s="468">
        <v>0</v>
      </c>
      <c r="Z122" s="801"/>
      <c r="AA122" s="485" t="s">
        <v>19</v>
      </c>
      <c r="AB122" s="484">
        <v>0</v>
      </c>
      <c r="AC122" s="490">
        <v>0</v>
      </c>
      <c r="AD122" s="491">
        <v>1500</v>
      </c>
      <c r="AE122" s="497">
        <v>0</v>
      </c>
      <c r="AF122" s="498">
        <v>0</v>
      </c>
      <c r="AG122" s="797"/>
      <c r="AH122" s="401">
        <f t="shared" si="114"/>
        <v>1</v>
      </c>
      <c r="AI122" s="378">
        <f t="shared" si="115"/>
        <v>68</v>
      </c>
      <c r="AJ122" s="379">
        <f t="shared" si="116"/>
        <v>1</v>
      </c>
      <c r="AK122" s="380">
        <f t="shared" si="117"/>
        <v>68</v>
      </c>
      <c r="AL122" s="377">
        <f t="shared" si="118"/>
        <v>1</v>
      </c>
      <c r="AM122" s="380">
        <f t="shared" si="119"/>
        <v>68</v>
      </c>
      <c r="AN122" s="381" t="str">
        <f t="shared" si="120"/>
        <v>80-100%</v>
      </c>
      <c r="AO122" s="377">
        <f t="shared" si="121"/>
        <v>0</v>
      </c>
      <c r="AP122" s="382">
        <f t="shared" si="122"/>
        <v>0</v>
      </c>
      <c r="AQ122" s="380">
        <f t="shared" si="123"/>
        <v>0.17</v>
      </c>
      <c r="AR122" s="380">
        <f t="shared" si="124"/>
        <v>0</v>
      </c>
      <c r="AS122" s="380">
        <f t="shared" si="125"/>
        <v>0</v>
      </c>
      <c r="AT122" s="501">
        <v>1</v>
      </c>
      <c r="AU122" s="502">
        <f t="shared" si="126"/>
        <v>68</v>
      </c>
      <c r="AV122" s="491"/>
      <c r="AW122" s="747">
        <v>0</v>
      </c>
      <c r="AX122" s="468">
        <v>0</v>
      </c>
      <c r="AY122" s="468"/>
      <c r="AZ122" s="468">
        <v>3</v>
      </c>
      <c r="BA122" s="468"/>
      <c r="BB122" s="468" t="s">
        <v>89</v>
      </c>
      <c r="BC122" s="383">
        <f t="shared" si="127"/>
        <v>0.88235294117647056</v>
      </c>
      <c r="BD122" s="380">
        <f t="shared" si="128"/>
        <v>60</v>
      </c>
      <c r="BE122" s="383">
        <f t="shared" si="129"/>
        <v>0</v>
      </c>
      <c r="BF122" s="380">
        <f t="shared" si="130"/>
        <v>0</v>
      </c>
      <c r="BG122" s="383">
        <f t="shared" si="131"/>
        <v>0.88235294117647056</v>
      </c>
      <c r="BH122" s="380">
        <f t="shared" si="132"/>
        <v>60</v>
      </c>
      <c r="BI122" s="490">
        <v>0</v>
      </c>
      <c r="BJ122" s="506">
        <v>0.89</v>
      </c>
      <c r="BK122" s="384">
        <f t="shared" si="145"/>
        <v>60.52</v>
      </c>
      <c r="BL122" s="385">
        <f t="shared" si="146"/>
        <v>0.39999999999999991</v>
      </c>
      <c r="BM122" s="468">
        <v>0</v>
      </c>
      <c r="BN122" s="468" t="s">
        <v>89</v>
      </c>
      <c r="BO122" s="383">
        <f t="shared" si="133"/>
        <v>0</v>
      </c>
      <c r="BP122" s="380">
        <f t="shared" si="134"/>
        <v>0</v>
      </c>
      <c r="BQ122" s="385">
        <f t="shared" si="135"/>
        <v>0.68</v>
      </c>
      <c r="BR122" s="501">
        <v>0.21</v>
      </c>
      <c r="BS122" s="380">
        <f t="shared" si="136"/>
        <v>14.28</v>
      </c>
      <c r="BT122" s="490">
        <v>0</v>
      </c>
      <c r="BU122" s="383">
        <f t="shared" si="137"/>
        <v>0</v>
      </c>
      <c r="BV122" s="385">
        <f t="shared" si="138"/>
        <v>0.68</v>
      </c>
      <c r="BW122" s="494">
        <v>0</v>
      </c>
      <c r="BX122" s="516" t="s">
        <v>746</v>
      </c>
      <c r="BY122" s="518"/>
      <c r="BZ122" s="804"/>
      <c r="CA122" s="807"/>
      <c r="CB122" s="386" t="str">
        <f t="shared" si="139"/>
        <v>To be realised</v>
      </c>
      <c r="CC122" s="468">
        <v>0</v>
      </c>
      <c r="CD122" s="468">
        <v>0</v>
      </c>
      <c r="CE122" s="387">
        <f t="shared" si="140"/>
        <v>19</v>
      </c>
      <c r="CF122" s="388">
        <f t="shared" si="141"/>
        <v>0</v>
      </c>
      <c r="CG122" s="380">
        <f t="shared" si="142"/>
        <v>0</v>
      </c>
      <c r="CH122" s="403" t="str">
        <f t="shared" si="143"/>
        <v>Column BN to be completed</v>
      </c>
      <c r="CI122" s="484"/>
      <c r="CJ122" s="494">
        <v>0.8</v>
      </c>
      <c r="CK122" s="405">
        <f t="shared" si="147"/>
        <v>54.400000000000006</v>
      </c>
      <c r="CL122" s="484">
        <v>4</v>
      </c>
      <c r="CM122" s="389" t="str">
        <f t="shared" si="144"/>
        <v>Excellent coverage</v>
      </c>
      <c r="CN122" s="490">
        <v>0</v>
      </c>
      <c r="CO122" s="485" t="s">
        <v>292</v>
      </c>
      <c r="CP122" s="525"/>
    </row>
    <row r="123" spans="2:94" s="40" customFormat="1" ht="30.75" customHeight="1" x14ac:dyDescent="0.2">
      <c r="B123" s="465" t="s">
        <v>131</v>
      </c>
      <c r="C123" s="466" t="s">
        <v>496</v>
      </c>
      <c r="D123" s="467" t="s">
        <v>257</v>
      </c>
      <c r="E123" s="466" t="s">
        <v>138</v>
      </c>
      <c r="F123" s="467">
        <v>97.409317000000001</v>
      </c>
      <c r="G123" s="467">
        <v>25.362189999999998</v>
      </c>
      <c r="H123" s="467" t="s">
        <v>448</v>
      </c>
      <c r="I123" s="467" t="s">
        <v>213</v>
      </c>
      <c r="J123" s="467"/>
      <c r="K123" s="467"/>
      <c r="L123" s="468">
        <v>97</v>
      </c>
      <c r="M123" s="468">
        <v>513</v>
      </c>
      <c r="N123" s="468"/>
      <c r="O123" s="468">
        <v>328</v>
      </c>
      <c r="P123" s="376" t="str">
        <f t="shared" si="111"/>
        <v>2. Medium</v>
      </c>
      <c r="Q123" s="717" t="s">
        <v>805</v>
      </c>
      <c r="R123" s="469" t="s">
        <v>234</v>
      </c>
      <c r="S123" s="477" t="s">
        <v>299</v>
      </c>
      <c r="T123" s="398" t="str">
        <f t="shared" si="112"/>
        <v>Not covered</v>
      </c>
      <c r="U123" s="478" t="s">
        <v>626</v>
      </c>
      <c r="V123" s="469" t="s">
        <v>252</v>
      </c>
      <c r="W123" s="395" t="str">
        <f t="shared" si="113"/>
        <v>Documented</v>
      </c>
      <c r="X123" s="484">
        <v>0</v>
      </c>
      <c r="Y123" s="468">
        <v>0</v>
      </c>
      <c r="Z123" s="801"/>
      <c r="AA123" s="485" t="s">
        <v>19</v>
      </c>
      <c r="AB123" s="484">
        <v>1</v>
      </c>
      <c r="AC123" s="490">
        <v>0</v>
      </c>
      <c r="AD123" s="491">
        <v>0</v>
      </c>
      <c r="AE123" s="497">
        <v>0</v>
      </c>
      <c r="AF123" s="498">
        <v>1</v>
      </c>
      <c r="AG123" s="797"/>
      <c r="AH123" s="401">
        <f t="shared" si="114"/>
        <v>1</v>
      </c>
      <c r="AI123" s="378">
        <f t="shared" si="115"/>
        <v>328</v>
      </c>
      <c r="AJ123" s="379">
        <f t="shared" si="116"/>
        <v>1</v>
      </c>
      <c r="AK123" s="380">
        <f t="shared" si="117"/>
        <v>328</v>
      </c>
      <c r="AL123" s="377">
        <f t="shared" si="118"/>
        <v>1</v>
      </c>
      <c r="AM123" s="380">
        <f t="shared" si="119"/>
        <v>328</v>
      </c>
      <c r="AN123" s="381" t="str">
        <f t="shared" si="120"/>
        <v>80-100%</v>
      </c>
      <c r="AO123" s="377">
        <f t="shared" si="121"/>
        <v>0</v>
      </c>
      <c r="AP123" s="382">
        <f t="shared" si="122"/>
        <v>0</v>
      </c>
      <c r="AQ123" s="380">
        <f t="shared" si="123"/>
        <v>0</v>
      </c>
      <c r="AR123" s="380">
        <f t="shared" si="124"/>
        <v>97</v>
      </c>
      <c r="AS123" s="380">
        <f t="shared" si="125"/>
        <v>0</v>
      </c>
      <c r="AT123" s="501">
        <v>1</v>
      </c>
      <c r="AU123" s="502">
        <f t="shared" si="126"/>
        <v>328</v>
      </c>
      <c r="AV123" s="491"/>
      <c r="AW123" s="747">
        <v>0</v>
      </c>
      <c r="AX123" s="468">
        <v>0</v>
      </c>
      <c r="AY123" s="468"/>
      <c r="AZ123" s="468">
        <v>10</v>
      </c>
      <c r="BA123" s="468"/>
      <c r="BB123" s="468" t="s">
        <v>289</v>
      </c>
      <c r="BC123" s="383">
        <f t="shared" si="127"/>
        <v>0.6097560975609756</v>
      </c>
      <c r="BD123" s="380">
        <f t="shared" si="128"/>
        <v>200</v>
      </c>
      <c r="BE123" s="383">
        <f t="shared" si="129"/>
        <v>0</v>
      </c>
      <c r="BF123" s="380">
        <f t="shared" si="130"/>
        <v>0</v>
      </c>
      <c r="BG123" s="383">
        <f t="shared" si="131"/>
        <v>0.6097560975609756</v>
      </c>
      <c r="BH123" s="380">
        <f t="shared" si="132"/>
        <v>200</v>
      </c>
      <c r="BI123" s="490">
        <v>0</v>
      </c>
      <c r="BJ123" s="506">
        <v>0.61</v>
      </c>
      <c r="BK123" s="384">
        <f t="shared" si="145"/>
        <v>200.07999999999998</v>
      </c>
      <c r="BL123" s="385">
        <f t="shared" si="146"/>
        <v>6.3999999999999986</v>
      </c>
      <c r="BM123" s="468">
        <v>1</v>
      </c>
      <c r="BN123" s="468" t="s">
        <v>89</v>
      </c>
      <c r="BO123" s="383">
        <f t="shared" si="133"/>
        <v>0.3048780487804878</v>
      </c>
      <c r="BP123" s="380">
        <f t="shared" si="134"/>
        <v>100</v>
      </c>
      <c r="BQ123" s="385">
        <f t="shared" si="135"/>
        <v>4.13</v>
      </c>
      <c r="BR123" s="501">
        <v>0.3</v>
      </c>
      <c r="BS123" s="380">
        <f t="shared" si="136"/>
        <v>98.399999999999991</v>
      </c>
      <c r="BT123" s="490">
        <v>0</v>
      </c>
      <c r="BU123" s="383">
        <f t="shared" si="137"/>
        <v>0</v>
      </c>
      <c r="BV123" s="385">
        <f t="shared" si="138"/>
        <v>5.13</v>
      </c>
      <c r="BW123" s="494">
        <v>0</v>
      </c>
      <c r="BX123" s="516" t="s">
        <v>850</v>
      </c>
      <c r="BY123" s="518">
        <v>42053</v>
      </c>
      <c r="BZ123" s="804"/>
      <c r="CA123" s="807"/>
      <c r="CB123" s="386">
        <f t="shared" si="139"/>
        <v>42418</v>
      </c>
      <c r="CC123" s="468">
        <v>105</v>
      </c>
      <c r="CD123" s="468">
        <v>4</v>
      </c>
      <c r="CE123" s="387">
        <f t="shared" si="140"/>
        <v>0</v>
      </c>
      <c r="CF123" s="388">
        <f t="shared" si="141"/>
        <v>1</v>
      </c>
      <c r="CG123" s="380">
        <f t="shared" si="142"/>
        <v>328</v>
      </c>
      <c r="CH123" s="403">
        <f t="shared" si="143"/>
        <v>2</v>
      </c>
      <c r="CI123" s="484" t="s">
        <v>896</v>
      </c>
      <c r="CJ123" s="494"/>
      <c r="CK123" s="405">
        <f t="shared" si="147"/>
        <v>0</v>
      </c>
      <c r="CL123" s="484">
        <v>2</v>
      </c>
      <c r="CM123" s="389" t="str">
        <f t="shared" si="144"/>
        <v>Excellent coverage</v>
      </c>
      <c r="CN123" s="490">
        <v>0</v>
      </c>
      <c r="CO123" s="485" t="s">
        <v>292</v>
      </c>
      <c r="CP123" s="525"/>
    </row>
    <row r="124" spans="2:94" s="40" customFormat="1" ht="30.75" customHeight="1" x14ac:dyDescent="0.2">
      <c r="B124" s="465" t="s">
        <v>131</v>
      </c>
      <c r="C124" s="466" t="s">
        <v>495</v>
      </c>
      <c r="D124" s="467" t="s">
        <v>257</v>
      </c>
      <c r="E124" s="466" t="s">
        <v>139</v>
      </c>
      <c r="F124" s="467">
        <v>97.408919999999995</v>
      </c>
      <c r="G124" s="467">
        <v>25.355983999999999</v>
      </c>
      <c r="H124" s="467" t="s">
        <v>448</v>
      </c>
      <c r="I124" s="467" t="s">
        <v>213</v>
      </c>
      <c r="J124" s="467"/>
      <c r="K124" s="467"/>
      <c r="L124" s="468">
        <v>146</v>
      </c>
      <c r="M124" s="468">
        <v>693</v>
      </c>
      <c r="N124" s="468"/>
      <c r="O124" s="468">
        <v>462</v>
      </c>
      <c r="P124" s="376" t="str">
        <f t="shared" si="111"/>
        <v>2. Medium</v>
      </c>
      <c r="Q124" s="717" t="s">
        <v>805</v>
      </c>
      <c r="R124" s="469" t="s">
        <v>234</v>
      </c>
      <c r="S124" s="477" t="s">
        <v>299</v>
      </c>
      <c r="T124" s="398" t="str">
        <f t="shared" si="112"/>
        <v>Not covered</v>
      </c>
      <c r="U124" s="478" t="s">
        <v>626</v>
      </c>
      <c r="V124" s="469" t="s">
        <v>252</v>
      </c>
      <c r="W124" s="395" t="str">
        <f t="shared" si="113"/>
        <v>Documented</v>
      </c>
      <c r="X124" s="484">
        <v>0</v>
      </c>
      <c r="Y124" s="468">
        <v>0</v>
      </c>
      <c r="Z124" s="801"/>
      <c r="AA124" s="485" t="s">
        <v>19</v>
      </c>
      <c r="AB124" s="484">
        <v>0</v>
      </c>
      <c r="AC124" s="490">
        <v>3</v>
      </c>
      <c r="AD124" s="491">
        <v>5600</v>
      </c>
      <c r="AE124" s="497">
        <v>0</v>
      </c>
      <c r="AF124" s="498">
        <v>1</v>
      </c>
      <c r="AG124" s="797"/>
      <c r="AH124" s="401">
        <f t="shared" si="114"/>
        <v>1</v>
      </c>
      <c r="AI124" s="378">
        <f t="shared" si="115"/>
        <v>462</v>
      </c>
      <c r="AJ124" s="379">
        <f t="shared" si="116"/>
        <v>1</v>
      </c>
      <c r="AK124" s="380">
        <f t="shared" si="117"/>
        <v>462</v>
      </c>
      <c r="AL124" s="377">
        <f t="shared" si="118"/>
        <v>1</v>
      </c>
      <c r="AM124" s="380">
        <f t="shared" si="119"/>
        <v>462</v>
      </c>
      <c r="AN124" s="381" t="str">
        <f t="shared" si="120"/>
        <v>80-100%</v>
      </c>
      <c r="AO124" s="377">
        <f t="shared" si="121"/>
        <v>0</v>
      </c>
      <c r="AP124" s="382">
        <f t="shared" si="122"/>
        <v>0</v>
      </c>
      <c r="AQ124" s="380">
        <f t="shared" si="123"/>
        <v>0</v>
      </c>
      <c r="AR124" s="380">
        <f t="shared" si="124"/>
        <v>146</v>
      </c>
      <c r="AS124" s="380">
        <f t="shared" si="125"/>
        <v>0</v>
      </c>
      <c r="AT124" s="501">
        <v>1</v>
      </c>
      <c r="AU124" s="502">
        <f t="shared" si="126"/>
        <v>462</v>
      </c>
      <c r="AV124" s="491"/>
      <c r="AW124" s="747">
        <v>2</v>
      </c>
      <c r="AX124" s="468">
        <v>0</v>
      </c>
      <c r="AY124" s="468"/>
      <c r="AZ124" s="468">
        <v>34</v>
      </c>
      <c r="BA124" s="468"/>
      <c r="BB124" s="468" t="s">
        <v>289</v>
      </c>
      <c r="BC124" s="383">
        <f t="shared" si="127"/>
        <v>1</v>
      </c>
      <c r="BD124" s="380">
        <f t="shared" si="128"/>
        <v>462</v>
      </c>
      <c r="BE124" s="383">
        <f t="shared" si="129"/>
        <v>0</v>
      </c>
      <c r="BF124" s="380">
        <f t="shared" si="130"/>
        <v>0</v>
      </c>
      <c r="BG124" s="383">
        <f t="shared" si="131"/>
        <v>1</v>
      </c>
      <c r="BH124" s="380">
        <f t="shared" si="132"/>
        <v>462</v>
      </c>
      <c r="BI124" s="490">
        <v>0</v>
      </c>
      <c r="BJ124" s="506">
        <v>1</v>
      </c>
      <c r="BK124" s="384">
        <f t="shared" si="145"/>
        <v>462</v>
      </c>
      <c r="BL124" s="385">
        <f t="shared" si="146"/>
        <v>0</v>
      </c>
      <c r="BM124" s="468">
        <v>3</v>
      </c>
      <c r="BN124" s="468" t="s">
        <v>290</v>
      </c>
      <c r="BO124" s="383">
        <f t="shared" si="133"/>
        <v>0.64935064935064934</v>
      </c>
      <c r="BP124" s="380">
        <f t="shared" si="134"/>
        <v>300</v>
      </c>
      <c r="BQ124" s="385">
        <f t="shared" si="135"/>
        <v>3.9299999999999997</v>
      </c>
      <c r="BR124" s="501">
        <v>0.65</v>
      </c>
      <c r="BS124" s="380">
        <f t="shared" si="136"/>
        <v>300.3</v>
      </c>
      <c r="BT124" s="490">
        <v>0</v>
      </c>
      <c r="BU124" s="383">
        <f t="shared" si="137"/>
        <v>0</v>
      </c>
      <c r="BV124" s="385">
        <f t="shared" si="138"/>
        <v>6.93</v>
      </c>
      <c r="BW124" s="494">
        <v>0</v>
      </c>
      <c r="BX124" s="516" t="s">
        <v>851</v>
      </c>
      <c r="BY124" s="518">
        <v>42053</v>
      </c>
      <c r="BZ124" s="804"/>
      <c r="CA124" s="807"/>
      <c r="CB124" s="386">
        <f t="shared" si="139"/>
        <v>42418</v>
      </c>
      <c r="CC124" s="468">
        <v>143</v>
      </c>
      <c r="CD124" s="468">
        <v>4</v>
      </c>
      <c r="CE124" s="387">
        <f t="shared" si="140"/>
        <v>3</v>
      </c>
      <c r="CF124" s="388">
        <f t="shared" si="141"/>
        <v>0.97945205479452058</v>
      </c>
      <c r="CG124" s="380">
        <f t="shared" si="142"/>
        <v>452.50684931506851</v>
      </c>
      <c r="CH124" s="403">
        <f t="shared" si="143"/>
        <v>2</v>
      </c>
      <c r="CI124" s="484" t="s">
        <v>896</v>
      </c>
      <c r="CJ124" s="494"/>
      <c r="CK124" s="405">
        <f t="shared" si="147"/>
        <v>0</v>
      </c>
      <c r="CL124" s="484">
        <v>2</v>
      </c>
      <c r="CM124" s="389" t="str">
        <f t="shared" si="144"/>
        <v>Excellent coverage</v>
      </c>
      <c r="CN124" s="490">
        <v>0</v>
      </c>
      <c r="CO124" s="485" t="s">
        <v>292</v>
      </c>
      <c r="CP124" s="525"/>
    </row>
    <row r="125" spans="2:94" s="40" customFormat="1" ht="30.75" customHeight="1" x14ac:dyDescent="0.2">
      <c r="B125" s="465" t="s">
        <v>131</v>
      </c>
      <c r="C125" s="466" t="s">
        <v>497</v>
      </c>
      <c r="D125" s="467" t="s">
        <v>257</v>
      </c>
      <c r="E125" s="466" t="s">
        <v>140</v>
      </c>
      <c r="F125" s="467">
        <v>97.411606000000006</v>
      </c>
      <c r="G125" s="467">
        <v>25.360475999999998</v>
      </c>
      <c r="H125" s="467" t="s">
        <v>448</v>
      </c>
      <c r="I125" s="467" t="s">
        <v>213</v>
      </c>
      <c r="J125" s="467"/>
      <c r="K125" s="467"/>
      <c r="L125" s="468">
        <v>73</v>
      </c>
      <c r="M125" s="468">
        <v>318</v>
      </c>
      <c r="N125" s="468"/>
      <c r="O125" s="468">
        <v>318</v>
      </c>
      <c r="P125" s="376" t="str">
        <f t="shared" si="111"/>
        <v>2. Medium</v>
      </c>
      <c r="Q125" s="717" t="s">
        <v>805</v>
      </c>
      <c r="R125" s="469" t="s">
        <v>234</v>
      </c>
      <c r="S125" s="477" t="s">
        <v>234</v>
      </c>
      <c r="T125" s="398" t="str">
        <f t="shared" si="112"/>
        <v>Covered</v>
      </c>
      <c r="U125" s="478">
        <v>42369</v>
      </c>
      <c r="V125" s="469" t="s">
        <v>252</v>
      </c>
      <c r="W125" s="395" t="str">
        <f t="shared" si="113"/>
        <v>Documented</v>
      </c>
      <c r="X125" s="484">
        <v>0</v>
      </c>
      <c r="Y125" s="468">
        <v>0</v>
      </c>
      <c r="Z125" s="801"/>
      <c r="AA125" s="485" t="s">
        <v>19</v>
      </c>
      <c r="AB125" s="484">
        <v>1</v>
      </c>
      <c r="AC125" s="490">
        <v>1</v>
      </c>
      <c r="AD125" s="491">
        <v>1600</v>
      </c>
      <c r="AE125" s="497">
        <v>0</v>
      </c>
      <c r="AF125" s="498">
        <v>1</v>
      </c>
      <c r="AG125" s="797"/>
      <c r="AH125" s="401">
        <f t="shared" si="114"/>
        <v>1</v>
      </c>
      <c r="AI125" s="378">
        <f t="shared" si="115"/>
        <v>318</v>
      </c>
      <c r="AJ125" s="379">
        <f t="shared" si="116"/>
        <v>1</v>
      </c>
      <c r="AK125" s="380">
        <f t="shared" si="117"/>
        <v>318</v>
      </c>
      <c r="AL125" s="377">
        <f t="shared" si="118"/>
        <v>1</v>
      </c>
      <c r="AM125" s="380">
        <f t="shared" si="119"/>
        <v>318</v>
      </c>
      <c r="AN125" s="381" t="str">
        <f t="shared" si="120"/>
        <v>80-100%</v>
      </c>
      <c r="AO125" s="377">
        <f t="shared" si="121"/>
        <v>0</v>
      </c>
      <c r="AP125" s="382">
        <f t="shared" si="122"/>
        <v>0</v>
      </c>
      <c r="AQ125" s="380">
        <f t="shared" si="123"/>
        <v>0</v>
      </c>
      <c r="AR125" s="380">
        <f t="shared" si="124"/>
        <v>73</v>
      </c>
      <c r="AS125" s="380">
        <f t="shared" si="125"/>
        <v>0</v>
      </c>
      <c r="AT125" s="501">
        <v>1</v>
      </c>
      <c r="AU125" s="502">
        <f t="shared" si="126"/>
        <v>318</v>
      </c>
      <c r="AV125" s="491"/>
      <c r="AW125" s="747">
        <v>33</v>
      </c>
      <c r="AX125" s="468">
        <v>0</v>
      </c>
      <c r="AY125" s="468"/>
      <c r="AZ125" s="468">
        <v>12</v>
      </c>
      <c r="BA125" s="468"/>
      <c r="BB125" s="468" t="s">
        <v>289</v>
      </c>
      <c r="BC125" s="383">
        <f t="shared" si="127"/>
        <v>0.75471698113207553</v>
      </c>
      <c r="BD125" s="380">
        <f t="shared" si="128"/>
        <v>240.00000000000003</v>
      </c>
      <c r="BE125" s="383">
        <f t="shared" si="129"/>
        <v>0</v>
      </c>
      <c r="BF125" s="380">
        <f t="shared" si="130"/>
        <v>0</v>
      </c>
      <c r="BG125" s="383">
        <f t="shared" si="131"/>
        <v>0.75471698113207553</v>
      </c>
      <c r="BH125" s="380">
        <f t="shared" si="132"/>
        <v>240.00000000000003</v>
      </c>
      <c r="BI125" s="490">
        <v>0</v>
      </c>
      <c r="BJ125" s="506">
        <v>0.75</v>
      </c>
      <c r="BK125" s="384">
        <f t="shared" si="145"/>
        <v>238.5</v>
      </c>
      <c r="BL125" s="385">
        <f t="shared" si="146"/>
        <v>3.9000000000000004</v>
      </c>
      <c r="BM125" s="468">
        <v>2</v>
      </c>
      <c r="BN125" s="468" t="s">
        <v>89</v>
      </c>
      <c r="BO125" s="383">
        <f t="shared" si="133"/>
        <v>0.62893081761006286</v>
      </c>
      <c r="BP125" s="380">
        <f t="shared" si="134"/>
        <v>200</v>
      </c>
      <c r="BQ125" s="385">
        <f t="shared" si="135"/>
        <v>1.1800000000000002</v>
      </c>
      <c r="BR125" s="501">
        <v>0.63</v>
      </c>
      <c r="BS125" s="380">
        <f t="shared" si="136"/>
        <v>200.34</v>
      </c>
      <c r="BT125" s="490">
        <v>0</v>
      </c>
      <c r="BU125" s="383">
        <f t="shared" si="137"/>
        <v>0</v>
      </c>
      <c r="BV125" s="385">
        <f t="shared" si="138"/>
        <v>3.18</v>
      </c>
      <c r="BW125" s="494">
        <v>0</v>
      </c>
      <c r="BX125" s="516" t="s">
        <v>852</v>
      </c>
      <c r="BY125" s="518">
        <v>42053</v>
      </c>
      <c r="BZ125" s="804"/>
      <c r="CA125" s="807"/>
      <c r="CB125" s="386">
        <f t="shared" si="139"/>
        <v>42418</v>
      </c>
      <c r="CC125" s="468">
        <v>71</v>
      </c>
      <c r="CD125" s="468">
        <v>4</v>
      </c>
      <c r="CE125" s="387">
        <f t="shared" si="140"/>
        <v>2</v>
      </c>
      <c r="CF125" s="388">
        <f t="shared" si="141"/>
        <v>0.9726027397260274</v>
      </c>
      <c r="CG125" s="380">
        <f t="shared" si="142"/>
        <v>309.28767123287673</v>
      </c>
      <c r="CH125" s="403">
        <f t="shared" si="143"/>
        <v>2</v>
      </c>
      <c r="CI125" s="484" t="s">
        <v>896</v>
      </c>
      <c r="CJ125" s="494">
        <v>1</v>
      </c>
      <c r="CK125" s="405">
        <f t="shared" si="147"/>
        <v>318</v>
      </c>
      <c r="CL125" s="484">
        <v>2</v>
      </c>
      <c r="CM125" s="389" t="str">
        <f t="shared" si="144"/>
        <v>Excellent coverage</v>
      </c>
      <c r="CN125" s="490">
        <v>0</v>
      </c>
      <c r="CO125" s="485" t="s">
        <v>292</v>
      </c>
      <c r="CP125" s="525"/>
    </row>
    <row r="126" spans="2:94" s="40" customFormat="1" ht="30.75" customHeight="1" x14ac:dyDescent="0.2">
      <c r="B126" s="465" t="s">
        <v>131</v>
      </c>
      <c r="C126" s="466" t="s">
        <v>490</v>
      </c>
      <c r="D126" s="467" t="s">
        <v>257</v>
      </c>
      <c r="E126" s="466" t="s">
        <v>141</v>
      </c>
      <c r="F126" s="467">
        <v>97.418694000000002</v>
      </c>
      <c r="G126" s="467">
        <v>25.428910999999999</v>
      </c>
      <c r="H126" s="467" t="s">
        <v>448</v>
      </c>
      <c r="I126" s="467" t="s">
        <v>213</v>
      </c>
      <c r="J126" s="467"/>
      <c r="K126" s="467"/>
      <c r="L126" s="468">
        <v>83</v>
      </c>
      <c r="M126" s="468">
        <v>368</v>
      </c>
      <c r="N126" s="468"/>
      <c r="O126" s="468">
        <v>368</v>
      </c>
      <c r="P126" s="376" t="str">
        <f t="shared" si="111"/>
        <v>2. Medium</v>
      </c>
      <c r="Q126" s="717" t="s">
        <v>805</v>
      </c>
      <c r="R126" s="469" t="s">
        <v>234</v>
      </c>
      <c r="S126" s="477" t="s">
        <v>234</v>
      </c>
      <c r="T126" s="398" t="str">
        <f t="shared" si="112"/>
        <v>Covered</v>
      </c>
      <c r="U126" s="478">
        <v>42429</v>
      </c>
      <c r="V126" s="469" t="s">
        <v>252</v>
      </c>
      <c r="W126" s="395" t="str">
        <f t="shared" si="113"/>
        <v>Documented</v>
      </c>
      <c r="X126" s="484">
        <v>0</v>
      </c>
      <c r="Y126" s="468">
        <v>0</v>
      </c>
      <c r="Z126" s="801"/>
      <c r="AA126" s="485" t="s">
        <v>19</v>
      </c>
      <c r="AB126" s="484">
        <v>2</v>
      </c>
      <c r="AC126" s="490">
        <v>0</v>
      </c>
      <c r="AD126" s="491">
        <v>1000</v>
      </c>
      <c r="AE126" s="497">
        <v>0</v>
      </c>
      <c r="AF126" s="498">
        <v>1</v>
      </c>
      <c r="AG126" s="797"/>
      <c r="AH126" s="401">
        <f t="shared" si="114"/>
        <v>1</v>
      </c>
      <c r="AI126" s="378">
        <f t="shared" si="115"/>
        <v>368</v>
      </c>
      <c r="AJ126" s="379">
        <f t="shared" si="116"/>
        <v>1</v>
      </c>
      <c r="AK126" s="380">
        <f t="shared" si="117"/>
        <v>368</v>
      </c>
      <c r="AL126" s="377">
        <f t="shared" si="118"/>
        <v>1</v>
      </c>
      <c r="AM126" s="380">
        <f t="shared" si="119"/>
        <v>368</v>
      </c>
      <c r="AN126" s="381" t="str">
        <f t="shared" si="120"/>
        <v>80-100%</v>
      </c>
      <c r="AO126" s="377">
        <f t="shared" si="121"/>
        <v>0</v>
      </c>
      <c r="AP126" s="382">
        <f t="shared" si="122"/>
        <v>0</v>
      </c>
      <c r="AQ126" s="380">
        <f t="shared" si="123"/>
        <v>0</v>
      </c>
      <c r="AR126" s="380">
        <f t="shared" si="124"/>
        <v>83</v>
      </c>
      <c r="AS126" s="380">
        <f t="shared" si="125"/>
        <v>0</v>
      </c>
      <c r="AT126" s="501">
        <v>1</v>
      </c>
      <c r="AU126" s="502">
        <f t="shared" si="126"/>
        <v>368</v>
      </c>
      <c r="AV126" s="491"/>
      <c r="AW126" s="747">
        <v>0</v>
      </c>
      <c r="AX126" s="468">
        <v>0</v>
      </c>
      <c r="AY126" s="468"/>
      <c r="AZ126" s="468">
        <v>24</v>
      </c>
      <c r="BA126" s="468"/>
      <c r="BB126" s="468" t="s">
        <v>289</v>
      </c>
      <c r="BC126" s="383">
        <f t="shared" si="127"/>
        <v>1</v>
      </c>
      <c r="BD126" s="380">
        <f t="shared" si="128"/>
        <v>368</v>
      </c>
      <c r="BE126" s="383">
        <f t="shared" si="129"/>
        <v>0</v>
      </c>
      <c r="BF126" s="380">
        <f t="shared" si="130"/>
        <v>0</v>
      </c>
      <c r="BG126" s="383">
        <f t="shared" si="131"/>
        <v>1</v>
      </c>
      <c r="BH126" s="380">
        <f t="shared" si="132"/>
        <v>368</v>
      </c>
      <c r="BI126" s="490">
        <v>0</v>
      </c>
      <c r="BJ126" s="506">
        <v>1</v>
      </c>
      <c r="BK126" s="384">
        <f t="shared" si="145"/>
        <v>368</v>
      </c>
      <c r="BL126" s="385">
        <f t="shared" si="146"/>
        <v>0</v>
      </c>
      <c r="BM126" s="468">
        <v>2</v>
      </c>
      <c r="BN126" s="468" t="s">
        <v>89</v>
      </c>
      <c r="BO126" s="383">
        <f t="shared" si="133"/>
        <v>0.54347826086956519</v>
      </c>
      <c r="BP126" s="380">
        <f t="shared" si="134"/>
        <v>200</v>
      </c>
      <c r="BQ126" s="385">
        <f t="shared" si="135"/>
        <v>1.6800000000000002</v>
      </c>
      <c r="BR126" s="501">
        <v>0.54</v>
      </c>
      <c r="BS126" s="380">
        <f t="shared" si="136"/>
        <v>198.72000000000003</v>
      </c>
      <c r="BT126" s="490">
        <v>0</v>
      </c>
      <c r="BU126" s="383">
        <f t="shared" si="137"/>
        <v>0</v>
      </c>
      <c r="BV126" s="385">
        <f t="shared" si="138"/>
        <v>3.68</v>
      </c>
      <c r="BW126" s="494">
        <v>0</v>
      </c>
      <c r="BX126" s="516" t="s">
        <v>853</v>
      </c>
      <c r="BY126" s="518">
        <v>42053</v>
      </c>
      <c r="BZ126" s="804"/>
      <c r="CA126" s="807"/>
      <c r="CB126" s="386">
        <f t="shared" si="139"/>
        <v>42418</v>
      </c>
      <c r="CC126" s="468">
        <v>87</v>
      </c>
      <c r="CD126" s="468">
        <v>4</v>
      </c>
      <c r="CE126" s="387">
        <f t="shared" si="140"/>
        <v>0</v>
      </c>
      <c r="CF126" s="388">
        <f t="shared" si="141"/>
        <v>1</v>
      </c>
      <c r="CG126" s="380">
        <f t="shared" si="142"/>
        <v>368</v>
      </c>
      <c r="CH126" s="403">
        <f t="shared" si="143"/>
        <v>2</v>
      </c>
      <c r="CI126" s="484" t="s">
        <v>896</v>
      </c>
      <c r="CJ126" s="494">
        <v>1</v>
      </c>
      <c r="CK126" s="405">
        <f t="shared" si="147"/>
        <v>368</v>
      </c>
      <c r="CL126" s="484">
        <v>2</v>
      </c>
      <c r="CM126" s="389" t="str">
        <f t="shared" si="144"/>
        <v>Excellent coverage</v>
      </c>
      <c r="CN126" s="490">
        <v>0</v>
      </c>
      <c r="CO126" s="485" t="s">
        <v>65</v>
      </c>
      <c r="CP126" s="525" t="s">
        <v>907</v>
      </c>
    </row>
    <row r="127" spans="2:94" s="40" customFormat="1" ht="30.75" customHeight="1" x14ac:dyDescent="0.2">
      <c r="B127" s="465" t="s">
        <v>131</v>
      </c>
      <c r="C127" s="466" t="s">
        <v>500</v>
      </c>
      <c r="D127" s="467" t="s">
        <v>257</v>
      </c>
      <c r="E127" s="466" t="s">
        <v>142</v>
      </c>
      <c r="F127" s="467">
        <v>97.284729999999996</v>
      </c>
      <c r="G127" s="467">
        <v>25.374020000000002</v>
      </c>
      <c r="H127" s="467" t="s">
        <v>448</v>
      </c>
      <c r="I127" s="467" t="s">
        <v>213</v>
      </c>
      <c r="J127" s="467"/>
      <c r="K127" s="467"/>
      <c r="L127" s="468">
        <v>22</v>
      </c>
      <c r="M127" s="468">
        <v>103</v>
      </c>
      <c r="N127" s="468"/>
      <c r="O127" s="468">
        <v>103</v>
      </c>
      <c r="P127" s="376" t="str">
        <f t="shared" si="111"/>
        <v>1. Small</v>
      </c>
      <c r="Q127" s="717" t="s">
        <v>804</v>
      </c>
      <c r="R127" s="469" t="s">
        <v>275</v>
      </c>
      <c r="S127" s="477" t="s">
        <v>275</v>
      </c>
      <c r="T127" s="398" t="str">
        <f t="shared" si="112"/>
        <v>Covered</v>
      </c>
      <c r="U127" s="478">
        <v>42369</v>
      </c>
      <c r="V127" s="469" t="s">
        <v>252</v>
      </c>
      <c r="W127" s="395" t="str">
        <f t="shared" si="113"/>
        <v>Documented</v>
      </c>
      <c r="X127" s="484">
        <v>0</v>
      </c>
      <c r="Y127" s="468">
        <v>0</v>
      </c>
      <c r="Z127" s="801"/>
      <c r="AA127" s="485" t="s">
        <v>19</v>
      </c>
      <c r="AB127" s="484">
        <v>1</v>
      </c>
      <c r="AC127" s="490">
        <v>1</v>
      </c>
      <c r="AD127" s="491">
        <v>3000</v>
      </c>
      <c r="AE127" s="497">
        <v>0</v>
      </c>
      <c r="AF127" s="498">
        <v>0</v>
      </c>
      <c r="AG127" s="797"/>
      <c r="AH127" s="401">
        <f t="shared" si="114"/>
        <v>1</v>
      </c>
      <c r="AI127" s="378">
        <f t="shared" si="115"/>
        <v>103</v>
      </c>
      <c r="AJ127" s="379">
        <f t="shared" si="116"/>
        <v>1</v>
      </c>
      <c r="AK127" s="380">
        <f t="shared" si="117"/>
        <v>103</v>
      </c>
      <c r="AL127" s="377">
        <f t="shared" si="118"/>
        <v>1</v>
      </c>
      <c r="AM127" s="380">
        <f t="shared" si="119"/>
        <v>103</v>
      </c>
      <c r="AN127" s="381" t="str">
        <f t="shared" si="120"/>
        <v>80-100%</v>
      </c>
      <c r="AO127" s="377">
        <f t="shared" si="121"/>
        <v>0</v>
      </c>
      <c r="AP127" s="382">
        <f t="shared" si="122"/>
        <v>0</v>
      </c>
      <c r="AQ127" s="380">
        <f t="shared" si="123"/>
        <v>0</v>
      </c>
      <c r="AR127" s="380">
        <f t="shared" si="124"/>
        <v>0</v>
      </c>
      <c r="AS127" s="380">
        <f t="shared" si="125"/>
        <v>0</v>
      </c>
      <c r="AT127" s="501">
        <v>1</v>
      </c>
      <c r="AU127" s="502">
        <f t="shared" si="126"/>
        <v>103</v>
      </c>
      <c r="AV127" s="491"/>
      <c r="AW127" s="747">
        <v>10</v>
      </c>
      <c r="AX127" s="468">
        <v>2</v>
      </c>
      <c r="AY127" s="468"/>
      <c r="AZ127" s="468">
        <v>5</v>
      </c>
      <c r="BA127" s="468"/>
      <c r="BB127" s="468" t="s">
        <v>289</v>
      </c>
      <c r="BC127" s="383">
        <f t="shared" si="127"/>
        <v>1</v>
      </c>
      <c r="BD127" s="380">
        <f t="shared" si="128"/>
        <v>103</v>
      </c>
      <c r="BE127" s="383">
        <f t="shared" si="129"/>
        <v>2.9126213592232997E-2</v>
      </c>
      <c r="BF127" s="380">
        <f t="shared" si="130"/>
        <v>2.9999999999999987</v>
      </c>
      <c r="BG127" s="383">
        <f t="shared" si="131"/>
        <v>0.970873786407767</v>
      </c>
      <c r="BH127" s="380">
        <f t="shared" si="132"/>
        <v>100</v>
      </c>
      <c r="BI127" s="490">
        <v>0</v>
      </c>
      <c r="BJ127" s="506">
        <v>1</v>
      </c>
      <c r="BK127" s="384">
        <f t="shared" si="145"/>
        <v>103</v>
      </c>
      <c r="BL127" s="385">
        <f t="shared" si="146"/>
        <v>0.15000000000000036</v>
      </c>
      <c r="BM127" s="468">
        <v>2</v>
      </c>
      <c r="BN127" s="468" t="s">
        <v>289</v>
      </c>
      <c r="BO127" s="383">
        <f t="shared" si="133"/>
        <v>1</v>
      </c>
      <c r="BP127" s="380">
        <f t="shared" si="134"/>
        <v>103</v>
      </c>
      <c r="BQ127" s="385">
        <f t="shared" si="135"/>
        <v>0</v>
      </c>
      <c r="BR127" s="501">
        <v>1</v>
      </c>
      <c r="BS127" s="380">
        <f t="shared" si="136"/>
        <v>103</v>
      </c>
      <c r="BT127" s="490">
        <v>2</v>
      </c>
      <c r="BU127" s="383">
        <f t="shared" si="137"/>
        <v>1</v>
      </c>
      <c r="BV127" s="385">
        <f t="shared" si="138"/>
        <v>0</v>
      </c>
      <c r="BW127" s="494">
        <v>1</v>
      </c>
      <c r="BX127" s="516"/>
      <c r="BY127" s="518">
        <v>42048</v>
      </c>
      <c r="BZ127" s="804"/>
      <c r="CA127" s="807"/>
      <c r="CB127" s="386">
        <f t="shared" si="139"/>
        <v>42413</v>
      </c>
      <c r="CC127" s="468">
        <v>22</v>
      </c>
      <c r="CD127" s="468">
        <v>5</v>
      </c>
      <c r="CE127" s="387">
        <f t="shared" si="140"/>
        <v>0</v>
      </c>
      <c r="CF127" s="388">
        <f t="shared" si="141"/>
        <v>1</v>
      </c>
      <c r="CG127" s="380">
        <f t="shared" si="142"/>
        <v>103</v>
      </c>
      <c r="CH127" s="403">
        <f t="shared" si="143"/>
        <v>2</v>
      </c>
      <c r="CI127" s="484"/>
      <c r="CJ127" s="494">
        <v>1</v>
      </c>
      <c r="CK127" s="405">
        <f t="shared" si="147"/>
        <v>103</v>
      </c>
      <c r="CL127" s="484">
        <v>2</v>
      </c>
      <c r="CM127" s="389" t="str">
        <f t="shared" si="144"/>
        <v>Excellent coverage</v>
      </c>
      <c r="CN127" s="490">
        <v>0</v>
      </c>
      <c r="CO127" s="485" t="s">
        <v>65</v>
      </c>
      <c r="CP127" s="525"/>
    </row>
    <row r="128" spans="2:94" s="40" customFormat="1" ht="30.75" customHeight="1" x14ac:dyDescent="0.2">
      <c r="B128" s="465" t="s">
        <v>131</v>
      </c>
      <c r="C128" s="466" t="s">
        <v>501</v>
      </c>
      <c r="D128" s="467" t="s">
        <v>257</v>
      </c>
      <c r="E128" s="466" t="s">
        <v>143</v>
      </c>
      <c r="F128" s="467">
        <v>97.291079999999994</v>
      </c>
      <c r="G128" s="467">
        <v>25.371179999999999</v>
      </c>
      <c r="H128" s="467" t="s">
        <v>448</v>
      </c>
      <c r="I128" s="467" t="s">
        <v>213</v>
      </c>
      <c r="J128" s="467"/>
      <c r="K128" s="467"/>
      <c r="L128" s="468">
        <v>14</v>
      </c>
      <c r="M128" s="468">
        <v>72</v>
      </c>
      <c r="N128" s="468"/>
      <c r="O128" s="468">
        <v>72</v>
      </c>
      <c r="P128" s="376" t="str">
        <f t="shared" si="111"/>
        <v>1. Small</v>
      </c>
      <c r="Q128" s="717" t="s">
        <v>804</v>
      </c>
      <c r="R128" s="469" t="s">
        <v>275</v>
      </c>
      <c r="S128" s="477" t="s">
        <v>275</v>
      </c>
      <c r="T128" s="398" t="str">
        <f t="shared" si="112"/>
        <v>Covered</v>
      </c>
      <c r="U128" s="478">
        <v>42429</v>
      </c>
      <c r="V128" s="469" t="s">
        <v>252</v>
      </c>
      <c r="W128" s="395" t="str">
        <f t="shared" si="113"/>
        <v>Documented</v>
      </c>
      <c r="X128" s="484">
        <v>0</v>
      </c>
      <c r="Y128" s="468">
        <v>0</v>
      </c>
      <c r="Z128" s="801"/>
      <c r="AA128" s="485" t="s">
        <v>19</v>
      </c>
      <c r="AB128" s="484">
        <v>1</v>
      </c>
      <c r="AC128" s="490">
        <v>0</v>
      </c>
      <c r="AD128" s="491">
        <v>3000</v>
      </c>
      <c r="AE128" s="497">
        <v>0</v>
      </c>
      <c r="AF128" s="498">
        <v>0</v>
      </c>
      <c r="AG128" s="797"/>
      <c r="AH128" s="401">
        <f t="shared" si="114"/>
        <v>1</v>
      </c>
      <c r="AI128" s="378">
        <f t="shared" si="115"/>
        <v>72</v>
      </c>
      <c r="AJ128" s="379">
        <f t="shared" si="116"/>
        <v>1</v>
      </c>
      <c r="AK128" s="380">
        <f t="shared" si="117"/>
        <v>72</v>
      </c>
      <c r="AL128" s="377">
        <f t="shared" si="118"/>
        <v>1</v>
      </c>
      <c r="AM128" s="380">
        <f t="shared" si="119"/>
        <v>72</v>
      </c>
      <c r="AN128" s="381" t="str">
        <f t="shared" si="120"/>
        <v>80-100%</v>
      </c>
      <c r="AO128" s="377">
        <f t="shared" si="121"/>
        <v>0</v>
      </c>
      <c r="AP128" s="382">
        <f t="shared" si="122"/>
        <v>0</v>
      </c>
      <c r="AQ128" s="380">
        <f t="shared" si="123"/>
        <v>0</v>
      </c>
      <c r="AR128" s="380">
        <f t="shared" si="124"/>
        <v>0</v>
      </c>
      <c r="AS128" s="380">
        <f t="shared" si="125"/>
        <v>0</v>
      </c>
      <c r="AT128" s="501">
        <v>1</v>
      </c>
      <c r="AU128" s="502">
        <f t="shared" si="126"/>
        <v>72</v>
      </c>
      <c r="AV128" s="491"/>
      <c r="AW128" s="747">
        <v>0</v>
      </c>
      <c r="AX128" s="468">
        <v>0</v>
      </c>
      <c r="AY128" s="468"/>
      <c r="AZ128" s="468">
        <v>5</v>
      </c>
      <c r="BA128" s="468"/>
      <c r="BB128" s="468" t="s">
        <v>289</v>
      </c>
      <c r="BC128" s="383">
        <f t="shared" si="127"/>
        <v>1</v>
      </c>
      <c r="BD128" s="380">
        <f t="shared" si="128"/>
        <v>72</v>
      </c>
      <c r="BE128" s="383">
        <f t="shared" si="129"/>
        <v>0</v>
      </c>
      <c r="BF128" s="380">
        <f t="shared" si="130"/>
        <v>0</v>
      </c>
      <c r="BG128" s="383">
        <f t="shared" si="131"/>
        <v>1</v>
      </c>
      <c r="BH128" s="380">
        <f t="shared" si="132"/>
        <v>72</v>
      </c>
      <c r="BI128" s="490">
        <v>0</v>
      </c>
      <c r="BJ128" s="506">
        <v>1</v>
      </c>
      <c r="BK128" s="384">
        <f t="shared" si="145"/>
        <v>72</v>
      </c>
      <c r="BL128" s="385">
        <f t="shared" si="146"/>
        <v>0</v>
      </c>
      <c r="BM128" s="468">
        <v>2</v>
      </c>
      <c r="BN128" s="468" t="s">
        <v>290</v>
      </c>
      <c r="BO128" s="383">
        <f t="shared" si="133"/>
        <v>1</v>
      </c>
      <c r="BP128" s="380">
        <f t="shared" si="134"/>
        <v>72</v>
      </c>
      <c r="BQ128" s="385">
        <f t="shared" si="135"/>
        <v>0</v>
      </c>
      <c r="BR128" s="501">
        <v>1</v>
      </c>
      <c r="BS128" s="380">
        <f t="shared" si="136"/>
        <v>72</v>
      </c>
      <c r="BT128" s="490">
        <v>1</v>
      </c>
      <c r="BU128" s="383">
        <f t="shared" si="137"/>
        <v>1</v>
      </c>
      <c r="BV128" s="385">
        <f t="shared" si="138"/>
        <v>0</v>
      </c>
      <c r="BW128" s="494">
        <v>1</v>
      </c>
      <c r="BX128" s="516"/>
      <c r="BY128" s="518">
        <v>42048</v>
      </c>
      <c r="BZ128" s="804"/>
      <c r="CA128" s="807"/>
      <c r="CB128" s="386">
        <f t="shared" si="139"/>
        <v>42413</v>
      </c>
      <c r="CC128" s="468">
        <v>14</v>
      </c>
      <c r="CD128" s="468">
        <v>5</v>
      </c>
      <c r="CE128" s="387">
        <f t="shared" si="140"/>
        <v>0</v>
      </c>
      <c r="CF128" s="388">
        <f t="shared" si="141"/>
        <v>1</v>
      </c>
      <c r="CG128" s="380">
        <f t="shared" si="142"/>
        <v>72</v>
      </c>
      <c r="CH128" s="403">
        <f t="shared" si="143"/>
        <v>2</v>
      </c>
      <c r="CI128" s="484"/>
      <c r="CJ128" s="494">
        <v>1</v>
      </c>
      <c r="CK128" s="405">
        <f t="shared" si="147"/>
        <v>72</v>
      </c>
      <c r="CL128" s="484">
        <v>2</v>
      </c>
      <c r="CM128" s="389" t="str">
        <f t="shared" si="144"/>
        <v>Excellent coverage</v>
      </c>
      <c r="CN128" s="490">
        <v>0</v>
      </c>
      <c r="CO128" s="485" t="s">
        <v>65</v>
      </c>
      <c r="CP128" s="525"/>
    </row>
    <row r="129" spans="2:94" s="40" customFormat="1" ht="30.75" customHeight="1" x14ac:dyDescent="0.2">
      <c r="B129" s="465" t="s">
        <v>131</v>
      </c>
      <c r="C129" s="466" t="s">
        <v>504</v>
      </c>
      <c r="D129" s="467" t="s">
        <v>257</v>
      </c>
      <c r="E129" s="466" t="s">
        <v>215</v>
      </c>
      <c r="F129" s="467">
        <v>97.359380000000002</v>
      </c>
      <c r="G129" s="467">
        <v>25.411770000000001</v>
      </c>
      <c r="H129" s="467" t="s">
        <v>448</v>
      </c>
      <c r="I129" s="467" t="s">
        <v>213</v>
      </c>
      <c r="J129" s="467"/>
      <c r="K129" s="467"/>
      <c r="L129" s="468">
        <v>72</v>
      </c>
      <c r="M129" s="468">
        <v>308</v>
      </c>
      <c r="N129" s="468"/>
      <c r="O129" s="468">
        <v>308</v>
      </c>
      <c r="P129" s="376" t="str">
        <f t="shared" si="111"/>
        <v>2. Medium</v>
      </c>
      <c r="Q129" s="717" t="s">
        <v>825</v>
      </c>
      <c r="R129" s="469" t="s">
        <v>230</v>
      </c>
      <c r="S129" s="477" t="s">
        <v>299</v>
      </c>
      <c r="T129" s="398" t="str">
        <f t="shared" si="112"/>
        <v>Not covered</v>
      </c>
      <c r="U129" s="478" t="s">
        <v>626</v>
      </c>
      <c r="V129" s="469" t="s">
        <v>252</v>
      </c>
      <c r="W129" s="395" t="str">
        <f t="shared" si="113"/>
        <v>Documented</v>
      </c>
      <c r="X129" s="484">
        <v>0</v>
      </c>
      <c r="Y129" s="468">
        <v>0</v>
      </c>
      <c r="Z129" s="801"/>
      <c r="AA129" s="485" t="s">
        <v>19</v>
      </c>
      <c r="AB129" s="484">
        <v>0</v>
      </c>
      <c r="AC129" s="490">
        <v>4</v>
      </c>
      <c r="AD129" s="491">
        <v>8000</v>
      </c>
      <c r="AE129" s="497">
        <v>0</v>
      </c>
      <c r="AF129" s="498">
        <v>1</v>
      </c>
      <c r="AG129" s="797"/>
      <c r="AH129" s="401">
        <f t="shared" si="114"/>
        <v>1</v>
      </c>
      <c r="AI129" s="378">
        <f t="shared" si="115"/>
        <v>308</v>
      </c>
      <c r="AJ129" s="379">
        <f t="shared" si="116"/>
        <v>1</v>
      </c>
      <c r="AK129" s="380">
        <f t="shared" si="117"/>
        <v>308</v>
      </c>
      <c r="AL129" s="377">
        <f t="shared" si="118"/>
        <v>1</v>
      </c>
      <c r="AM129" s="380">
        <f t="shared" si="119"/>
        <v>308</v>
      </c>
      <c r="AN129" s="381" t="str">
        <f t="shared" si="120"/>
        <v>80-100%</v>
      </c>
      <c r="AO129" s="377">
        <f t="shared" si="121"/>
        <v>0</v>
      </c>
      <c r="AP129" s="382">
        <f t="shared" si="122"/>
        <v>0</v>
      </c>
      <c r="AQ129" s="380">
        <f t="shared" si="123"/>
        <v>0</v>
      </c>
      <c r="AR129" s="380">
        <f t="shared" si="124"/>
        <v>72</v>
      </c>
      <c r="AS129" s="380">
        <f t="shared" si="125"/>
        <v>0</v>
      </c>
      <c r="AT129" s="501">
        <v>1</v>
      </c>
      <c r="AU129" s="502">
        <f t="shared" si="126"/>
        <v>308</v>
      </c>
      <c r="AV129" s="491" t="s">
        <v>827</v>
      </c>
      <c r="AW129" s="747">
        <v>0</v>
      </c>
      <c r="AX129" s="468">
        <v>17</v>
      </c>
      <c r="AY129" s="468"/>
      <c r="AZ129" s="468">
        <v>6</v>
      </c>
      <c r="BA129" s="468"/>
      <c r="BB129" s="468" t="s">
        <v>290</v>
      </c>
      <c r="BC129" s="383">
        <f t="shared" si="127"/>
        <v>1</v>
      </c>
      <c r="BD129" s="380">
        <f t="shared" si="128"/>
        <v>308</v>
      </c>
      <c r="BE129" s="383">
        <f t="shared" si="129"/>
        <v>0.61038961038961037</v>
      </c>
      <c r="BF129" s="380">
        <f t="shared" si="130"/>
        <v>188</v>
      </c>
      <c r="BG129" s="383">
        <f t="shared" si="131"/>
        <v>0.38961038961038963</v>
      </c>
      <c r="BH129" s="380">
        <f t="shared" si="132"/>
        <v>120</v>
      </c>
      <c r="BI129" s="490">
        <v>0</v>
      </c>
      <c r="BJ129" s="506">
        <v>1</v>
      </c>
      <c r="BK129" s="384">
        <f t="shared" si="145"/>
        <v>308</v>
      </c>
      <c r="BL129" s="385">
        <f t="shared" si="146"/>
        <v>9.4</v>
      </c>
      <c r="BM129" s="468">
        <v>3</v>
      </c>
      <c r="BN129" s="468" t="s">
        <v>290</v>
      </c>
      <c r="BO129" s="383">
        <f t="shared" si="133"/>
        <v>0.97402597402597402</v>
      </c>
      <c r="BP129" s="380">
        <f t="shared" si="134"/>
        <v>300</v>
      </c>
      <c r="BQ129" s="385">
        <f t="shared" si="135"/>
        <v>8.0000000000000071E-2</v>
      </c>
      <c r="BR129" s="501">
        <v>1</v>
      </c>
      <c r="BS129" s="380">
        <f t="shared" si="136"/>
        <v>308</v>
      </c>
      <c r="BT129" s="490">
        <v>4</v>
      </c>
      <c r="BU129" s="383">
        <f t="shared" si="137"/>
        <v>1</v>
      </c>
      <c r="BV129" s="385">
        <f t="shared" si="138"/>
        <v>0</v>
      </c>
      <c r="BW129" s="494">
        <v>1</v>
      </c>
      <c r="BX129" s="516" t="s">
        <v>815</v>
      </c>
      <c r="BY129" s="518">
        <v>41781</v>
      </c>
      <c r="BZ129" s="804"/>
      <c r="CA129" s="807"/>
      <c r="CB129" s="386" t="str">
        <f t="shared" si="139"/>
        <v>To be realised</v>
      </c>
      <c r="CC129" s="468">
        <v>72</v>
      </c>
      <c r="CD129" s="468">
        <v>2</v>
      </c>
      <c r="CE129" s="387">
        <f t="shared" si="140"/>
        <v>72</v>
      </c>
      <c r="CF129" s="388">
        <f t="shared" si="141"/>
        <v>0</v>
      </c>
      <c r="CG129" s="380">
        <f t="shared" si="142"/>
        <v>0</v>
      </c>
      <c r="CH129" s="403">
        <f t="shared" si="143"/>
        <v>14</v>
      </c>
      <c r="CI129" s="484"/>
      <c r="CJ129" s="494"/>
      <c r="CK129" s="405">
        <f t="shared" si="147"/>
        <v>0</v>
      </c>
      <c r="CL129" s="484">
        <v>4</v>
      </c>
      <c r="CM129" s="389" t="str">
        <f t="shared" si="144"/>
        <v>Excellent coverage</v>
      </c>
      <c r="CN129" s="490">
        <v>0</v>
      </c>
      <c r="CO129" s="485" t="s">
        <v>292</v>
      </c>
      <c r="CP129" s="525"/>
    </row>
    <row r="130" spans="2:94" s="40" customFormat="1" ht="30.75" customHeight="1" x14ac:dyDescent="0.2">
      <c r="B130" s="465" t="s">
        <v>131</v>
      </c>
      <c r="C130" s="466" t="s">
        <v>483</v>
      </c>
      <c r="D130" s="467" t="s">
        <v>257</v>
      </c>
      <c r="E130" s="466" t="s">
        <v>214</v>
      </c>
      <c r="F130" s="467">
        <v>97.394547000000003</v>
      </c>
      <c r="G130" s="467">
        <v>25.422194000000001</v>
      </c>
      <c r="H130" s="467" t="s">
        <v>448</v>
      </c>
      <c r="I130" s="467" t="s">
        <v>213</v>
      </c>
      <c r="J130" s="467"/>
      <c r="K130" s="467"/>
      <c r="L130" s="468">
        <v>55</v>
      </c>
      <c r="M130" s="468">
        <v>221</v>
      </c>
      <c r="N130" s="468"/>
      <c r="O130" s="468">
        <v>221</v>
      </c>
      <c r="P130" s="376" t="str">
        <f t="shared" si="111"/>
        <v>2. Medium</v>
      </c>
      <c r="Q130" s="717" t="s">
        <v>805</v>
      </c>
      <c r="R130" s="469" t="s">
        <v>234</v>
      </c>
      <c r="S130" s="477" t="s">
        <v>234</v>
      </c>
      <c r="T130" s="398" t="str">
        <f t="shared" si="112"/>
        <v>Covered</v>
      </c>
      <c r="U130" s="478">
        <v>42429</v>
      </c>
      <c r="V130" s="469" t="s">
        <v>252</v>
      </c>
      <c r="W130" s="395" t="str">
        <f t="shared" si="113"/>
        <v>Documented</v>
      </c>
      <c r="X130" s="484">
        <v>0</v>
      </c>
      <c r="Y130" s="468">
        <v>0</v>
      </c>
      <c r="Z130" s="801"/>
      <c r="AA130" s="485" t="s">
        <v>19</v>
      </c>
      <c r="AB130" s="484">
        <v>2</v>
      </c>
      <c r="AC130" s="490">
        <v>2</v>
      </c>
      <c r="AD130" s="491">
        <v>0</v>
      </c>
      <c r="AE130" s="497">
        <v>0</v>
      </c>
      <c r="AF130" s="498">
        <v>1</v>
      </c>
      <c r="AG130" s="797"/>
      <c r="AH130" s="401">
        <f t="shared" si="114"/>
        <v>1</v>
      </c>
      <c r="AI130" s="378">
        <f t="shared" si="115"/>
        <v>221</v>
      </c>
      <c r="AJ130" s="379">
        <f t="shared" si="116"/>
        <v>1</v>
      </c>
      <c r="AK130" s="380">
        <f t="shared" si="117"/>
        <v>221</v>
      </c>
      <c r="AL130" s="377">
        <f t="shared" si="118"/>
        <v>1</v>
      </c>
      <c r="AM130" s="380">
        <f t="shared" si="119"/>
        <v>221</v>
      </c>
      <c r="AN130" s="381" t="str">
        <f t="shared" si="120"/>
        <v>80-100%</v>
      </c>
      <c r="AO130" s="377">
        <f t="shared" si="121"/>
        <v>0</v>
      </c>
      <c r="AP130" s="382">
        <f t="shared" si="122"/>
        <v>0</v>
      </c>
      <c r="AQ130" s="380">
        <f t="shared" si="123"/>
        <v>0</v>
      </c>
      <c r="AR130" s="380">
        <f t="shared" si="124"/>
        <v>55</v>
      </c>
      <c r="AS130" s="380">
        <f t="shared" si="125"/>
        <v>0</v>
      </c>
      <c r="AT130" s="501">
        <v>1</v>
      </c>
      <c r="AU130" s="502">
        <f t="shared" si="126"/>
        <v>221</v>
      </c>
      <c r="AV130" s="491"/>
      <c r="AW130" s="747">
        <v>0</v>
      </c>
      <c r="AX130" s="468">
        <v>0</v>
      </c>
      <c r="AY130" s="468"/>
      <c r="AZ130" s="468">
        <v>8</v>
      </c>
      <c r="BA130" s="468"/>
      <c r="BB130" s="468" t="s">
        <v>289</v>
      </c>
      <c r="BC130" s="383">
        <f t="shared" si="127"/>
        <v>0.72398190045248867</v>
      </c>
      <c r="BD130" s="380">
        <f t="shared" si="128"/>
        <v>160</v>
      </c>
      <c r="BE130" s="383">
        <f t="shared" si="129"/>
        <v>0</v>
      </c>
      <c r="BF130" s="380">
        <f t="shared" si="130"/>
        <v>0</v>
      </c>
      <c r="BG130" s="383">
        <f t="shared" si="131"/>
        <v>0.72398190045248867</v>
      </c>
      <c r="BH130" s="380">
        <f t="shared" si="132"/>
        <v>160</v>
      </c>
      <c r="BI130" s="490">
        <v>0</v>
      </c>
      <c r="BJ130" s="506">
        <v>0.72</v>
      </c>
      <c r="BK130" s="384">
        <f t="shared" si="145"/>
        <v>159.12</v>
      </c>
      <c r="BL130" s="385">
        <f t="shared" si="146"/>
        <v>3.0500000000000007</v>
      </c>
      <c r="BM130" s="468">
        <v>2</v>
      </c>
      <c r="BN130" s="468" t="s">
        <v>290</v>
      </c>
      <c r="BO130" s="383">
        <f t="shared" si="133"/>
        <v>0.90497737556561086</v>
      </c>
      <c r="BP130" s="380">
        <f t="shared" si="134"/>
        <v>200</v>
      </c>
      <c r="BQ130" s="385">
        <f t="shared" si="135"/>
        <v>0.20999999999999996</v>
      </c>
      <c r="BR130" s="501">
        <v>0.9</v>
      </c>
      <c r="BS130" s="380">
        <f t="shared" si="136"/>
        <v>198.9</v>
      </c>
      <c r="BT130" s="490">
        <v>0</v>
      </c>
      <c r="BU130" s="383">
        <f t="shared" si="137"/>
        <v>0</v>
      </c>
      <c r="BV130" s="385">
        <f t="shared" si="138"/>
        <v>2.21</v>
      </c>
      <c r="BW130" s="494">
        <v>0</v>
      </c>
      <c r="BX130" s="516" t="s">
        <v>854</v>
      </c>
      <c r="BY130" s="518">
        <v>42053</v>
      </c>
      <c r="BZ130" s="804"/>
      <c r="CA130" s="807"/>
      <c r="CB130" s="386">
        <f t="shared" si="139"/>
        <v>42418</v>
      </c>
      <c r="CC130" s="468">
        <v>55</v>
      </c>
      <c r="CD130" s="468">
        <v>4</v>
      </c>
      <c r="CE130" s="387">
        <f t="shared" si="140"/>
        <v>0</v>
      </c>
      <c r="CF130" s="388">
        <f t="shared" si="141"/>
        <v>1</v>
      </c>
      <c r="CG130" s="380">
        <f t="shared" si="142"/>
        <v>221</v>
      </c>
      <c r="CH130" s="403">
        <f t="shared" si="143"/>
        <v>2</v>
      </c>
      <c r="CI130" s="484" t="s">
        <v>896</v>
      </c>
      <c r="CJ130" s="494">
        <v>1</v>
      </c>
      <c r="CK130" s="405">
        <f t="shared" si="147"/>
        <v>221</v>
      </c>
      <c r="CL130" s="484">
        <v>2</v>
      </c>
      <c r="CM130" s="389" t="str">
        <f t="shared" si="144"/>
        <v>Excellent coverage</v>
      </c>
      <c r="CN130" s="490">
        <v>0</v>
      </c>
      <c r="CO130" s="485" t="s">
        <v>65</v>
      </c>
      <c r="CP130" s="525"/>
    </row>
    <row r="131" spans="2:94" s="40" customFormat="1" ht="30.75" customHeight="1" x14ac:dyDescent="0.2">
      <c r="B131" s="465" t="s">
        <v>131</v>
      </c>
      <c r="C131" s="466" t="s">
        <v>505</v>
      </c>
      <c r="D131" s="467" t="s">
        <v>257</v>
      </c>
      <c r="E131" s="466" t="s">
        <v>144</v>
      </c>
      <c r="F131" s="467">
        <v>97.4345</v>
      </c>
      <c r="G131" s="467">
        <v>25.493819999999999</v>
      </c>
      <c r="H131" s="467" t="s">
        <v>448</v>
      </c>
      <c r="I131" s="467" t="s">
        <v>213</v>
      </c>
      <c r="J131" s="467"/>
      <c r="K131" s="467"/>
      <c r="L131" s="468">
        <v>28</v>
      </c>
      <c r="M131" s="468">
        <v>176</v>
      </c>
      <c r="N131" s="468"/>
      <c r="O131" s="468">
        <v>176</v>
      </c>
      <c r="P131" s="376" t="str">
        <f t="shared" si="111"/>
        <v>1. Small</v>
      </c>
      <c r="Q131" s="717" t="s">
        <v>825</v>
      </c>
      <c r="R131" s="469" t="s">
        <v>230</v>
      </c>
      <c r="S131" s="477" t="s">
        <v>230</v>
      </c>
      <c r="T131" s="398" t="str">
        <f t="shared" si="112"/>
        <v>Covered</v>
      </c>
      <c r="U131" s="478">
        <v>42429</v>
      </c>
      <c r="V131" s="469" t="s">
        <v>252</v>
      </c>
      <c r="W131" s="395" t="str">
        <f t="shared" si="113"/>
        <v>Documented</v>
      </c>
      <c r="X131" s="484">
        <v>0</v>
      </c>
      <c r="Y131" s="468">
        <v>0</v>
      </c>
      <c r="Z131" s="801"/>
      <c r="AA131" s="485" t="s">
        <v>19</v>
      </c>
      <c r="AB131" s="484">
        <v>1</v>
      </c>
      <c r="AC131" s="490">
        <v>1</v>
      </c>
      <c r="AD131" s="491">
        <v>3000</v>
      </c>
      <c r="AE131" s="497">
        <v>0</v>
      </c>
      <c r="AF131" s="498">
        <v>1</v>
      </c>
      <c r="AG131" s="797"/>
      <c r="AH131" s="401">
        <f t="shared" si="114"/>
        <v>1</v>
      </c>
      <c r="AI131" s="378">
        <f t="shared" si="115"/>
        <v>176</v>
      </c>
      <c r="AJ131" s="379">
        <f t="shared" si="116"/>
        <v>1</v>
      </c>
      <c r="AK131" s="380">
        <f t="shared" si="117"/>
        <v>176</v>
      </c>
      <c r="AL131" s="377">
        <f t="shared" si="118"/>
        <v>1</v>
      </c>
      <c r="AM131" s="380">
        <f t="shared" si="119"/>
        <v>176</v>
      </c>
      <c r="AN131" s="381" t="str">
        <f t="shared" si="120"/>
        <v>80-100%</v>
      </c>
      <c r="AO131" s="377">
        <f t="shared" si="121"/>
        <v>0</v>
      </c>
      <c r="AP131" s="382">
        <f t="shared" si="122"/>
        <v>0</v>
      </c>
      <c r="AQ131" s="380">
        <f t="shared" si="123"/>
        <v>0</v>
      </c>
      <c r="AR131" s="380">
        <f t="shared" si="124"/>
        <v>28</v>
      </c>
      <c r="AS131" s="380">
        <f t="shared" si="125"/>
        <v>0</v>
      </c>
      <c r="AT131" s="501">
        <v>1</v>
      </c>
      <c r="AU131" s="502">
        <f t="shared" si="126"/>
        <v>176</v>
      </c>
      <c r="AV131" s="491"/>
      <c r="AW131" s="747">
        <v>0</v>
      </c>
      <c r="AX131" s="468">
        <v>0</v>
      </c>
      <c r="AY131" s="468"/>
      <c r="AZ131" s="468">
        <v>10</v>
      </c>
      <c r="BA131" s="468"/>
      <c r="BB131" s="468" t="s">
        <v>289</v>
      </c>
      <c r="BC131" s="383">
        <f t="shared" si="127"/>
        <v>1</v>
      </c>
      <c r="BD131" s="380">
        <f t="shared" si="128"/>
        <v>176</v>
      </c>
      <c r="BE131" s="383">
        <f t="shared" si="129"/>
        <v>0</v>
      </c>
      <c r="BF131" s="380">
        <f t="shared" si="130"/>
        <v>0</v>
      </c>
      <c r="BG131" s="383">
        <f t="shared" si="131"/>
        <v>1</v>
      </c>
      <c r="BH131" s="380">
        <f t="shared" si="132"/>
        <v>176</v>
      </c>
      <c r="BI131" s="490">
        <v>0</v>
      </c>
      <c r="BJ131" s="506">
        <v>1</v>
      </c>
      <c r="BK131" s="384">
        <f t="shared" si="145"/>
        <v>176</v>
      </c>
      <c r="BL131" s="385">
        <f t="shared" si="146"/>
        <v>0</v>
      </c>
      <c r="BM131" s="468">
        <v>2</v>
      </c>
      <c r="BN131" s="468" t="s">
        <v>290</v>
      </c>
      <c r="BO131" s="383">
        <f t="shared" si="133"/>
        <v>1</v>
      </c>
      <c r="BP131" s="380">
        <f t="shared" si="134"/>
        <v>176</v>
      </c>
      <c r="BQ131" s="385">
        <f t="shared" si="135"/>
        <v>0</v>
      </c>
      <c r="BR131" s="501">
        <v>1</v>
      </c>
      <c r="BS131" s="380">
        <f t="shared" si="136"/>
        <v>176</v>
      </c>
      <c r="BT131" s="490">
        <v>3</v>
      </c>
      <c r="BU131" s="383">
        <f t="shared" si="137"/>
        <v>1</v>
      </c>
      <c r="BV131" s="385">
        <f t="shared" si="138"/>
        <v>0</v>
      </c>
      <c r="BW131" s="494">
        <v>1</v>
      </c>
      <c r="BX131" s="516" t="s">
        <v>855</v>
      </c>
      <c r="BY131" s="518">
        <v>41781</v>
      </c>
      <c r="BZ131" s="804"/>
      <c r="CA131" s="807"/>
      <c r="CB131" s="386" t="str">
        <f t="shared" si="139"/>
        <v>To be realised</v>
      </c>
      <c r="CC131" s="468">
        <v>28</v>
      </c>
      <c r="CD131" s="468">
        <v>2</v>
      </c>
      <c r="CE131" s="387">
        <f t="shared" si="140"/>
        <v>28</v>
      </c>
      <c r="CF131" s="388">
        <f t="shared" si="141"/>
        <v>0</v>
      </c>
      <c r="CG131" s="380">
        <f t="shared" si="142"/>
        <v>0</v>
      </c>
      <c r="CH131" s="403">
        <f t="shared" si="143"/>
        <v>14</v>
      </c>
      <c r="CI131" s="484"/>
      <c r="CJ131" s="494">
        <v>0.8</v>
      </c>
      <c r="CK131" s="405">
        <f t="shared" si="147"/>
        <v>140.80000000000001</v>
      </c>
      <c r="CL131" s="484">
        <v>4</v>
      </c>
      <c r="CM131" s="389" t="str">
        <f t="shared" si="144"/>
        <v>Excellent coverage</v>
      </c>
      <c r="CN131" s="490">
        <v>0</v>
      </c>
      <c r="CO131" s="485" t="s">
        <v>292</v>
      </c>
      <c r="CP131" s="525"/>
    </row>
    <row r="132" spans="2:94" s="40" customFormat="1" ht="30.75" customHeight="1" x14ac:dyDescent="0.2">
      <c r="B132" s="465" t="s">
        <v>131</v>
      </c>
      <c r="C132" s="466" t="s">
        <v>487</v>
      </c>
      <c r="D132" s="467" t="s">
        <v>257</v>
      </c>
      <c r="E132" s="466" t="s">
        <v>145</v>
      </c>
      <c r="F132" s="467">
        <v>97.399628000000007</v>
      </c>
      <c r="G132" s="467">
        <v>25.412313000000001</v>
      </c>
      <c r="H132" s="467" t="s">
        <v>448</v>
      </c>
      <c r="I132" s="467" t="s">
        <v>213</v>
      </c>
      <c r="J132" s="467"/>
      <c r="K132" s="467"/>
      <c r="L132" s="468">
        <v>95</v>
      </c>
      <c r="M132" s="468">
        <v>398</v>
      </c>
      <c r="N132" s="468"/>
      <c r="O132" s="468">
        <v>398</v>
      </c>
      <c r="P132" s="376" t="str">
        <f t="shared" si="111"/>
        <v>2. Medium</v>
      </c>
      <c r="Q132" s="717" t="s">
        <v>805</v>
      </c>
      <c r="R132" s="469" t="s">
        <v>234</v>
      </c>
      <c r="S132" s="477" t="s">
        <v>299</v>
      </c>
      <c r="T132" s="398" t="str">
        <f t="shared" si="112"/>
        <v>Not covered</v>
      </c>
      <c r="U132" s="478" t="s">
        <v>626</v>
      </c>
      <c r="V132" s="469" t="s">
        <v>252</v>
      </c>
      <c r="W132" s="395" t="str">
        <f t="shared" si="113"/>
        <v>Documented</v>
      </c>
      <c r="X132" s="484">
        <v>0</v>
      </c>
      <c r="Y132" s="468">
        <v>0</v>
      </c>
      <c r="Z132" s="801"/>
      <c r="AA132" s="485" t="s">
        <v>19</v>
      </c>
      <c r="AB132" s="484">
        <v>2</v>
      </c>
      <c r="AC132" s="490">
        <v>1</v>
      </c>
      <c r="AD132" s="491">
        <v>3000</v>
      </c>
      <c r="AE132" s="497">
        <v>0</v>
      </c>
      <c r="AF132" s="498">
        <v>1</v>
      </c>
      <c r="AG132" s="797"/>
      <c r="AH132" s="401">
        <f t="shared" si="114"/>
        <v>1</v>
      </c>
      <c r="AI132" s="378">
        <f t="shared" si="115"/>
        <v>398</v>
      </c>
      <c r="AJ132" s="379">
        <f t="shared" si="116"/>
        <v>1</v>
      </c>
      <c r="AK132" s="380">
        <f t="shared" si="117"/>
        <v>398</v>
      </c>
      <c r="AL132" s="377">
        <f t="shared" si="118"/>
        <v>1</v>
      </c>
      <c r="AM132" s="380">
        <f t="shared" si="119"/>
        <v>398</v>
      </c>
      <c r="AN132" s="381" t="str">
        <f t="shared" si="120"/>
        <v>80-100%</v>
      </c>
      <c r="AO132" s="377">
        <f t="shared" si="121"/>
        <v>0</v>
      </c>
      <c r="AP132" s="382">
        <f t="shared" si="122"/>
        <v>0</v>
      </c>
      <c r="AQ132" s="380">
        <f t="shared" si="123"/>
        <v>0</v>
      </c>
      <c r="AR132" s="380">
        <f t="shared" si="124"/>
        <v>95</v>
      </c>
      <c r="AS132" s="380">
        <f t="shared" si="125"/>
        <v>0</v>
      </c>
      <c r="AT132" s="501">
        <v>1</v>
      </c>
      <c r="AU132" s="502">
        <f t="shared" si="126"/>
        <v>398</v>
      </c>
      <c r="AV132" s="491"/>
      <c r="AW132" s="747">
        <v>0</v>
      </c>
      <c r="AX132" s="468">
        <v>0</v>
      </c>
      <c r="AY132" s="468"/>
      <c r="AZ132" s="468">
        <v>15</v>
      </c>
      <c r="BA132" s="468"/>
      <c r="BB132" s="468" t="s">
        <v>289</v>
      </c>
      <c r="BC132" s="383">
        <f t="shared" si="127"/>
        <v>0.75376884422110557</v>
      </c>
      <c r="BD132" s="380">
        <f t="shared" si="128"/>
        <v>300</v>
      </c>
      <c r="BE132" s="383">
        <f t="shared" si="129"/>
        <v>0</v>
      </c>
      <c r="BF132" s="380">
        <f t="shared" si="130"/>
        <v>0</v>
      </c>
      <c r="BG132" s="383">
        <f t="shared" si="131"/>
        <v>0.75376884422110557</v>
      </c>
      <c r="BH132" s="380">
        <f t="shared" si="132"/>
        <v>300</v>
      </c>
      <c r="BI132" s="490">
        <v>0</v>
      </c>
      <c r="BJ132" s="506">
        <v>0.75</v>
      </c>
      <c r="BK132" s="384">
        <f t="shared" si="145"/>
        <v>298.5</v>
      </c>
      <c r="BL132" s="385">
        <f t="shared" si="146"/>
        <v>4.8999999999999986</v>
      </c>
      <c r="BM132" s="468">
        <v>2</v>
      </c>
      <c r="BN132" s="468" t="s">
        <v>89</v>
      </c>
      <c r="BO132" s="383">
        <f t="shared" si="133"/>
        <v>0.50251256281407031</v>
      </c>
      <c r="BP132" s="380">
        <f t="shared" si="134"/>
        <v>199.99999999999997</v>
      </c>
      <c r="BQ132" s="385">
        <f t="shared" si="135"/>
        <v>1.98</v>
      </c>
      <c r="BR132" s="501">
        <v>0.5</v>
      </c>
      <c r="BS132" s="380">
        <f t="shared" si="136"/>
        <v>199</v>
      </c>
      <c r="BT132" s="490">
        <v>0</v>
      </c>
      <c r="BU132" s="383">
        <f t="shared" si="137"/>
        <v>0</v>
      </c>
      <c r="BV132" s="385">
        <f t="shared" si="138"/>
        <v>3.98</v>
      </c>
      <c r="BW132" s="494">
        <v>0</v>
      </c>
      <c r="BX132" s="516" t="s">
        <v>856</v>
      </c>
      <c r="BY132" s="518">
        <v>42053</v>
      </c>
      <c r="BZ132" s="804"/>
      <c r="CA132" s="807"/>
      <c r="CB132" s="386">
        <f t="shared" si="139"/>
        <v>42418</v>
      </c>
      <c r="CC132" s="468">
        <v>100</v>
      </c>
      <c r="CD132" s="468">
        <v>4</v>
      </c>
      <c r="CE132" s="387">
        <f t="shared" si="140"/>
        <v>0</v>
      </c>
      <c r="CF132" s="388">
        <f t="shared" si="141"/>
        <v>1</v>
      </c>
      <c r="CG132" s="380">
        <f t="shared" si="142"/>
        <v>398</v>
      </c>
      <c r="CH132" s="403">
        <f t="shared" si="143"/>
        <v>2</v>
      </c>
      <c r="CI132" s="484" t="s">
        <v>896</v>
      </c>
      <c r="CJ132" s="494"/>
      <c r="CK132" s="405">
        <f t="shared" si="147"/>
        <v>0</v>
      </c>
      <c r="CL132" s="484">
        <v>2</v>
      </c>
      <c r="CM132" s="389" t="str">
        <f t="shared" si="144"/>
        <v>Excellent coverage</v>
      </c>
      <c r="CN132" s="490">
        <v>0</v>
      </c>
      <c r="CO132" s="485" t="s">
        <v>65</v>
      </c>
      <c r="CP132" s="525"/>
    </row>
    <row r="133" spans="2:94" s="40" customFormat="1" ht="30.75" customHeight="1" x14ac:dyDescent="0.2">
      <c r="B133" s="465" t="s">
        <v>131</v>
      </c>
      <c r="C133" s="466" t="s">
        <v>488</v>
      </c>
      <c r="D133" s="467" t="s">
        <v>257</v>
      </c>
      <c r="E133" s="466" t="s">
        <v>146</v>
      </c>
      <c r="F133" s="467">
        <v>97.418004999999994</v>
      </c>
      <c r="G133" s="467">
        <v>25.423817</v>
      </c>
      <c r="H133" s="467" t="s">
        <v>448</v>
      </c>
      <c r="I133" s="467" t="s">
        <v>213</v>
      </c>
      <c r="J133" s="467"/>
      <c r="K133" s="467"/>
      <c r="L133" s="468">
        <v>28</v>
      </c>
      <c r="M133" s="468">
        <v>130</v>
      </c>
      <c r="N133" s="468"/>
      <c r="O133" s="468">
        <v>130</v>
      </c>
      <c r="P133" s="376" t="str">
        <f t="shared" ref="P133:P164" si="148">IF(L133&gt;50,IF(L133&gt;250,IF(L133&gt;500,IF(L133&gt;1000,"5. Massive","4. Big"),"3. Large"),"2. Medium"),"1. Small")</f>
        <v>1. Small</v>
      </c>
      <c r="Q133" s="717" t="s">
        <v>804</v>
      </c>
      <c r="R133" s="469" t="s">
        <v>275</v>
      </c>
      <c r="S133" s="477" t="s">
        <v>299</v>
      </c>
      <c r="T133" s="398" t="str">
        <f t="shared" ref="T133:T164" si="149">IF(S133="None","Not covered","Covered")</f>
        <v>Not covered</v>
      </c>
      <c r="U133" s="478" t="s">
        <v>626</v>
      </c>
      <c r="V133" s="469" t="s">
        <v>252</v>
      </c>
      <c r="W133" s="395" t="str">
        <f t="shared" ref="W133:W164" si="150">IF(V133="Not documented","Not documented","Documented")</f>
        <v>Documented</v>
      </c>
      <c r="X133" s="484">
        <v>0</v>
      </c>
      <c r="Y133" s="468">
        <v>0</v>
      </c>
      <c r="Z133" s="801"/>
      <c r="AA133" s="485" t="s">
        <v>19</v>
      </c>
      <c r="AB133" s="484">
        <v>2</v>
      </c>
      <c r="AC133" s="490">
        <v>0</v>
      </c>
      <c r="AD133" s="491">
        <v>0</v>
      </c>
      <c r="AE133" s="497">
        <v>0</v>
      </c>
      <c r="AF133" s="498">
        <v>0</v>
      </c>
      <c r="AG133" s="797"/>
      <c r="AH133" s="401">
        <f t="shared" ref="AH133:AH164" si="151">IF((((X133/15)+((Y133/30)/15)+AB133*400+AC133*500+(AD133/15))/O133)&gt;1,1,(((X133/15)+((Y133/30)/15)+AB133*400+AC133*500+(AD133/15))/O133))</f>
        <v>1</v>
      </c>
      <c r="AI133" s="378">
        <f t="shared" ref="AI133:AI164" si="152">AH133*O133</f>
        <v>130</v>
      </c>
      <c r="AJ133" s="379">
        <f t="shared" ref="AJ133:AJ164" si="153">IF(((AB133*400+AC133*500+(AD133/15))/O133)&gt;1,1,(AB133*400+AC133*500+(AD133/15))/O133)</f>
        <v>1</v>
      </c>
      <c r="AK133" s="380">
        <f t="shared" ref="AK133:AK164" si="154">AJ133*O133</f>
        <v>130</v>
      </c>
      <c r="AL133" s="377">
        <f t="shared" ref="AL133:AL164" si="155">IF(AF133=0,AH133,IF(AF133&lt;AH133,AH133,AF133))</f>
        <v>1</v>
      </c>
      <c r="AM133" s="380">
        <f t="shared" ref="AM133:AM164" si="156">AL133*O133</f>
        <v>130</v>
      </c>
      <c r="AN133" s="381" t="str">
        <f t="shared" ref="AN133:AN164" si="157">IF(AH133&gt;0.15,IF(AH133&gt;0.3,IF(AH133&gt;0.45,IF(AH133&gt;0.6,IF(AH133&gt;0.8,"80-100%","60-80%"),"45-60%"),"30-45%"),"15-30%"),"0-10%")</f>
        <v>80-100%</v>
      </c>
      <c r="AO133" s="377">
        <f t="shared" ref="AO133:AO164" si="158">IF((AH133-AJ133)&lt; 0, 0, AH133-AJ133)</f>
        <v>0</v>
      </c>
      <c r="AP133" s="382">
        <f t="shared" ref="AP133:AP164" si="159">AO133*O133</f>
        <v>0</v>
      </c>
      <c r="AQ133" s="380">
        <f t="shared" ref="AQ133:AQ164" si="160">IF(O133/400-(AB133+AC133)&lt;0,0,O133/400-(AB133+AC133))</f>
        <v>0</v>
      </c>
      <c r="AR133" s="380">
        <f t="shared" ref="AR133:AR164" si="161">AF133*L133</f>
        <v>0</v>
      </c>
      <c r="AS133" s="380">
        <f t="shared" ref="AS133:AS164" si="162">AE133*O133</f>
        <v>0</v>
      </c>
      <c r="AT133" s="501">
        <v>1</v>
      </c>
      <c r="AU133" s="502">
        <f t="shared" ref="AU133:AU164" si="163">AT133*O133</f>
        <v>130</v>
      </c>
      <c r="AV133" s="491"/>
      <c r="AW133" s="747">
        <v>16</v>
      </c>
      <c r="AX133" s="468">
        <v>0</v>
      </c>
      <c r="AY133" s="468"/>
      <c r="AZ133" s="468">
        <v>7</v>
      </c>
      <c r="BA133" s="468"/>
      <c r="BB133" s="468" t="s">
        <v>289</v>
      </c>
      <c r="BC133" s="383">
        <f t="shared" ref="BC133:BC164" si="164">IF((((AX133+AZ133)*20)/O133)&gt;1,1,(((AX133+AZ133)*20)/O133))</f>
        <v>1</v>
      </c>
      <c r="BD133" s="380">
        <f t="shared" ref="BD133:BD164" si="165">BC133*O133</f>
        <v>130</v>
      </c>
      <c r="BE133" s="383">
        <f t="shared" ref="BE133:BE164" si="166">BC133-BG133</f>
        <v>0</v>
      </c>
      <c r="BF133" s="380">
        <f t="shared" ref="BF133:BF164" si="167">BE133*O133</f>
        <v>0</v>
      </c>
      <c r="BG133" s="383">
        <f t="shared" ref="BG133:BG164" si="168">IF(((AZ133*20)/O133)&gt;1,1,((AZ133*20)/O133))</f>
        <v>1</v>
      </c>
      <c r="BH133" s="380">
        <f t="shared" ref="BH133:BH164" si="169">BG133*O133</f>
        <v>130</v>
      </c>
      <c r="BI133" s="490">
        <v>0</v>
      </c>
      <c r="BJ133" s="506">
        <v>1</v>
      </c>
      <c r="BK133" s="384">
        <f t="shared" si="145"/>
        <v>130</v>
      </c>
      <c r="BL133" s="385">
        <f t="shared" si="146"/>
        <v>0</v>
      </c>
      <c r="BM133" s="468">
        <v>2</v>
      </c>
      <c r="BN133" s="468" t="s">
        <v>290</v>
      </c>
      <c r="BO133" s="383">
        <f t="shared" ref="BO133:BO164" si="170">IF((BM133*100/O133)&gt;1,1,(BM133*100/O133))</f>
        <v>1</v>
      </c>
      <c r="BP133" s="380">
        <f t="shared" ref="BP133:BP164" si="171">BO133*O133</f>
        <v>130</v>
      </c>
      <c r="BQ133" s="385">
        <f t="shared" ref="BQ133:BQ164" si="172">IF(M133/100-BM133&lt;0,0,M133/100-BM133)</f>
        <v>0</v>
      </c>
      <c r="BR133" s="501">
        <v>1</v>
      </c>
      <c r="BS133" s="380">
        <f t="shared" ref="BS133:BS164" si="173">BR133*O133</f>
        <v>130</v>
      </c>
      <c r="BT133" s="490">
        <v>3</v>
      </c>
      <c r="BU133" s="383">
        <f t="shared" ref="BU133:BU164" si="174">IF((BT133*100/O133)&gt;1,1,(BT133*100/O133))</f>
        <v>1</v>
      </c>
      <c r="BV133" s="385">
        <f t="shared" ref="BV133:BV164" si="175">IF(M133/100-BT133&lt;0,0,M133/100-BT133)</f>
        <v>0</v>
      </c>
      <c r="BW133" s="494">
        <v>1</v>
      </c>
      <c r="BX133" s="516"/>
      <c r="BY133" s="518">
        <v>42048</v>
      </c>
      <c r="BZ133" s="804"/>
      <c r="CA133" s="807"/>
      <c r="CB133" s="386">
        <f t="shared" ref="CB133:CB164" si="176">IF(BY133="","To be realised",IF(BY133="n/a","n/a",IF(BY133+365&lt;$E$2,"To be realised",BY133+365)))</f>
        <v>42413</v>
      </c>
      <c r="CC133" s="468">
        <v>40</v>
      </c>
      <c r="CD133" s="468">
        <v>5</v>
      </c>
      <c r="CE133" s="387">
        <f t="shared" ref="CE133:CE164" si="177">IF(CB133="n/a",0,IF(CB133="To be realised",L133,IF((L133-CC133)&lt;0,0,(L133-CC133))))</f>
        <v>0</v>
      </c>
      <c r="CF133" s="388">
        <f t="shared" ref="CF133:CF164" si="178">IF(CE133=0,1,(L133-CE133)/L133)</f>
        <v>1</v>
      </c>
      <c r="CG133" s="380">
        <f t="shared" ref="CG133:CG164" si="179">CF133*O133</f>
        <v>130</v>
      </c>
      <c r="CH133" s="403">
        <f t="shared" ref="CH133:CH164" si="180">IF(BY133="","Column BN to be completed", IF(BY133="n/a",0,IF(($E$2-BY133-30)/30-CD133&lt;0,0,ROUND((($E$2-BY133-30)/30-CD133),0))))</f>
        <v>2</v>
      </c>
      <c r="CI133" s="484"/>
      <c r="CJ133" s="494"/>
      <c r="CK133" s="405">
        <f t="shared" si="147"/>
        <v>0</v>
      </c>
      <c r="CL133" s="484">
        <v>2</v>
      </c>
      <c r="CM133" s="389" t="str">
        <f t="shared" ref="CM133:CM164" si="181">IF(CL133=0,"No coverage",IF(O133/CL133&gt;1000,"Low coverage",IF(O133/CL133&gt;750,"Average coverage",IF(O133/CL133&gt;500,"Good coverage","Excellent coverage"))))</f>
        <v>Excellent coverage</v>
      </c>
      <c r="CN133" s="490">
        <v>0</v>
      </c>
      <c r="CO133" s="485" t="s">
        <v>292</v>
      </c>
      <c r="CP133" s="525"/>
    </row>
    <row r="134" spans="2:94" s="40" customFormat="1" ht="30.75" customHeight="1" x14ac:dyDescent="0.2">
      <c r="B134" s="465" t="s">
        <v>131</v>
      </c>
      <c r="C134" s="466" t="s">
        <v>489</v>
      </c>
      <c r="D134" s="467" t="s">
        <v>257</v>
      </c>
      <c r="E134" s="466" t="s">
        <v>147</v>
      </c>
      <c r="F134" s="467">
        <v>97.419403000000003</v>
      </c>
      <c r="G134" s="467">
        <v>25.440928</v>
      </c>
      <c r="H134" s="467" t="s">
        <v>448</v>
      </c>
      <c r="I134" s="467" t="s">
        <v>213</v>
      </c>
      <c r="J134" s="467"/>
      <c r="K134" s="467"/>
      <c r="L134" s="468">
        <v>78</v>
      </c>
      <c r="M134" s="468">
        <v>418</v>
      </c>
      <c r="N134" s="468"/>
      <c r="O134" s="468">
        <v>418</v>
      </c>
      <c r="P134" s="376" t="str">
        <f t="shared" si="148"/>
        <v>2. Medium</v>
      </c>
      <c r="Q134" s="717" t="s">
        <v>805</v>
      </c>
      <c r="R134" s="469" t="s">
        <v>234</v>
      </c>
      <c r="S134" s="477" t="s">
        <v>299</v>
      </c>
      <c r="T134" s="398" t="str">
        <f t="shared" si="149"/>
        <v>Not covered</v>
      </c>
      <c r="U134" s="478" t="s">
        <v>626</v>
      </c>
      <c r="V134" s="469" t="s">
        <v>252</v>
      </c>
      <c r="W134" s="395" t="str">
        <f t="shared" si="150"/>
        <v>Documented</v>
      </c>
      <c r="X134" s="484">
        <v>0</v>
      </c>
      <c r="Y134" s="468">
        <v>0</v>
      </c>
      <c r="Z134" s="801"/>
      <c r="AA134" s="485" t="s">
        <v>19</v>
      </c>
      <c r="AB134" s="484">
        <v>2</v>
      </c>
      <c r="AC134" s="490">
        <v>0</v>
      </c>
      <c r="AD134" s="491">
        <v>2000</v>
      </c>
      <c r="AE134" s="497">
        <v>0</v>
      </c>
      <c r="AF134" s="498">
        <v>1</v>
      </c>
      <c r="AG134" s="797"/>
      <c r="AH134" s="401">
        <f t="shared" si="151"/>
        <v>1</v>
      </c>
      <c r="AI134" s="378">
        <f t="shared" si="152"/>
        <v>418</v>
      </c>
      <c r="AJ134" s="379">
        <f t="shared" si="153"/>
        <v>1</v>
      </c>
      <c r="AK134" s="380">
        <f t="shared" si="154"/>
        <v>418</v>
      </c>
      <c r="AL134" s="377">
        <f t="shared" si="155"/>
        <v>1</v>
      </c>
      <c r="AM134" s="380">
        <f t="shared" si="156"/>
        <v>418</v>
      </c>
      <c r="AN134" s="381" t="str">
        <f t="shared" si="157"/>
        <v>80-100%</v>
      </c>
      <c r="AO134" s="377">
        <f t="shared" si="158"/>
        <v>0</v>
      </c>
      <c r="AP134" s="382">
        <f t="shared" si="159"/>
        <v>0</v>
      </c>
      <c r="AQ134" s="380">
        <f t="shared" si="160"/>
        <v>0</v>
      </c>
      <c r="AR134" s="380">
        <f t="shared" si="161"/>
        <v>78</v>
      </c>
      <c r="AS134" s="380">
        <f t="shared" si="162"/>
        <v>0</v>
      </c>
      <c r="AT134" s="501">
        <v>1</v>
      </c>
      <c r="AU134" s="502">
        <f t="shared" si="163"/>
        <v>418</v>
      </c>
      <c r="AV134" s="491"/>
      <c r="AW134" s="747">
        <v>0</v>
      </c>
      <c r="AX134" s="468">
        <v>0</v>
      </c>
      <c r="AY134" s="468"/>
      <c r="AZ134" s="468">
        <v>16</v>
      </c>
      <c r="BA134" s="468"/>
      <c r="BB134" s="468" t="s">
        <v>289</v>
      </c>
      <c r="BC134" s="383">
        <f t="shared" si="164"/>
        <v>0.76555023923444976</v>
      </c>
      <c r="BD134" s="380">
        <f t="shared" si="165"/>
        <v>320</v>
      </c>
      <c r="BE134" s="383">
        <f t="shared" si="166"/>
        <v>0</v>
      </c>
      <c r="BF134" s="380">
        <f t="shared" si="167"/>
        <v>0</v>
      </c>
      <c r="BG134" s="383">
        <f t="shared" si="168"/>
        <v>0.76555023923444976</v>
      </c>
      <c r="BH134" s="380">
        <f t="shared" si="169"/>
        <v>320</v>
      </c>
      <c r="BI134" s="490">
        <v>0</v>
      </c>
      <c r="BJ134" s="506">
        <v>0.77</v>
      </c>
      <c r="BK134" s="384">
        <f t="shared" ref="BK134:BK165" si="182">BJ134*O134</f>
        <v>321.86</v>
      </c>
      <c r="BL134" s="385">
        <f t="shared" ref="BL134:BL165" si="183">IF((O134/20-AZ134+BI134)&lt;0,0,(O134/20-AZ134+BI134))</f>
        <v>4.8999999999999986</v>
      </c>
      <c r="BM134" s="468">
        <v>2</v>
      </c>
      <c r="BN134" s="468" t="s">
        <v>89</v>
      </c>
      <c r="BO134" s="383">
        <f t="shared" si="170"/>
        <v>0.4784688995215311</v>
      </c>
      <c r="BP134" s="380">
        <f t="shared" si="171"/>
        <v>200</v>
      </c>
      <c r="BQ134" s="385">
        <f t="shared" si="172"/>
        <v>2.1799999999999997</v>
      </c>
      <c r="BR134" s="501">
        <v>0.48</v>
      </c>
      <c r="BS134" s="380">
        <f t="shared" si="173"/>
        <v>200.64</v>
      </c>
      <c r="BT134" s="490">
        <v>0</v>
      </c>
      <c r="BU134" s="383">
        <f t="shared" si="174"/>
        <v>0</v>
      </c>
      <c r="BV134" s="385">
        <f t="shared" si="175"/>
        <v>4.18</v>
      </c>
      <c r="BW134" s="494">
        <v>0</v>
      </c>
      <c r="BX134" s="516" t="s">
        <v>857</v>
      </c>
      <c r="BY134" s="518">
        <v>42053</v>
      </c>
      <c r="BZ134" s="804"/>
      <c r="CA134" s="807"/>
      <c r="CB134" s="386">
        <f t="shared" si="176"/>
        <v>42418</v>
      </c>
      <c r="CC134" s="468">
        <v>83</v>
      </c>
      <c r="CD134" s="468">
        <v>4</v>
      </c>
      <c r="CE134" s="387">
        <f t="shared" si="177"/>
        <v>0</v>
      </c>
      <c r="CF134" s="388">
        <f t="shared" si="178"/>
        <v>1</v>
      </c>
      <c r="CG134" s="380">
        <f t="shared" si="179"/>
        <v>418</v>
      </c>
      <c r="CH134" s="403">
        <f t="shared" si="180"/>
        <v>2</v>
      </c>
      <c r="CI134" s="484" t="s">
        <v>896</v>
      </c>
      <c r="CJ134" s="494"/>
      <c r="CK134" s="405">
        <f t="shared" ref="CK134:CK165" si="184">CJ134*O134</f>
        <v>0</v>
      </c>
      <c r="CL134" s="484">
        <v>2</v>
      </c>
      <c r="CM134" s="389" t="str">
        <f t="shared" si="181"/>
        <v>Excellent coverage</v>
      </c>
      <c r="CN134" s="490">
        <v>0</v>
      </c>
      <c r="CO134" s="485" t="s">
        <v>65</v>
      </c>
      <c r="CP134" s="525"/>
    </row>
    <row r="135" spans="2:94" s="40" customFormat="1" ht="30.75" customHeight="1" x14ac:dyDescent="0.2">
      <c r="B135" s="465" t="s">
        <v>131</v>
      </c>
      <c r="C135" s="466" t="s">
        <v>503</v>
      </c>
      <c r="D135" s="467" t="s">
        <v>257</v>
      </c>
      <c r="E135" s="466" t="s">
        <v>610</v>
      </c>
      <c r="F135" s="467">
        <v>97.387370000000004</v>
      </c>
      <c r="G135" s="467">
        <v>25.42595</v>
      </c>
      <c r="H135" s="467" t="s">
        <v>448</v>
      </c>
      <c r="I135" s="467" t="s">
        <v>213</v>
      </c>
      <c r="J135" s="467"/>
      <c r="K135" s="467"/>
      <c r="L135" s="468">
        <v>51</v>
      </c>
      <c r="M135" s="468">
        <v>242</v>
      </c>
      <c r="N135" s="468"/>
      <c r="O135" s="468">
        <v>242</v>
      </c>
      <c r="P135" s="376" t="str">
        <f t="shared" si="148"/>
        <v>2. Medium</v>
      </c>
      <c r="Q135" s="717" t="s">
        <v>804</v>
      </c>
      <c r="R135" s="469" t="s">
        <v>275</v>
      </c>
      <c r="S135" s="477" t="s">
        <v>275</v>
      </c>
      <c r="T135" s="398" t="str">
        <f t="shared" si="149"/>
        <v>Covered</v>
      </c>
      <c r="U135" s="478">
        <v>42429</v>
      </c>
      <c r="V135" s="469" t="s">
        <v>252</v>
      </c>
      <c r="W135" s="395" t="str">
        <f t="shared" si="150"/>
        <v>Documented</v>
      </c>
      <c r="X135" s="484">
        <v>0</v>
      </c>
      <c r="Y135" s="468">
        <v>0</v>
      </c>
      <c r="Z135" s="801"/>
      <c r="AA135" s="485" t="s">
        <v>19</v>
      </c>
      <c r="AB135" s="484">
        <v>1</v>
      </c>
      <c r="AC135" s="490">
        <v>2</v>
      </c>
      <c r="AD135" s="491">
        <v>0</v>
      </c>
      <c r="AE135" s="497">
        <v>0</v>
      </c>
      <c r="AF135" s="498">
        <v>0</v>
      </c>
      <c r="AG135" s="797"/>
      <c r="AH135" s="401">
        <f t="shared" si="151"/>
        <v>1</v>
      </c>
      <c r="AI135" s="378">
        <f t="shared" si="152"/>
        <v>242</v>
      </c>
      <c r="AJ135" s="379">
        <f t="shared" si="153"/>
        <v>1</v>
      </c>
      <c r="AK135" s="380">
        <f t="shared" si="154"/>
        <v>242</v>
      </c>
      <c r="AL135" s="377">
        <f t="shared" si="155"/>
        <v>1</v>
      </c>
      <c r="AM135" s="380">
        <f t="shared" si="156"/>
        <v>242</v>
      </c>
      <c r="AN135" s="381" t="str">
        <f t="shared" si="157"/>
        <v>80-100%</v>
      </c>
      <c r="AO135" s="377">
        <f t="shared" si="158"/>
        <v>0</v>
      </c>
      <c r="AP135" s="382">
        <f t="shared" si="159"/>
        <v>0</v>
      </c>
      <c r="AQ135" s="380">
        <f t="shared" si="160"/>
        <v>0</v>
      </c>
      <c r="AR135" s="380">
        <f t="shared" si="161"/>
        <v>0</v>
      </c>
      <c r="AS135" s="380">
        <f t="shared" si="162"/>
        <v>0</v>
      </c>
      <c r="AT135" s="501">
        <v>1</v>
      </c>
      <c r="AU135" s="502">
        <f t="shared" si="163"/>
        <v>242</v>
      </c>
      <c r="AV135" s="491"/>
      <c r="AW135" s="747">
        <v>0</v>
      </c>
      <c r="AX135" s="468">
        <v>2</v>
      </c>
      <c r="AY135" s="468"/>
      <c r="AZ135" s="468">
        <v>8</v>
      </c>
      <c r="BA135" s="468"/>
      <c r="BB135" s="468" t="s">
        <v>289</v>
      </c>
      <c r="BC135" s="383">
        <f t="shared" si="164"/>
        <v>0.82644628099173556</v>
      </c>
      <c r="BD135" s="380">
        <f t="shared" si="165"/>
        <v>200</v>
      </c>
      <c r="BE135" s="383">
        <f t="shared" si="166"/>
        <v>0.16528925619834711</v>
      </c>
      <c r="BF135" s="380">
        <f t="shared" si="167"/>
        <v>40</v>
      </c>
      <c r="BG135" s="383">
        <f t="shared" si="168"/>
        <v>0.66115702479338845</v>
      </c>
      <c r="BH135" s="380">
        <f t="shared" si="169"/>
        <v>160</v>
      </c>
      <c r="BI135" s="490">
        <v>0</v>
      </c>
      <c r="BJ135" s="506">
        <v>1</v>
      </c>
      <c r="BK135" s="384">
        <f t="shared" si="182"/>
        <v>242</v>
      </c>
      <c r="BL135" s="385">
        <f t="shared" si="183"/>
        <v>4.0999999999999996</v>
      </c>
      <c r="BM135" s="468">
        <v>2</v>
      </c>
      <c r="BN135" s="468" t="s">
        <v>89</v>
      </c>
      <c r="BO135" s="383">
        <f t="shared" si="170"/>
        <v>0.82644628099173556</v>
      </c>
      <c r="BP135" s="380">
        <f t="shared" si="171"/>
        <v>200</v>
      </c>
      <c r="BQ135" s="385">
        <f t="shared" si="172"/>
        <v>0.41999999999999993</v>
      </c>
      <c r="BR135" s="501">
        <v>1</v>
      </c>
      <c r="BS135" s="380">
        <f t="shared" si="173"/>
        <v>242</v>
      </c>
      <c r="BT135" s="490">
        <v>2</v>
      </c>
      <c r="BU135" s="383">
        <f t="shared" si="174"/>
        <v>0.82644628099173556</v>
      </c>
      <c r="BV135" s="385">
        <f t="shared" si="175"/>
        <v>0.41999999999999993</v>
      </c>
      <c r="BW135" s="494">
        <v>1</v>
      </c>
      <c r="BX135" s="516" t="s">
        <v>858</v>
      </c>
      <c r="BY135" s="518">
        <v>42048</v>
      </c>
      <c r="BZ135" s="804"/>
      <c r="CA135" s="807"/>
      <c r="CB135" s="386">
        <f t="shared" si="176"/>
        <v>42413</v>
      </c>
      <c r="CC135" s="468">
        <v>34</v>
      </c>
      <c r="CD135" s="468">
        <v>5</v>
      </c>
      <c r="CE135" s="387">
        <f t="shared" si="177"/>
        <v>17</v>
      </c>
      <c r="CF135" s="388">
        <f t="shared" si="178"/>
        <v>0.66666666666666663</v>
      </c>
      <c r="CG135" s="380">
        <f t="shared" si="179"/>
        <v>161.33333333333331</v>
      </c>
      <c r="CH135" s="403">
        <f t="shared" si="180"/>
        <v>2</v>
      </c>
      <c r="CI135" s="484"/>
      <c r="CJ135" s="494">
        <v>1</v>
      </c>
      <c r="CK135" s="405">
        <f t="shared" si="184"/>
        <v>242</v>
      </c>
      <c r="CL135" s="484">
        <v>1</v>
      </c>
      <c r="CM135" s="389" t="str">
        <f t="shared" si="181"/>
        <v>Excellent coverage</v>
      </c>
      <c r="CN135" s="490">
        <v>0</v>
      </c>
      <c r="CO135" s="485" t="s">
        <v>292</v>
      </c>
      <c r="CP135" s="525"/>
    </row>
    <row r="136" spans="2:94" s="40" customFormat="1" ht="30.75" customHeight="1" x14ac:dyDescent="0.2">
      <c r="B136" s="465" t="s">
        <v>131</v>
      </c>
      <c r="C136" s="466" t="s">
        <v>482</v>
      </c>
      <c r="D136" s="467" t="s">
        <v>257</v>
      </c>
      <c r="E136" s="466" t="s">
        <v>148</v>
      </c>
      <c r="F136" s="467">
        <v>97.386718999999999</v>
      </c>
      <c r="G136" s="467">
        <v>25.415482000000001</v>
      </c>
      <c r="H136" s="467" t="s">
        <v>448</v>
      </c>
      <c r="I136" s="467" t="s">
        <v>213</v>
      </c>
      <c r="J136" s="467"/>
      <c r="K136" s="467"/>
      <c r="L136" s="468">
        <v>64</v>
      </c>
      <c r="M136" s="468">
        <v>316</v>
      </c>
      <c r="N136" s="468"/>
      <c r="O136" s="468">
        <v>316</v>
      </c>
      <c r="P136" s="376" t="str">
        <f t="shared" si="148"/>
        <v>2. Medium</v>
      </c>
      <c r="Q136" s="717" t="s">
        <v>805</v>
      </c>
      <c r="R136" s="469" t="s">
        <v>234</v>
      </c>
      <c r="S136" s="477" t="s">
        <v>234</v>
      </c>
      <c r="T136" s="398" t="str">
        <f t="shared" si="149"/>
        <v>Covered</v>
      </c>
      <c r="U136" s="478">
        <v>42429</v>
      </c>
      <c r="V136" s="469" t="s">
        <v>252</v>
      </c>
      <c r="W136" s="395" t="str">
        <f t="shared" si="150"/>
        <v>Documented</v>
      </c>
      <c r="X136" s="484">
        <v>0</v>
      </c>
      <c r="Y136" s="468">
        <v>0</v>
      </c>
      <c r="Z136" s="801"/>
      <c r="AA136" s="485" t="s">
        <v>19</v>
      </c>
      <c r="AB136" s="484">
        <v>0</v>
      </c>
      <c r="AC136" s="490">
        <v>3</v>
      </c>
      <c r="AD136" s="491">
        <v>1000</v>
      </c>
      <c r="AE136" s="497">
        <v>0</v>
      </c>
      <c r="AF136" s="498">
        <v>1</v>
      </c>
      <c r="AG136" s="797"/>
      <c r="AH136" s="401">
        <f t="shared" si="151"/>
        <v>1</v>
      </c>
      <c r="AI136" s="378">
        <f t="shared" si="152"/>
        <v>316</v>
      </c>
      <c r="AJ136" s="379">
        <f t="shared" si="153"/>
        <v>1</v>
      </c>
      <c r="AK136" s="380">
        <f t="shared" si="154"/>
        <v>316</v>
      </c>
      <c r="AL136" s="377">
        <f t="shared" si="155"/>
        <v>1</v>
      </c>
      <c r="AM136" s="380">
        <f t="shared" si="156"/>
        <v>316</v>
      </c>
      <c r="AN136" s="381" t="str">
        <f t="shared" si="157"/>
        <v>80-100%</v>
      </c>
      <c r="AO136" s="377">
        <f t="shared" si="158"/>
        <v>0</v>
      </c>
      <c r="AP136" s="382">
        <f t="shared" si="159"/>
        <v>0</v>
      </c>
      <c r="AQ136" s="380">
        <f t="shared" si="160"/>
        <v>0</v>
      </c>
      <c r="AR136" s="380">
        <f t="shared" si="161"/>
        <v>64</v>
      </c>
      <c r="AS136" s="380">
        <f t="shared" si="162"/>
        <v>0</v>
      </c>
      <c r="AT136" s="501">
        <v>1</v>
      </c>
      <c r="AU136" s="502">
        <f t="shared" si="163"/>
        <v>316</v>
      </c>
      <c r="AV136" s="491"/>
      <c r="AW136" s="747">
        <v>0</v>
      </c>
      <c r="AX136" s="468">
        <v>0</v>
      </c>
      <c r="AY136" s="468"/>
      <c r="AZ136" s="468">
        <v>11</v>
      </c>
      <c r="BA136" s="468"/>
      <c r="BB136" s="468" t="s">
        <v>290</v>
      </c>
      <c r="BC136" s="383">
        <f t="shared" si="164"/>
        <v>0.69620253164556967</v>
      </c>
      <c r="BD136" s="380">
        <f t="shared" si="165"/>
        <v>220.00000000000003</v>
      </c>
      <c r="BE136" s="383">
        <f t="shared" si="166"/>
        <v>0</v>
      </c>
      <c r="BF136" s="380">
        <f t="shared" si="167"/>
        <v>0</v>
      </c>
      <c r="BG136" s="383">
        <f t="shared" si="168"/>
        <v>0.69620253164556967</v>
      </c>
      <c r="BH136" s="380">
        <f t="shared" si="169"/>
        <v>220.00000000000003</v>
      </c>
      <c r="BI136" s="490">
        <v>0</v>
      </c>
      <c r="BJ136" s="506">
        <v>0.7</v>
      </c>
      <c r="BK136" s="384">
        <f t="shared" si="182"/>
        <v>221.2</v>
      </c>
      <c r="BL136" s="385">
        <f t="shared" si="183"/>
        <v>4.8000000000000007</v>
      </c>
      <c r="BM136" s="468">
        <v>2</v>
      </c>
      <c r="BN136" s="468" t="s">
        <v>291</v>
      </c>
      <c r="BO136" s="383">
        <f t="shared" si="170"/>
        <v>0.63291139240506333</v>
      </c>
      <c r="BP136" s="380">
        <f t="shared" si="171"/>
        <v>200</v>
      </c>
      <c r="BQ136" s="385">
        <f t="shared" si="172"/>
        <v>1.1600000000000001</v>
      </c>
      <c r="BR136" s="501">
        <v>0.63</v>
      </c>
      <c r="BS136" s="380">
        <f t="shared" si="173"/>
        <v>199.08</v>
      </c>
      <c r="BT136" s="490">
        <v>0</v>
      </c>
      <c r="BU136" s="383">
        <f t="shared" si="174"/>
        <v>0</v>
      </c>
      <c r="BV136" s="385">
        <f t="shared" si="175"/>
        <v>3.16</v>
      </c>
      <c r="BW136" s="494">
        <v>0</v>
      </c>
      <c r="BX136" s="516" t="s">
        <v>859</v>
      </c>
      <c r="BY136" s="518">
        <v>42053</v>
      </c>
      <c r="BZ136" s="804"/>
      <c r="CA136" s="807"/>
      <c r="CB136" s="386">
        <f t="shared" si="176"/>
        <v>42418</v>
      </c>
      <c r="CC136" s="468">
        <v>87</v>
      </c>
      <c r="CD136" s="468">
        <v>4</v>
      </c>
      <c r="CE136" s="387">
        <f t="shared" si="177"/>
        <v>0</v>
      </c>
      <c r="CF136" s="388">
        <f t="shared" si="178"/>
        <v>1</v>
      </c>
      <c r="CG136" s="380">
        <f t="shared" si="179"/>
        <v>316</v>
      </c>
      <c r="CH136" s="403">
        <f t="shared" si="180"/>
        <v>2</v>
      </c>
      <c r="CI136" s="484" t="s">
        <v>896</v>
      </c>
      <c r="CJ136" s="494">
        <v>1</v>
      </c>
      <c r="CK136" s="405">
        <f t="shared" si="184"/>
        <v>316</v>
      </c>
      <c r="CL136" s="484">
        <v>2</v>
      </c>
      <c r="CM136" s="389" t="str">
        <f t="shared" si="181"/>
        <v>Excellent coverage</v>
      </c>
      <c r="CN136" s="490">
        <v>0</v>
      </c>
      <c r="CO136" s="485" t="s">
        <v>65</v>
      </c>
      <c r="CP136" s="525"/>
    </row>
    <row r="137" spans="2:94" s="40" customFormat="1" ht="30.75" customHeight="1" x14ac:dyDescent="0.2">
      <c r="B137" s="465" t="s">
        <v>131</v>
      </c>
      <c r="C137" s="466" t="s">
        <v>503</v>
      </c>
      <c r="D137" s="467" t="s">
        <v>257</v>
      </c>
      <c r="E137" s="466" t="s">
        <v>149</v>
      </c>
      <c r="F137" s="467">
        <v>97.388400000000004</v>
      </c>
      <c r="G137" s="467">
        <v>25.40982</v>
      </c>
      <c r="H137" s="467" t="s">
        <v>448</v>
      </c>
      <c r="I137" s="467" t="s">
        <v>213</v>
      </c>
      <c r="J137" s="467"/>
      <c r="K137" s="467"/>
      <c r="L137" s="468">
        <v>17</v>
      </c>
      <c r="M137" s="468">
        <v>96</v>
      </c>
      <c r="N137" s="468"/>
      <c r="O137" s="468">
        <v>96</v>
      </c>
      <c r="P137" s="376" t="str">
        <f t="shared" si="148"/>
        <v>1. Small</v>
      </c>
      <c r="Q137" s="717" t="s">
        <v>804</v>
      </c>
      <c r="R137" s="469" t="s">
        <v>275</v>
      </c>
      <c r="S137" s="477" t="s">
        <v>299</v>
      </c>
      <c r="T137" s="398" t="str">
        <f t="shared" si="149"/>
        <v>Not covered</v>
      </c>
      <c r="U137" s="478" t="s">
        <v>626</v>
      </c>
      <c r="V137" s="469" t="s">
        <v>252</v>
      </c>
      <c r="W137" s="395" t="str">
        <f t="shared" si="150"/>
        <v>Documented</v>
      </c>
      <c r="X137" s="484">
        <v>0</v>
      </c>
      <c r="Y137" s="468">
        <v>0</v>
      </c>
      <c r="Z137" s="801"/>
      <c r="AA137" s="485" t="s">
        <v>19</v>
      </c>
      <c r="AB137" s="484">
        <v>1</v>
      </c>
      <c r="AC137" s="490">
        <v>1</v>
      </c>
      <c r="AD137" s="491">
        <v>2000</v>
      </c>
      <c r="AE137" s="497">
        <v>0</v>
      </c>
      <c r="AF137" s="498">
        <v>0</v>
      </c>
      <c r="AG137" s="797"/>
      <c r="AH137" s="401">
        <f t="shared" si="151"/>
        <v>1</v>
      </c>
      <c r="AI137" s="378">
        <f t="shared" si="152"/>
        <v>96</v>
      </c>
      <c r="AJ137" s="379">
        <f t="shared" si="153"/>
        <v>1</v>
      </c>
      <c r="AK137" s="380">
        <f t="shared" si="154"/>
        <v>96</v>
      </c>
      <c r="AL137" s="377">
        <f t="shared" si="155"/>
        <v>1</v>
      </c>
      <c r="AM137" s="380">
        <f t="shared" si="156"/>
        <v>96</v>
      </c>
      <c r="AN137" s="381" t="str">
        <f t="shared" si="157"/>
        <v>80-100%</v>
      </c>
      <c r="AO137" s="377">
        <f t="shared" si="158"/>
        <v>0</v>
      </c>
      <c r="AP137" s="382">
        <f t="shared" si="159"/>
        <v>0</v>
      </c>
      <c r="AQ137" s="380">
        <f t="shared" si="160"/>
        <v>0</v>
      </c>
      <c r="AR137" s="380">
        <f t="shared" si="161"/>
        <v>0</v>
      </c>
      <c r="AS137" s="380">
        <f t="shared" si="162"/>
        <v>0</v>
      </c>
      <c r="AT137" s="501">
        <v>1</v>
      </c>
      <c r="AU137" s="502">
        <f t="shared" si="163"/>
        <v>96</v>
      </c>
      <c r="AV137" s="491"/>
      <c r="AW137" s="747">
        <v>0</v>
      </c>
      <c r="AX137" s="468">
        <v>4</v>
      </c>
      <c r="AY137" s="468"/>
      <c r="AZ137" s="468">
        <v>6</v>
      </c>
      <c r="BA137" s="468"/>
      <c r="BB137" s="468" t="s">
        <v>289</v>
      </c>
      <c r="BC137" s="383">
        <f t="shared" si="164"/>
        <v>1</v>
      </c>
      <c r="BD137" s="380">
        <f t="shared" si="165"/>
        <v>96</v>
      </c>
      <c r="BE137" s="383">
        <f t="shared" si="166"/>
        <v>0</v>
      </c>
      <c r="BF137" s="380">
        <f t="shared" si="167"/>
        <v>0</v>
      </c>
      <c r="BG137" s="383">
        <f t="shared" si="168"/>
        <v>1</v>
      </c>
      <c r="BH137" s="380">
        <f t="shared" si="169"/>
        <v>96</v>
      </c>
      <c r="BI137" s="490">
        <v>0</v>
      </c>
      <c r="BJ137" s="506">
        <v>1</v>
      </c>
      <c r="BK137" s="384">
        <f t="shared" si="182"/>
        <v>96</v>
      </c>
      <c r="BL137" s="385">
        <f t="shared" si="183"/>
        <v>0</v>
      </c>
      <c r="BM137" s="468">
        <v>1</v>
      </c>
      <c r="BN137" s="468" t="s">
        <v>290</v>
      </c>
      <c r="BO137" s="383">
        <f t="shared" si="170"/>
        <v>1</v>
      </c>
      <c r="BP137" s="380">
        <f t="shared" si="171"/>
        <v>96</v>
      </c>
      <c r="BQ137" s="385">
        <f t="shared" si="172"/>
        <v>0</v>
      </c>
      <c r="BR137" s="501">
        <v>1</v>
      </c>
      <c r="BS137" s="380">
        <f t="shared" si="173"/>
        <v>96</v>
      </c>
      <c r="BT137" s="490">
        <v>2</v>
      </c>
      <c r="BU137" s="383">
        <f t="shared" si="174"/>
        <v>1</v>
      </c>
      <c r="BV137" s="385">
        <f t="shared" si="175"/>
        <v>0</v>
      </c>
      <c r="BW137" s="494">
        <v>1</v>
      </c>
      <c r="BX137" s="516"/>
      <c r="BY137" s="518">
        <v>42048</v>
      </c>
      <c r="BZ137" s="804"/>
      <c r="CA137" s="807"/>
      <c r="CB137" s="386">
        <f t="shared" si="176"/>
        <v>42413</v>
      </c>
      <c r="CC137" s="468">
        <v>35</v>
      </c>
      <c r="CD137" s="468">
        <v>5</v>
      </c>
      <c r="CE137" s="387">
        <f t="shared" si="177"/>
        <v>0</v>
      </c>
      <c r="CF137" s="388">
        <f t="shared" si="178"/>
        <v>1</v>
      </c>
      <c r="CG137" s="380">
        <f t="shared" si="179"/>
        <v>96</v>
      </c>
      <c r="CH137" s="403">
        <f t="shared" si="180"/>
        <v>2</v>
      </c>
      <c r="CI137" s="484"/>
      <c r="CJ137" s="494"/>
      <c r="CK137" s="405">
        <f t="shared" si="184"/>
        <v>0</v>
      </c>
      <c r="CL137" s="484">
        <v>1</v>
      </c>
      <c r="CM137" s="389" t="str">
        <f t="shared" si="181"/>
        <v>Excellent coverage</v>
      </c>
      <c r="CN137" s="490">
        <v>0</v>
      </c>
      <c r="CO137" s="485" t="s">
        <v>65</v>
      </c>
      <c r="CP137" s="525" t="s">
        <v>907</v>
      </c>
    </row>
    <row r="138" spans="2:94" s="40" customFormat="1" ht="30.75" customHeight="1" x14ac:dyDescent="0.2">
      <c r="B138" s="465" t="s">
        <v>131</v>
      </c>
      <c r="C138" s="466" t="s">
        <v>485</v>
      </c>
      <c r="D138" s="467" t="s">
        <v>257</v>
      </c>
      <c r="E138" s="466" t="s">
        <v>150</v>
      </c>
      <c r="F138" s="467">
        <v>97.379272</v>
      </c>
      <c r="G138" s="467">
        <v>25.401074999999999</v>
      </c>
      <c r="H138" s="467" t="s">
        <v>448</v>
      </c>
      <c r="I138" s="467" t="s">
        <v>213</v>
      </c>
      <c r="J138" s="467"/>
      <c r="K138" s="467"/>
      <c r="L138" s="468">
        <v>12</v>
      </c>
      <c r="M138" s="468">
        <v>57</v>
      </c>
      <c r="N138" s="468"/>
      <c r="O138" s="468">
        <v>57</v>
      </c>
      <c r="P138" s="376" t="str">
        <f t="shared" si="148"/>
        <v>1. Small</v>
      </c>
      <c r="Q138" s="717" t="s">
        <v>804</v>
      </c>
      <c r="R138" s="469" t="s">
        <v>275</v>
      </c>
      <c r="S138" s="477" t="s">
        <v>275</v>
      </c>
      <c r="T138" s="398" t="str">
        <f t="shared" si="149"/>
        <v>Covered</v>
      </c>
      <c r="U138" s="478" t="s">
        <v>626</v>
      </c>
      <c r="V138" s="469" t="s">
        <v>252</v>
      </c>
      <c r="W138" s="395" t="str">
        <f t="shared" si="150"/>
        <v>Documented</v>
      </c>
      <c r="X138" s="484">
        <v>0</v>
      </c>
      <c r="Y138" s="468">
        <v>0</v>
      </c>
      <c r="Z138" s="801"/>
      <c r="AA138" s="485" t="s">
        <v>19</v>
      </c>
      <c r="AB138" s="484">
        <v>0</v>
      </c>
      <c r="AC138" s="490">
        <v>1</v>
      </c>
      <c r="AD138" s="491">
        <v>3600</v>
      </c>
      <c r="AE138" s="497">
        <v>0</v>
      </c>
      <c r="AF138" s="498">
        <v>0</v>
      </c>
      <c r="AG138" s="797"/>
      <c r="AH138" s="401">
        <f t="shared" si="151"/>
        <v>1</v>
      </c>
      <c r="AI138" s="378">
        <f t="shared" si="152"/>
        <v>57</v>
      </c>
      <c r="AJ138" s="379">
        <f t="shared" si="153"/>
        <v>1</v>
      </c>
      <c r="AK138" s="380">
        <f t="shared" si="154"/>
        <v>57</v>
      </c>
      <c r="AL138" s="377">
        <f t="shared" si="155"/>
        <v>1</v>
      </c>
      <c r="AM138" s="380">
        <f t="shared" si="156"/>
        <v>57</v>
      </c>
      <c r="AN138" s="381" t="str">
        <f t="shared" si="157"/>
        <v>80-100%</v>
      </c>
      <c r="AO138" s="377">
        <f t="shared" si="158"/>
        <v>0</v>
      </c>
      <c r="AP138" s="382">
        <f t="shared" si="159"/>
        <v>0</v>
      </c>
      <c r="AQ138" s="380">
        <f t="shared" si="160"/>
        <v>0</v>
      </c>
      <c r="AR138" s="380">
        <f t="shared" si="161"/>
        <v>0</v>
      </c>
      <c r="AS138" s="380">
        <f t="shared" si="162"/>
        <v>0</v>
      </c>
      <c r="AT138" s="501">
        <v>1</v>
      </c>
      <c r="AU138" s="502">
        <f t="shared" si="163"/>
        <v>57</v>
      </c>
      <c r="AV138" s="491"/>
      <c r="AW138" s="747">
        <v>14</v>
      </c>
      <c r="AX138" s="468">
        <v>0</v>
      </c>
      <c r="AY138" s="468"/>
      <c r="AZ138" s="468">
        <v>2</v>
      </c>
      <c r="BA138" s="468"/>
      <c r="BB138" s="468" t="s">
        <v>289</v>
      </c>
      <c r="BC138" s="383">
        <f t="shared" si="164"/>
        <v>0.70175438596491224</v>
      </c>
      <c r="BD138" s="380">
        <f t="shared" si="165"/>
        <v>40</v>
      </c>
      <c r="BE138" s="383">
        <f t="shared" si="166"/>
        <v>0</v>
      </c>
      <c r="BF138" s="380">
        <f t="shared" si="167"/>
        <v>0</v>
      </c>
      <c r="BG138" s="383">
        <f t="shared" si="168"/>
        <v>0.70175438596491224</v>
      </c>
      <c r="BH138" s="380">
        <f t="shared" si="169"/>
        <v>40</v>
      </c>
      <c r="BI138" s="490">
        <v>0</v>
      </c>
      <c r="BJ138" s="506">
        <v>1</v>
      </c>
      <c r="BK138" s="384">
        <f t="shared" si="182"/>
        <v>57</v>
      </c>
      <c r="BL138" s="385">
        <f t="shared" si="183"/>
        <v>0.85000000000000009</v>
      </c>
      <c r="BM138" s="468">
        <v>1</v>
      </c>
      <c r="BN138" s="468" t="s">
        <v>290</v>
      </c>
      <c r="BO138" s="383">
        <f t="shared" si="170"/>
        <v>1</v>
      </c>
      <c r="BP138" s="380">
        <f t="shared" si="171"/>
        <v>57</v>
      </c>
      <c r="BQ138" s="385">
        <f t="shared" si="172"/>
        <v>0</v>
      </c>
      <c r="BR138" s="501">
        <v>1</v>
      </c>
      <c r="BS138" s="380">
        <f t="shared" si="173"/>
        <v>57</v>
      </c>
      <c r="BT138" s="490">
        <v>1</v>
      </c>
      <c r="BU138" s="383">
        <f t="shared" si="174"/>
        <v>1</v>
      </c>
      <c r="BV138" s="385">
        <f t="shared" si="175"/>
        <v>0</v>
      </c>
      <c r="BW138" s="494">
        <v>1</v>
      </c>
      <c r="BX138" s="516" t="s">
        <v>860</v>
      </c>
      <c r="BY138" s="518">
        <v>42048</v>
      </c>
      <c r="BZ138" s="804"/>
      <c r="CA138" s="807"/>
      <c r="CB138" s="386">
        <f t="shared" si="176"/>
        <v>42413</v>
      </c>
      <c r="CC138" s="468">
        <v>7</v>
      </c>
      <c r="CD138" s="468">
        <v>5</v>
      </c>
      <c r="CE138" s="387">
        <f t="shared" si="177"/>
        <v>5</v>
      </c>
      <c r="CF138" s="388">
        <f t="shared" si="178"/>
        <v>0.58333333333333337</v>
      </c>
      <c r="CG138" s="380">
        <f t="shared" si="179"/>
        <v>33.25</v>
      </c>
      <c r="CH138" s="403">
        <f t="shared" si="180"/>
        <v>2</v>
      </c>
      <c r="CI138" s="484"/>
      <c r="CJ138" s="494"/>
      <c r="CK138" s="405">
        <f t="shared" si="184"/>
        <v>0</v>
      </c>
      <c r="CL138" s="484">
        <v>1</v>
      </c>
      <c r="CM138" s="389" t="str">
        <f t="shared" si="181"/>
        <v>Excellent coverage</v>
      </c>
      <c r="CN138" s="490">
        <v>0</v>
      </c>
      <c r="CO138" s="485" t="s">
        <v>292</v>
      </c>
      <c r="CP138" s="525"/>
    </row>
    <row r="139" spans="2:94" s="40" customFormat="1" ht="30.75" customHeight="1" x14ac:dyDescent="0.2">
      <c r="B139" s="465" t="s">
        <v>131</v>
      </c>
      <c r="C139" s="466" t="s">
        <v>484</v>
      </c>
      <c r="D139" s="467" t="s">
        <v>257</v>
      </c>
      <c r="E139" s="466" t="s">
        <v>151</v>
      </c>
      <c r="F139" s="467">
        <v>97.377662999999998</v>
      </c>
      <c r="G139" s="467">
        <v>25.404752999999999</v>
      </c>
      <c r="H139" s="467" t="s">
        <v>448</v>
      </c>
      <c r="I139" s="467" t="s">
        <v>213</v>
      </c>
      <c r="J139" s="467"/>
      <c r="K139" s="467"/>
      <c r="L139" s="468">
        <v>30</v>
      </c>
      <c r="M139" s="468">
        <v>151</v>
      </c>
      <c r="N139" s="468"/>
      <c r="O139" s="468">
        <v>151</v>
      </c>
      <c r="P139" s="376" t="str">
        <f t="shared" si="148"/>
        <v>1. Small</v>
      </c>
      <c r="Q139" s="717" t="s">
        <v>805</v>
      </c>
      <c r="R139" s="469" t="s">
        <v>234</v>
      </c>
      <c r="S139" s="477" t="s">
        <v>234</v>
      </c>
      <c r="T139" s="398" t="str">
        <f t="shared" si="149"/>
        <v>Covered</v>
      </c>
      <c r="U139" s="478">
        <v>42429</v>
      </c>
      <c r="V139" s="469" t="s">
        <v>252</v>
      </c>
      <c r="W139" s="395" t="str">
        <f t="shared" si="150"/>
        <v>Documented</v>
      </c>
      <c r="X139" s="484">
        <v>0</v>
      </c>
      <c r="Y139" s="468">
        <v>0</v>
      </c>
      <c r="Z139" s="801"/>
      <c r="AA139" s="485" t="s">
        <v>19</v>
      </c>
      <c r="AB139" s="484">
        <v>0</v>
      </c>
      <c r="AC139" s="490">
        <v>2</v>
      </c>
      <c r="AD139" s="491">
        <v>2000</v>
      </c>
      <c r="AE139" s="497">
        <v>0</v>
      </c>
      <c r="AF139" s="498">
        <v>1</v>
      </c>
      <c r="AG139" s="797"/>
      <c r="AH139" s="401">
        <f t="shared" si="151"/>
        <v>1</v>
      </c>
      <c r="AI139" s="378">
        <f t="shared" si="152"/>
        <v>151</v>
      </c>
      <c r="AJ139" s="379">
        <f t="shared" si="153"/>
        <v>1</v>
      </c>
      <c r="AK139" s="380">
        <f t="shared" si="154"/>
        <v>151</v>
      </c>
      <c r="AL139" s="377">
        <f t="shared" si="155"/>
        <v>1</v>
      </c>
      <c r="AM139" s="380">
        <f t="shared" si="156"/>
        <v>151</v>
      </c>
      <c r="AN139" s="381" t="str">
        <f t="shared" si="157"/>
        <v>80-100%</v>
      </c>
      <c r="AO139" s="377">
        <f t="shared" si="158"/>
        <v>0</v>
      </c>
      <c r="AP139" s="382">
        <f t="shared" si="159"/>
        <v>0</v>
      </c>
      <c r="AQ139" s="380">
        <f t="shared" si="160"/>
        <v>0</v>
      </c>
      <c r="AR139" s="380">
        <f t="shared" si="161"/>
        <v>30</v>
      </c>
      <c r="AS139" s="380">
        <f t="shared" si="162"/>
        <v>0</v>
      </c>
      <c r="AT139" s="501">
        <v>1</v>
      </c>
      <c r="AU139" s="502">
        <f t="shared" si="163"/>
        <v>151</v>
      </c>
      <c r="AV139" s="491"/>
      <c r="AW139" s="747">
        <v>6</v>
      </c>
      <c r="AX139" s="468">
        <v>0</v>
      </c>
      <c r="AY139" s="468"/>
      <c r="AZ139" s="468">
        <v>7</v>
      </c>
      <c r="BA139" s="468"/>
      <c r="BB139" s="468" t="s">
        <v>290</v>
      </c>
      <c r="BC139" s="383">
        <f t="shared" si="164"/>
        <v>0.92715231788079466</v>
      </c>
      <c r="BD139" s="380">
        <f t="shared" si="165"/>
        <v>140</v>
      </c>
      <c r="BE139" s="383">
        <f t="shared" si="166"/>
        <v>0</v>
      </c>
      <c r="BF139" s="380">
        <f t="shared" si="167"/>
        <v>0</v>
      </c>
      <c r="BG139" s="383">
        <f t="shared" si="168"/>
        <v>0.92715231788079466</v>
      </c>
      <c r="BH139" s="380">
        <f t="shared" si="169"/>
        <v>140</v>
      </c>
      <c r="BI139" s="490">
        <v>0</v>
      </c>
      <c r="BJ139" s="506">
        <v>0.93</v>
      </c>
      <c r="BK139" s="384">
        <f t="shared" si="182"/>
        <v>140.43</v>
      </c>
      <c r="BL139" s="385">
        <f t="shared" si="183"/>
        <v>0.54999999999999982</v>
      </c>
      <c r="BM139" s="468">
        <v>2</v>
      </c>
      <c r="BN139" s="468" t="s">
        <v>89</v>
      </c>
      <c r="BO139" s="383">
        <f t="shared" si="170"/>
        <v>1</v>
      </c>
      <c r="BP139" s="380">
        <f t="shared" si="171"/>
        <v>151</v>
      </c>
      <c r="BQ139" s="385">
        <f t="shared" si="172"/>
        <v>0</v>
      </c>
      <c r="BR139" s="501">
        <v>1</v>
      </c>
      <c r="BS139" s="380">
        <f t="shared" si="173"/>
        <v>151</v>
      </c>
      <c r="BT139" s="490">
        <v>0</v>
      </c>
      <c r="BU139" s="383">
        <f t="shared" si="174"/>
        <v>0</v>
      </c>
      <c r="BV139" s="385">
        <f t="shared" si="175"/>
        <v>1.51</v>
      </c>
      <c r="BW139" s="494">
        <v>0</v>
      </c>
      <c r="BX139" s="516" t="s">
        <v>861</v>
      </c>
      <c r="BY139" s="518">
        <v>42053</v>
      </c>
      <c r="BZ139" s="804"/>
      <c r="CA139" s="807"/>
      <c r="CB139" s="386">
        <f t="shared" si="176"/>
        <v>42418</v>
      </c>
      <c r="CC139" s="468">
        <v>31</v>
      </c>
      <c r="CD139" s="468">
        <v>4</v>
      </c>
      <c r="CE139" s="387">
        <f t="shared" si="177"/>
        <v>0</v>
      </c>
      <c r="CF139" s="388">
        <f t="shared" si="178"/>
        <v>1</v>
      </c>
      <c r="CG139" s="380">
        <f t="shared" si="179"/>
        <v>151</v>
      </c>
      <c r="CH139" s="403">
        <f t="shared" si="180"/>
        <v>2</v>
      </c>
      <c r="CI139" s="484" t="s">
        <v>896</v>
      </c>
      <c r="CJ139" s="494">
        <v>1</v>
      </c>
      <c r="CK139" s="405">
        <f t="shared" si="184"/>
        <v>151</v>
      </c>
      <c r="CL139" s="484">
        <v>2</v>
      </c>
      <c r="CM139" s="389" t="str">
        <f t="shared" si="181"/>
        <v>Excellent coverage</v>
      </c>
      <c r="CN139" s="490">
        <v>0</v>
      </c>
      <c r="CO139" s="485" t="s">
        <v>292</v>
      </c>
      <c r="CP139" s="525"/>
    </row>
    <row r="140" spans="2:94" s="40" customFormat="1" ht="30.75" customHeight="1" x14ac:dyDescent="0.2">
      <c r="B140" s="465" t="s">
        <v>131</v>
      </c>
      <c r="C140" s="466" t="s">
        <v>486</v>
      </c>
      <c r="D140" s="467" t="s">
        <v>257</v>
      </c>
      <c r="E140" s="466" t="s">
        <v>152</v>
      </c>
      <c r="F140" s="467">
        <v>97.382192000000003</v>
      </c>
      <c r="G140" s="467">
        <v>25.404015000000001</v>
      </c>
      <c r="H140" s="467" t="s">
        <v>448</v>
      </c>
      <c r="I140" s="467" t="s">
        <v>213</v>
      </c>
      <c r="J140" s="467"/>
      <c r="K140" s="467"/>
      <c r="L140" s="468">
        <v>34</v>
      </c>
      <c r="M140" s="468">
        <v>178</v>
      </c>
      <c r="N140" s="468"/>
      <c r="O140" s="468">
        <v>178</v>
      </c>
      <c r="P140" s="376" t="str">
        <f t="shared" si="148"/>
        <v>1. Small</v>
      </c>
      <c r="Q140" s="717" t="s">
        <v>805</v>
      </c>
      <c r="R140" s="469" t="s">
        <v>234</v>
      </c>
      <c r="S140" s="477" t="s">
        <v>234</v>
      </c>
      <c r="T140" s="398" t="str">
        <f t="shared" si="149"/>
        <v>Covered</v>
      </c>
      <c r="U140" s="478">
        <v>42369</v>
      </c>
      <c r="V140" s="469" t="s">
        <v>252</v>
      </c>
      <c r="W140" s="395" t="str">
        <f t="shared" si="150"/>
        <v>Documented</v>
      </c>
      <c r="X140" s="484">
        <v>0</v>
      </c>
      <c r="Y140" s="468">
        <v>0</v>
      </c>
      <c r="Z140" s="801"/>
      <c r="AA140" s="485" t="s">
        <v>19</v>
      </c>
      <c r="AB140" s="484">
        <v>0</v>
      </c>
      <c r="AC140" s="490">
        <v>2</v>
      </c>
      <c r="AD140" s="491">
        <v>0</v>
      </c>
      <c r="AE140" s="497">
        <v>0</v>
      </c>
      <c r="AF140" s="498">
        <v>1</v>
      </c>
      <c r="AG140" s="797"/>
      <c r="AH140" s="401">
        <f t="shared" si="151"/>
        <v>1</v>
      </c>
      <c r="AI140" s="378">
        <f t="shared" si="152"/>
        <v>178</v>
      </c>
      <c r="AJ140" s="379">
        <f t="shared" si="153"/>
        <v>1</v>
      </c>
      <c r="AK140" s="380">
        <f t="shared" si="154"/>
        <v>178</v>
      </c>
      <c r="AL140" s="377">
        <f t="shared" si="155"/>
        <v>1</v>
      </c>
      <c r="AM140" s="380">
        <f t="shared" si="156"/>
        <v>178</v>
      </c>
      <c r="AN140" s="381" t="str">
        <f t="shared" si="157"/>
        <v>80-100%</v>
      </c>
      <c r="AO140" s="377">
        <f t="shared" si="158"/>
        <v>0</v>
      </c>
      <c r="AP140" s="382">
        <f t="shared" si="159"/>
        <v>0</v>
      </c>
      <c r="AQ140" s="380">
        <f t="shared" si="160"/>
        <v>0</v>
      </c>
      <c r="AR140" s="380">
        <f t="shared" si="161"/>
        <v>34</v>
      </c>
      <c r="AS140" s="380">
        <f t="shared" si="162"/>
        <v>0</v>
      </c>
      <c r="AT140" s="501">
        <v>1</v>
      </c>
      <c r="AU140" s="502">
        <f t="shared" si="163"/>
        <v>178</v>
      </c>
      <c r="AV140" s="491" t="s">
        <v>809</v>
      </c>
      <c r="AW140" s="747">
        <v>115</v>
      </c>
      <c r="AX140" s="468">
        <v>0</v>
      </c>
      <c r="AY140" s="468"/>
      <c r="AZ140" s="468">
        <v>8</v>
      </c>
      <c r="BA140" s="468"/>
      <c r="BB140" s="468" t="s">
        <v>289</v>
      </c>
      <c r="BC140" s="383">
        <f t="shared" si="164"/>
        <v>0.898876404494382</v>
      </c>
      <c r="BD140" s="380">
        <f t="shared" si="165"/>
        <v>160</v>
      </c>
      <c r="BE140" s="383">
        <f t="shared" si="166"/>
        <v>0</v>
      </c>
      <c r="BF140" s="380">
        <f t="shared" si="167"/>
        <v>0</v>
      </c>
      <c r="BG140" s="383">
        <f t="shared" si="168"/>
        <v>0.898876404494382</v>
      </c>
      <c r="BH140" s="380">
        <f t="shared" si="169"/>
        <v>160</v>
      </c>
      <c r="BI140" s="490">
        <v>0</v>
      </c>
      <c r="BJ140" s="506">
        <v>0.9</v>
      </c>
      <c r="BK140" s="384">
        <f t="shared" si="182"/>
        <v>160.20000000000002</v>
      </c>
      <c r="BL140" s="385">
        <f t="shared" si="183"/>
        <v>0.90000000000000036</v>
      </c>
      <c r="BM140" s="468">
        <v>1</v>
      </c>
      <c r="BN140" s="468" t="s">
        <v>89</v>
      </c>
      <c r="BO140" s="383">
        <f t="shared" si="170"/>
        <v>0.5617977528089888</v>
      </c>
      <c r="BP140" s="380">
        <f t="shared" si="171"/>
        <v>100</v>
      </c>
      <c r="BQ140" s="385">
        <f t="shared" si="172"/>
        <v>0.78</v>
      </c>
      <c r="BR140" s="506">
        <v>0.56000000000000005</v>
      </c>
      <c r="BS140" s="380">
        <f t="shared" si="173"/>
        <v>99.68</v>
      </c>
      <c r="BT140" s="468">
        <v>0</v>
      </c>
      <c r="BU140" s="383">
        <f t="shared" si="174"/>
        <v>0</v>
      </c>
      <c r="BV140" s="385">
        <f t="shared" si="175"/>
        <v>1.78</v>
      </c>
      <c r="BW140" s="494">
        <v>0</v>
      </c>
      <c r="BX140" s="516" t="s">
        <v>862</v>
      </c>
      <c r="BY140" s="518">
        <v>42053</v>
      </c>
      <c r="BZ140" s="804"/>
      <c r="CA140" s="807"/>
      <c r="CB140" s="386">
        <f t="shared" si="176"/>
        <v>42418</v>
      </c>
      <c r="CC140" s="468">
        <v>33</v>
      </c>
      <c r="CD140" s="468">
        <v>4</v>
      </c>
      <c r="CE140" s="387">
        <f t="shared" si="177"/>
        <v>1</v>
      </c>
      <c r="CF140" s="388">
        <f t="shared" si="178"/>
        <v>0.97058823529411764</v>
      </c>
      <c r="CG140" s="380">
        <f t="shared" si="179"/>
        <v>172.76470588235293</v>
      </c>
      <c r="CH140" s="403">
        <f t="shared" si="180"/>
        <v>2</v>
      </c>
      <c r="CI140" s="484" t="s">
        <v>896</v>
      </c>
      <c r="CJ140" s="494">
        <v>1</v>
      </c>
      <c r="CK140" s="405">
        <f t="shared" si="184"/>
        <v>178</v>
      </c>
      <c r="CL140" s="484">
        <v>2</v>
      </c>
      <c r="CM140" s="389" t="str">
        <f t="shared" si="181"/>
        <v>Excellent coverage</v>
      </c>
      <c r="CN140" s="490">
        <v>0</v>
      </c>
      <c r="CO140" s="485" t="s">
        <v>65</v>
      </c>
      <c r="CP140" s="525"/>
    </row>
    <row r="141" spans="2:94" s="40" customFormat="1" ht="30.75" customHeight="1" x14ac:dyDescent="0.2">
      <c r="B141" s="465" t="s">
        <v>131</v>
      </c>
      <c r="C141" s="466" t="s">
        <v>502</v>
      </c>
      <c r="D141" s="467" t="s">
        <v>257</v>
      </c>
      <c r="E141" s="466" t="s">
        <v>153</v>
      </c>
      <c r="F141" s="467">
        <v>97.403407999999999</v>
      </c>
      <c r="G141" s="467">
        <v>25.377545999999999</v>
      </c>
      <c r="H141" s="467" t="s">
        <v>448</v>
      </c>
      <c r="I141" s="467" t="s">
        <v>213</v>
      </c>
      <c r="J141" s="467"/>
      <c r="K141" s="467"/>
      <c r="L141" s="468">
        <v>7</v>
      </c>
      <c r="M141" s="468">
        <v>37</v>
      </c>
      <c r="N141" s="468"/>
      <c r="O141" s="468">
        <v>37</v>
      </c>
      <c r="P141" s="376" t="str">
        <f t="shared" si="148"/>
        <v>1. Small</v>
      </c>
      <c r="Q141" s="717" t="s">
        <v>804</v>
      </c>
      <c r="R141" s="469" t="s">
        <v>275</v>
      </c>
      <c r="S141" s="477" t="s">
        <v>299</v>
      </c>
      <c r="T141" s="398" t="str">
        <f t="shared" si="149"/>
        <v>Not covered</v>
      </c>
      <c r="U141" s="478" t="s">
        <v>626</v>
      </c>
      <c r="V141" s="469" t="s">
        <v>252</v>
      </c>
      <c r="W141" s="395" t="str">
        <f t="shared" si="150"/>
        <v>Documented</v>
      </c>
      <c r="X141" s="484">
        <v>0</v>
      </c>
      <c r="Y141" s="468">
        <v>0</v>
      </c>
      <c r="Z141" s="801"/>
      <c r="AA141" s="485" t="s">
        <v>19</v>
      </c>
      <c r="AB141" s="484">
        <v>0</v>
      </c>
      <c r="AC141" s="490">
        <v>0</v>
      </c>
      <c r="AD141" s="491">
        <v>7200</v>
      </c>
      <c r="AE141" s="497">
        <v>0</v>
      </c>
      <c r="AF141" s="498">
        <v>0</v>
      </c>
      <c r="AG141" s="797"/>
      <c r="AH141" s="401">
        <f t="shared" si="151"/>
        <v>1</v>
      </c>
      <c r="AI141" s="378">
        <f t="shared" si="152"/>
        <v>37</v>
      </c>
      <c r="AJ141" s="379">
        <f t="shared" si="153"/>
        <v>1</v>
      </c>
      <c r="AK141" s="380">
        <f t="shared" si="154"/>
        <v>37</v>
      </c>
      <c r="AL141" s="377">
        <f t="shared" si="155"/>
        <v>1</v>
      </c>
      <c r="AM141" s="380">
        <f t="shared" si="156"/>
        <v>37</v>
      </c>
      <c r="AN141" s="381" t="str">
        <f t="shared" si="157"/>
        <v>80-100%</v>
      </c>
      <c r="AO141" s="377">
        <f t="shared" si="158"/>
        <v>0</v>
      </c>
      <c r="AP141" s="382">
        <f t="shared" si="159"/>
        <v>0</v>
      </c>
      <c r="AQ141" s="380">
        <f t="shared" si="160"/>
        <v>9.2499999999999999E-2</v>
      </c>
      <c r="AR141" s="380">
        <f t="shared" si="161"/>
        <v>0</v>
      </c>
      <c r="AS141" s="380">
        <f t="shared" si="162"/>
        <v>0</v>
      </c>
      <c r="AT141" s="501">
        <v>1</v>
      </c>
      <c r="AU141" s="502">
        <f t="shared" si="163"/>
        <v>37</v>
      </c>
      <c r="AV141" s="491"/>
      <c r="AW141" s="747">
        <v>2</v>
      </c>
      <c r="AX141" s="468">
        <v>0</v>
      </c>
      <c r="AY141" s="468"/>
      <c r="AZ141" s="468">
        <v>5</v>
      </c>
      <c r="BA141" s="468"/>
      <c r="BB141" s="468" t="s">
        <v>289</v>
      </c>
      <c r="BC141" s="383">
        <f t="shared" si="164"/>
        <v>1</v>
      </c>
      <c r="BD141" s="380">
        <f t="shared" si="165"/>
        <v>37</v>
      </c>
      <c r="BE141" s="383">
        <f t="shared" si="166"/>
        <v>0</v>
      </c>
      <c r="BF141" s="380">
        <f t="shared" si="167"/>
        <v>0</v>
      </c>
      <c r="BG141" s="383">
        <f t="shared" si="168"/>
        <v>1</v>
      </c>
      <c r="BH141" s="380">
        <f t="shared" si="169"/>
        <v>37</v>
      </c>
      <c r="BI141" s="490">
        <v>0</v>
      </c>
      <c r="BJ141" s="506">
        <v>1</v>
      </c>
      <c r="BK141" s="384">
        <f t="shared" si="182"/>
        <v>37</v>
      </c>
      <c r="BL141" s="385">
        <f t="shared" si="183"/>
        <v>0</v>
      </c>
      <c r="BM141" s="468">
        <v>1</v>
      </c>
      <c r="BN141" s="468" t="s">
        <v>289</v>
      </c>
      <c r="BO141" s="383">
        <f t="shared" si="170"/>
        <v>1</v>
      </c>
      <c r="BP141" s="380">
        <f t="shared" si="171"/>
        <v>37</v>
      </c>
      <c r="BQ141" s="385">
        <f t="shared" si="172"/>
        <v>0</v>
      </c>
      <c r="BR141" s="506">
        <v>1</v>
      </c>
      <c r="BS141" s="380">
        <f t="shared" si="173"/>
        <v>37</v>
      </c>
      <c r="BT141" s="468">
        <v>2</v>
      </c>
      <c r="BU141" s="383">
        <f t="shared" si="174"/>
        <v>1</v>
      </c>
      <c r="BV141" s="385">
        <f t="shared" si="175"/>
        <v>0</v>
      </c>
      <c r="BW141" s="494">
        <v>1</v>
      </c>
      <c r="BX141" s="516"/>
      <c r="BY141" s="518">
        <v>42048</v>
      </c>
      <c r="BZ141" s="804"/>
      <c r="CA141" s="807"/>
      <c r="CB141" s="386">
        <f t="shared" si="176"/>
        <v>42413</v>
      </c>
      <c r="CC141" s="468">
        <v>6</v>
      </c>
      <c r="CD141" s="468">
        <v>5</v>
      </c>
      <c r="CE141" s="387">
        <f t="shared" si="177"/>
        <v>1</v>
      </c>
      <c r="CF141" s="388">
        <f t="shared" si="178"/>
        <v>0.8571428571428571</v>
      </c>
      <c r="CG141" s="380">
        <f t="shared" si="179"/>
        <v>31.714285714285712</v>
      </c>
      <c r="CH141" s="403">
        <f t="shared" si="180"/>
        <v>2</v>
      </c>
      <c r="CI141" s="484"/>
      <c r="CJ141" s="494"/>
      <c r="CK141" s="405">
        <f t="shared" si="184"/>
        <v>0</v>
      </c>
      <c r="CL141" s="484">
        <v>1</v>
      </c>
      <c r="CM141" s="389" t="str">
        <f t="shared" si="181"/>
        <v>Excellent coverage</v>
      </c>
      <c r="CN141" s="490">
        <v>0</v>
      </c>
      <c r="CO141" s="485" t="s">
        <v>66</v>
      </c>
      <c r="CP141" s="525"/>
    </row>
    <row r="142" spans="2:94" s="40" customFormat="1" ht="30.75" customHeight="1" x14ac:dyDescent="0.2">
      <c r="B142" s="465" t="s">
        <v>466</v>
      </c>
      <c r="C142" s="466" t="s">
        <v>700</v>
      </c>
      <c r="D142" s="467" t="s">
        <v>266</v>
      </c>
      <c r="E142" s="466" t="s">
        <v>467</v>
      </c>
      <c r="F142" s="467">
        <v>97.709548999999996</v>
      </c>
      <c r="G142" s="467">
        <v>23.838459</v>
      </c>
      <c r="H142" s="467" t="s">
        <v>448</v>
      </c>
      <c r="I142" s="467" t="s">
        <v>213</v>
      </c>
      <c r="J142" s="467"/>
      <c r="K142" s="467"/>
      <c r="L142" s="468">
        <v>135</v>
      </c>
      <c r="M142" s="468">
        <v>591</v>
      </c>
      <c r="N142" s="468"/>
      <c r="O142" s="468">
        <v>591</v>
      </c>
      <c r="P142" s="376" t="str">
        <f t="shared" si="148"/>
        <v>2. Medium</v>
      </c>
      <c r="Q142" s="717" t="s">
        <v>808</v>
      </c>
      <c r="R142" s="469" t="s">
        <v>234</v>
      </c>
      <c r="S142" s="477" t="s">
        <v>232</v>
      </c>
      <c r="T142" s="398" t="str">
        <f t="shared" si="149"/>
        <v>Covered</v>
      </c>
      <c r="U142" s="478">
        <v>42460</v>
      </c>
      <c r="V142" s="469" t="s">
        <v>252</v>
      </c>
      <c r="W142" s="395" t="str">
        <f t="shared" si="150"/>
        <v>Documented</v>
      </c>
      <c r="X142" s="484">
        <v>0</v>
      </c>
      <c r="Y142" s="468">
        <v>0</v>
      </c>
      <c r="Z142" s="801"/>
      <c r="AA142" s="485" t="s">
        <v>19</v>
      </c>
      <c r="AB142" s="492">
        <v>0</v>
      </c>
      <c r="AC142" s="468">
        <v>0</v>
      </c>
      <c r="AD142" s="485">
        <v>35000</v>
      </c>
      <c r="AE142" s="497">
        <v>1</v>
      </c>
      <c r="AF142" s="498">
        <v>0</v>
      </c>
      <c r="AG142" s="797"/>
      <c r="AH142" s="401">
        <f t="shared" si="151"/>
        <v>1</v>
      </c>
      <c r="AI142" s="378">
        <f t="shared" si="152"/>
        <v>591</v>
      </c>
      <c r="AJ142" s="379">
        <f t="shared" si="153"/>
        <v>1</v>
      </c>
      <c r="AK142" s="380">
        <f t="shared" si="154"/>
        <v>591</v>
      </c>
      <c r="AL142" s="377">
        <f t="shared" si="155"/>
        <v>1</v>
      </c>
      <c r="AM142" s="380">
        <f t="shared" si="156"/>
        <v>591</v>
      </c>
      <c r="AN142" s="381" t="str">
        <f t="shared" si="157"/>
        <v>80-100%</v>
      </c>
      <c r="AO142" s="377">
        <f t="shared" si="158"/>
        <v>0</v>
      </c>
      <c r="AP142" s="382">
        <f t="shared" si="159"/>
        <v>0</v>
      </c>
      <c r="AQ142" s="380">
        <f t="shared" si="160"/>
        <v>1.4775</v>
      </c>
      <c r="AR142" s="380">
        <f t="shared" si="161"/>
        <v>0</v>
      </c>
      <c r="AS142" s="380">
        <f t="shared" si="162"/>
        <v>591</v>
      </c>
      <c r="AT142" s="506">
        <v>1</v>
      </c>
      <c r="AU142" s="502">
        <f t="shared" si="163"/>
        <v>591</v>
      </c>
      <c r="AV142" s="485"/>
      <c r="AW142" s="747">
        <v>0</v>
      </c>
      <c r="AX142" s="468">
        <v>11</v>
      </c>
      <c r="AY142" s="468"/>
      <c r="AZ142" s="468">
        <v>12</v>
      </c>
      <c r="BA142" s="468"/>
      <c r="BB142" s="468" t="s">
        <v>89</v>
      </c>
      <c r="BC142" s="383">
        <f t="shared" si="164"/>
        <v>0.77834179357021993</v>
      </c>
      <c r="BD142" s="380">
        <f t="shared" si="165"/>
        <v>460</v>
      </c>
      <c r="BE142" s="383">
        <f t="shared" si="166"/>
        <v>0.3722504230118443</v>
      </c>
      <c r="BF142" s="380">
        <f t="shared" si="167"/>
        <v>219.99999999999997</v>
      </c>
      <c r="BG142" s="383">
        <f t="shared" si="168"/>
        <v>0.40609137055837563</v>
      </c>
      <c r="BH142" s="380">
        <f t="shared" si="169"/>
        <v>240</v>
      </c>
      <c r="BI142" s="490">
        <v>7</v>
      </c>
      <c r="BJ142" s="506">
        <v>0.79</v>
      </c>
      <c r="BK142" s="384">
        <f t="shared" si="182"/>
        <v>466.89000000000004</v>
      </c>
      <c r="BL142" s="385">
        <f t="shared" si="183"/>
        <v>24.55</v>
      </c>
      <c r="BM142" s="468">
        <v>6</v>
      </c>
      <c r="BN142" s="468" t="s">
        <v>290</v>
      </c>
      <c r="BO142" s="383">
        <f t="shared" si="170"/>
        <v>1</v>
      </c>
      <c r="BP142" s="380">
        <f t="shared" si="171"/>
        <v>591</v>
      </c>
      <c r="BQ142" s="385">
        <f t="shared" si="172"/>
        <v>0</v>
      </c>
      <c r="BR142" s="501">
        <v>1</v>
      </c>
      <c r="BS142" s="380">
        <f t="shared" si="173"/>
        <v>591</v>
      </c>
      <c r="BT142" s="468">
        <v>5</v>
      </c>
      <c r="BU142" s="383">
        <f t="shared" si="174"/>
        <v>0.84602368866328259</v>
      </c>
      <c r="BV142" s="385">
        <f t="shared" si="175"/>
        <v>0.91000000000000014</v>
      </c>
      <c r="BW142" s="496">
        <v>1</v>
      </c>
      <c r="BX142" s="517" t="s">
        <v>747</v>
      </c>
      <c r="BY142" s="518">
        <v>42125</v>
      </c>
      <c r="BZ142" s="804"/>
      <c r="CA142" s="807"/>
      <c r="CB142" s="386">
        <f t="shared" si="176"/>
        <v>42490</v>
      </c>
      <c r="CC142" s="468">
        <v>141</v>
      </c>
      <c r="CD142" s="468">
        <v>5</v>
      </c>
      <c r="CE142" s="390">
        <f t="shared" si="177"/>
        <v>0</v>
      </c>
      <c r="CF142" s="391">
        <f t="shared" si="178"/>
        <v>1</v>
      </c>
      <c r="CG142" s="384">
        <f t="shared" si="179"/>
        <v>591</v>
      </c>
      <c r="CH142" s="791">
        <f t="shared" si="180"/>
        <v>0</v>
      </c>
      <c r="CI142" s="484" t="s">
        <v>749</v>
      </c>
      <c r="CJ142" s="498">
        <v>0.2</v>
      </c>
      <c r="CK142" s="405">
        <f t="shared" si="184"/>
        <v>118.2</v>
      </c>
      <c r="CL142" s="492">
        <v>7</v>
      </c>
      <c r="CM142" s="389" t="str">
        <f t="shared" si="181"/>
        <v>Excellent coverage</v>
      </c>
      <c r="CN142" s="468">
        <v>0</v>
      </c>
      <c r="CO142" s="485" t="s">
        <v>292</v>
      </c>
      <c r="CP142" s="525"/>
    </row>
    <row r="143" spans="2:94" s="40" customFormat="1" ht="30.75" customHeight="1" x14ac:dyDescent="0.2">
      <c r="B143" s="465" t="s">
        <v>466</v>
      </c>
      <c r="C143" s="466" t="s">
        <v>701</v>
      </c>
      <c r="D143" s="467" t="s">
        <v>266</v>
      </c>
      <c r="E143" s="466" t="s">
        <v>468</v>
      </c>
      <c r="F143" s="467">
        <v>97.701576000000003</v>
      </c>
      <c r="G143" s="467">
        <v>23.842051000000001</v>
      </c>
      <c r="H143" s="467" t="s">
        <v>448</v>
      </c>
      <c r="I143" s="467" t="s">
        <v>213</v>
      </c>
      <c r="J143" s="467"/>
      <c r="K143" s="467"/>
      <c r="L143" s="468">
        <v>38</v>
      </c>
      <c r="M143" s="468">
        <v>205</v>
      </c>
      <c r="N143" s="468"/>
      <c r="O143" s="468">
        <v>205</v>
      </c>
      <c r="P143" s="376" t="str">
        <f t="shared" si="148"/>
        <v>1. Small</v>
      </c>
      <c r="Q143" s="717" t="s">
        <v>808</v>
      </c>
      <c r="R143" s="469" t="s">
        <v>234</v>
      </c>
      <c r="S143" s="477" t="s">
        <v>232</v>
      </c>
      <c r="T143" s="398" t="str">
        <f t="shared" si="149"/>
        <v>Covered</v>
      </c>
      <c r="U143" s="478">
        <v>42369</v>
      </c>
      <c r="V143" s="469" t="s">
        <v>252</v>
      </c>
      <c r="W143" s="395" t="str">
        <f t="shared" si="150"/>
        <v>Documented</v>
      </c>
      <c r="X143" s="484">
        <v>0</v>
      </c>
      <c r="Y143" s="468">
        <v>0</v>
      </c>
      <c r="Z143" s="801"/>
      <c r="AA143" s="485" t="s">
        <v>19</v>
      </c>
      <c r="AB143" s="492">
        <v>0</v>
      </c>
      <c r="AC143" s="468">
        <v>0</v>
      </c>
      <c r="AD143" s="485">
        <v>7000</v>
      </c>
      <c r="AE143" s="497">
        <v>1</v>
      </c>
      <c r="AF143" s="498">
        <v>1</v>
      </c>
      <c r="AG143" s="797"/>
      <c r="AH143" s="401">
        <f t="shared" si="151"/>
        <v>1</v>
      </c>
      <c r="AI143" s="378">
        <f t="shared" si="152"/>
        <v>205</v>
      </c>
      <c r="AJ143" s="379">
        <f t="shared" si="153"/>
        <v>1</v>
      </c>
      <c r="AK143" s="380">
        <f t="shared" si="154"/>
        <v>205</v>
      </c>
      <c r="AL143" s="377">
        <f t="shared" si="155"/>
        <v>1</v>
      </c>
      <c r="AM143" s="380">
        <f t="shared" si="156"/>
        <v>205</v>
      </c>
      <c r="AN143" s="381" t="str">
        <f t="shared" si="157"/>
        <v>80-100%</v>
      </c>
      <c r="AO143" s="377">
        <f t="shared" si="158"/>
        <v>0</v>
      </c>
      <c r="AP143" s="382">
        <f t="shared" si="159"/>
        <v>0</v>
      </c>
      <c r="AQ143" s="380">
        <f t="shared" si="160"/>
        <v>0.51249999999999996</v>
      </c>
      <c r="AR143" s="380">
        <f t="shared" si="161"/>
        <v>38</v>
      </c>
      <c r="AS143" s="380">
        <f t="shared" si="162"/>
        <v>205</v>
      </c>
      <c r="AT143" s="506">
        <v>1</v>
      </c>
      <c r="AU143" s="502">
        <f t="shared" si="163"/>
        <v>205</v>
      </c>
      <c r="AV143" s="485"/>
      <c r="AW143" s="747">
        <v>0</v>
      </c>
      <c r="AX143" s="468">
        <v>6</v>
      </c>
      <c r="AY143" s="468"/>
      <c r="AZ143" s="468">
        <v>0</v>
      </c>
      <c r="BA143" s="468"/>
      <c r="BB143" s="468" t="s">
        <v>290</v>
      </c>
      <c r="BC143" s="383">
        <f t="shared" si="164"/>
        <v>0.58536585365853655</v>
      </c>
      <c r="BD143" s="380">
        <f t="shared" si="165"/>
        <v>119.99999999999999</v>
      </c>
      <c r="BE143" s="383">
        <f t="shared" si="166"/>
        <v>0.58536585365853655</v>
      </c>
      <c r="BF143" s="380">
        <f t="shared" si="167"/>
        <v>119.99999999999999</v>
      </c>
      <c r="BG143" s="383">
        <f t="shared" si="168"/>
        <v>0</v>
      </c>
      <c r="BH143" s="380">
        <f t="shared" si="169"/>
        <v>0</v>
      </c>
      <c r="BI143" s="490">
        <v>2</v>
      </c>
      <c r="BJ143" s="506">
        <v>0.6</v>
      </c>
      <c r="BK143" s="384">
        <f t="shared" si="182"/>
        <v>123</v>
      </c>
      <c r="BL143" s="385">
        <f t="shared" si="183"/>
        <v>12.25</v>
      </c>
      <c r="BM143" s="468">
        <v>3</v>
      </c>
      <c r="BN143" s="468" t="s">
        <v>290</v>
      </c>
      <c r="BO143" s="383">
        <f t="shared" si="170"/>
        <v>1</v>
      </c>
      <c r="BP143" s="380">
        <f t="shared" si="171"/>
        <v>205</v>
      </c>
      <c r="BQ143" s="385">
        <f t="shared" si="172"/>
        <v>0</v>
      </c>
      <c r="BR143" s="501">
        <v>1</v>
      </c>
      <c r="BS143" s="380">
        <f t="shared" si="173"/>
        <v>205</v>
      </c>
      <c r="BT143" s="468">
        <v>4</v>
      </c>
      <c r="BU143" s="383">
        <f t="shared" si="174"/>
        <v>1</v>
      </c>
      <c r="BV143" s="385">
        <f t="shared" si="175"/>
        <v>0</v>
      </c>
      <c r="BW143" s="496">
        <v>1</v>
      </c>
      <c r="BX143" s="517" t="s">
        <v>747</v>
      </c>
      <c r="BY143" s="518">
        <v>42125</v>
      </c>
      <c r="BZ143" s="804"/>
      <c r="CA143" s="807"/>
      <c r="CB143" s="386">
        <f t="shared" si="176"/>
        <v>42490</v>
      </c>
      <c r="CC143" s="468">
        <v>59</v>
      </c>
      <c r="CD143" s="468">
        <v>5</v>
      </c>
      <c r="CE143" s="390">
        <f t="shared" si="177"/>
        <v>0</v>
      </c>
      <c r="CF143" s="391">
        <f t="shared" si="178"/>
        <v>1</v>
      </c>
      <c r="CG143" s="384">
        <f t="shared" si="179"/>
        <v>205</v>
      </c>
      <c r="CH143" s="791">
        <f t="shared" si="180"/>
        <v>0</v>
      </c>
      <c r="CI143" s="484" t="s">
        <v>749</v>
      </c>
      <c r="CJ143" s="498">
        <v>1</v>
      </c>
      <c r="CK143" s="405">
        <f t="shared" si="184"/>
        <v>205</v>
      </c>
      <c r="CL143" s="492">
        <v>3</v>
      </c>
      <c r="CM143" s="389" t="str">
        <f t="shared" si="181"/>
        <v>Excellent coverage</v>
      </c>
      <c r="CN143" s="468">
        <v>0</v>
      </c>
      <c r="CO143" s="485" t="s">
        <v>292</v>
      </c>
      <c r="CP143" s="525"/>
    </row>
    <row r="144" spans="2:94" s="40" customFormat="1" ht="30.75" customHeight="1" x14ac:dyDescent="0.2">
      <c r="B144" s="465" t="s">
        <v>466</v>
      </c>
      <c r="C144" s="466" t="s">
        <v>574</v>
      </c>
      <c r="D144" s="467" t="s">
        <v>266</v>
      </c>
      <c r="E144" s="466" t="s">
        <v>210</v>
      </c>
      <c r="F144" s="467">
        <v>97.681920000000005</v>
      </c>
      <c r="G144" s="467">
        <v>23.821317000000001</v>
      </c>
      <c r="H144" s="467" t="s">
        <v>448</v>
      </c>
      <c r="I144" s="467" t="s">
        <v>213</v>
      </c>
      <c r="J144" s="467"/>
      <c r="K144" s="467"/>
      <c r="L144" s="468">
        <v>78</v>
      </c>
      <c r="M144" s="468">
        <v>378</v>
      </c>
      <c r="N144" s="468"/>
      <c r="O144" s="468">
        <v>378</v>
      </c>
      <c r="P144" s="376" t="str">
        <f t="shared" si="148"/>
        <v>2. Medium</v>
      </c>
      <c r="Q144" s="717" t="s">
        <v>322</v>
      </c>
      <c r="R144" s="469" t="s">
        <v>234</v>
      </c>
      <c r="S144" s="477" t="s">
        <v>410</v>
      </c>
      <c r="T144" s="398" t="str">
        <f t="shared" si="149"/>
        <v>Covered</v>
      </c>
      <c r="U144" s="478">
        <v>42460</v>
      </c>
      <c r="V144" s="469" t="s">
        <v>252</v>
      </c>
      <c r="W144" s="395" t="str">
        <f t="shared" si="150"/>
        <v>Documented</v>
      </c>
      <c r="X144" s="484">
        <v>0</v>
      </c>
      <c r="Y144" s="468">
        <v>0</v>
      </c>
      <c r="Z144" s="801"/>
      <c r="AA144" s="485" t="s">
        <v>19</v>
      </c>
      <c r="AB144" s="492">
        <v>0</v>
      </c>
      <c r="AC144" s="468">
        <v>0</v>
      </c>
      <c r="AD144" s="485">
        <v>24000</v>
      </c>
      <c r="AE144" s="497">
        <v>1</v>
      </c>
      <c r="AF144" s="498">
        <v>0</v>
      </c>
      <c r="AG144" s="797"/>
      <c r="AH144" s="401">
        <f t="shared" si="151"/>
        <v>1</v>
      </c>
      <c r="AI144" s="378">
        <f t="shared" si="152"/>
        <v>378</v>
      </c>
      <c r="AJ144" s="379">
        <f t="shared" si="153"/>
        <v>1</v>
      </c>
      <c r="AK144" s="380">
        <f t="shared" si="154"/>
        <v>378</v>
      </c>
      <c r="AL144" s="377">
        <f t="shared" si="155"/>
        <v>1</v>
      </c>
      <c r="AM144" s="380">
        <f t="shared" si="156"/>
        <v>378</v>
      </c>
      <c r="AN144" s="381" t="str">
        <f t="shared" si="157"/>
        <v>80-100%</v>
      </c>
      <c r="AO144" s="377">
        <f t="shared" si="158"/>
        <v>0</v>
      </c>
      <c r="AP144" s="382">
        <f t="shared" si="159"/>
        <v>0</v>
      </c>
      <c r="AQ144" s="380">
        <f t="shared" si="160"/>
        <v>0.94499999999999995</v>
      </c>
      <c r="AR144" s="380">
        <f t="shared" si="161"/>
        <v>0</v>
      </c>
      <c r="AS144" s="380">
        <f t="shared" si="162"/>
        <v>378</v>
      </c>
      <c r="AT144" s="506">
        <v>1</v>
      </c>
      <c r="AU144" s="502">
        <f t="shared" si="163"/>
        <v>378</v>
      </c>
      <c r="AV144" s="485" t="s">
        <v>840</v>
      </c>
      <c r="AW144" s="747">
        <v>0</v>
      </c>
      <c r="AX144" s="468">
        <v>18</v>
      </c>
      <c r="AY144" s="468"/>
      <c r="AZ144" s="468">
        <v>0</v>
      </c>
      <c r="BA144" s="468"/>
      <c r="BB144" s="468" t="s">
        <v>89</v>
      </c>
      <c r="BC144" s="383">
        <f t="shared" si="164"/>
        <v>0.95238095238095233</v>
      </c>
      <c r="BD144" s="380">
        <f t="shared" si="165"/>
        <v>360</v>
      </c>
      <c r="BE144" s="383">
        <f t="shared" si="166"/>
        <v>0.95238095238095233</v>
      </c>
      <c r="BF144" s="380">
        <f t="shared" si="167"/>
        <v>360</v>
      </c>
      <c r="BG144" s="383">
        <f t="shared" si="168"/>
        <v>0</v>
      </c>
      <c r="BH144" s="380">
        <f t="shared" si="169"/>
        <v>0</v>
      </c>
      <c r="BI144" s="490">
        <v>1</v>
      </c>
      <c r="BJ144" s="506">
        <v>0.95</v>
      </c>
      <c r="BK144" s="384">
        <f t="shared" si="182"/>
        <v>359.09999999999997</v>
      </c>
      <c r="BL144" s="385">
        <f t="shared" si="183"/>
        <v>19.899999999999999</v>
      </c>
      <c r="BM144" s="468">
        <v>2</v>
      </c>
      <c r="BN144" s="468" t="s">
        <v>89</v>
      </c>
      <c r="BO144" s="383">
        <f t="shared" si="170"/>
        <v>0.52910052910052907</v>
      </c>
      <c r="BP144" s="380">
        <f t="shared" si="171"/>
        <v>200</v>
      </c>
      <c r="BQ144" s="385">
        <f t="shared" si="172"/>
        <v>1.7799999999999998</v>
      </c>
      <c r="BR144" s="501">
        <v>0.53</v>
      </c>
      <c r="BS144" s="380">
        <f t="shared" si="173"/>
        <v>200.34</v>
      </c>
      <c r="BT144" s="468">
        <v>3</v>
      </c>
      <c r="BU144" s="383">
        <f t="shared" si="174"/>
        <v>0.79365079365079361</v>
      </c>
      <c r="BV144" s="385">
        <f t="shared" si="175"/>
        <v>0.7799999999999998</v>
      </c>
      <c r="BW144" s="496">
        <v>1</v>
      </c>
      <c r="BX144" s="517" t="s">
        <v>895</v>
      </c>
      <c r="BY144" s="518">
        <v>41983</v>
      </c>
      <c r="BZ144" s="804"/>
      <c r="CA144" s="807"/>
      <c r="CB144" s="386">
        <f t="shared" si="176"/>
        <v>42348</v>
      </c>
      <c r="CC144" s="468">
        <v>77</v>
      </c>
      <c r="CD144" s="468">
        <v>20</v>
      </c>
      <c r="CE144" s="390">
        <f t="shared" si="177"/>
        <v>1</v>
      </c>
      <c r="CF144" s="391">
        <f t="shared" si="178"/>
        <v>0.98717948717948723</v>
      </c>
      <c r="CG144" s="384">
        <f t="shared" si="179"/>
        <v>373.15384615384619</v>
      </c>
      <c r="CH144" s="791">
        <f t="shared" si="180"/>
        <v>0</v>
      </c>
      <c r="CI144" s="484"/>
      <c r="CJ144" s="498">
        <v>0.9</v>
      </c>
      <c r="CK144" s="405">
        <f t="shared" si="184"/>
        <v>340.2</v>
      </c>
      <c r="CL144" s="492"/>
      <c r="CM144" s="389" t="str">
        <f t="shared" si="181"/>
        <v>No coverage</v>
      </c>
      <c r="CN144" s="468">
        <v>0</v>
      </c>
      <c r="CO144" s="485" t="s">
        <v>292</v>
      </c>
      <c r="CP144" s="525"/>
    </row>
    <row r="145" spans="2:94" s="40" customFormat="1" ht="30.75" customHeight="1" x14ac:dyDescent="0.25">
      <c r="B145" s="465" t="s">
        <v>466</v>
      </c>
      <c r="C145" s="466" t="s">
        <v>575</v>
      </c>
      <c r="D145" s="467" t="s">
        <v>266</v>
      </c>
      <c r="E145" s="466" t="s">
        <v>211</v>
      </c>
      <c r="F145" s="467">
        <v>97.683499999999995</v>
      </c>
      <c r="G145" s="467">
        <v>23.831700000000001</v>
      </c>
      <c r="H145" s="467" t="s">
        <v>448</v>
      </c>
      <c r="I145" s="467" t="s">
        <v>213</v>
      </c>
      <c r="J145" s="467"/>
      <c r="K145" s="467"/>
      <c r="L145" s="718">
        <v>68</v>
      </c>
      <c r="M145" s="718">
        <v>291</v>
      </c>
      <c r="N145" s="718"/>
      <c r="O145" s="718">
        <v>291</v>
      </c>
      <c r="P145" s="376" t="str">
        <f t="shared" si="148"/>
        <v>2. Medium</v>
      </c>
      <c r="Q145" s="717" t="s">
        <v>322</v>
      </c>
      <c r="R145" s="472" t="s">
        <v>234</v>
      </c>
      <c r="S145" s="479" t="s">
        <v>410</v>
      </c>
      <c r="T145" s="398" t="str">
        <f t="shared" si="149"/>
        <v>Covered</v>
      </c>
      <c r="U145" s="478">
        <v>42460</v>
      </c>
      <c r="V145" s="469" t="s">
        <v>252</v>
      </c>
      <c r="W145" s="395" t="str">
        <f t="shared" si="150"/>
        <v>Documented</v>
      </c>
      <c r="X145" s="486">
        <v>0</v>
      </c>
      <c r="Y145" s="471">
        <v>0</v>
      </c>
      <c r="Z145" s="800"/>
      <c r="AA145" s="487" t="s">
        <v>19</v>
      </c>
      <c r="AB145" s="486">
        <v>0</v>
      </c>
      <c r="AC145" s="471">
        <v>0</v>
      </c>
      <c r="AD145" s="487">
        <v>30240</v>
      </c>
      <c r="AE145" s="495">
        <v>1</v>
      </c>
      <c r="AF145" s="496">
        <v>0</v>
      </c>
      <c r="AG145" s="796"/>
      <c r="AH145" s="401">
        <f t="shared" si="151"/>
        <v>1</v>
      </c>
      <c r="AI145" s="378">
        <f t="shared" si="152"/>
        <v>291</v>
      </c>
      <c r="AJ145" s="379">
        <f t="shared" si="153"/>
        <v>1</v>
      </c>
      <c r="AK145" s="380">
        <f t="shared" si="154"/>
        <v>291</v>
      </c>
      <c r="AL145" s="377">
        <f t="shared" si="155"/>
        <v>1</v>
      </c>
      <c r="AM145" s="380">
        <f t="shared" si="156"/>
        <v>291</v>
      </c>
      <c r="AN145" s="381" t="str">
        <f t="shared" si="157"/>
        <v>80-100%</v>
      </c>
      <c r="AO145" s="377">
        <f t="shared" si="158"/>
        <v>0</v>
      </c>
      <c r="AP145" s="382">
        <f t="shared" si="159"/>
        <v>0</v>
      </c>
      <c r="AQ145" s="380">
        <f t="shared" si="160"/>
        <v>0.72750000000000004</v>
      </c>
      <c r="AR145" s="380">
        <f t="shared" si="161"/>
        <v>0</v>
      </c>
      <c r="AS145" s="380">
        <f t="shared" si="162"/>
        <v>291</v>
      </c>
      <c r="AT145" s="504">
        <v>1</v>
      </c>
      <c r="AU145" s="502">
        <f t="shared" si="163"/>
        <v>291</v>
      </c>
      <c r="AV145" s="485"/>
      <c r="AW145" s="748">
        <v>8</v>
      </c>
      <c r="AX145" s="471">
        <v>0</v>
      </c>
      <c r="AY145" s="471"/>
      <c r="AZ145" s="471">
        <v>10</v>
      </c>
      <c r="BA145" s="471"/>
      <c r="BB145" s="471" t="s">
        <v>290</v>
      </c>
      <c r="BC145" s="383">
        <f t="shared" si="164"/>
        <v>0.6872852233676976</v>
      </c>
      <c r="BD145" s="380">
        <f t="shared" si="165"/>
        <v>200</v>
      </c>
      <c r="BE145" s="383">
        <f t="shared" si="166"/>
        <v>0</v>
      </c>
      <c r="BF145" s="380">
        <f t="shared" si="167"/>
        <v>0</v>
      </c>
      <c r="BG145" s="383">
        <f t="shared" si="168"/>
        <v>0.6872852233676976</v>
      </c>
      <c r="BH145" s="380">
        <f t="shared" si="169"/>
        <v>200</v>
      </c>
      <c r="BI145" s="512">
        <v>3</v>
      </c>
      <c r="BJ145" s="504">
        <v>0.69</v>
      </c>
      <c r="BK145" s="384">
        <f t="shared" si="182"/>
        <v>200.79</v>
      </c>
      <c r="BL145" s="385">
        <f t="shared" si="183"/>
        <v>7.5500000000000007</v>
      </c>
      <c r="BM145" s="513">
        <v>2</v>
      </c>
      <c r="BN145" s="513" t="s">
        <v>290</v>
      </c>
      <c r="BO145" s="383">
        <f t="shared" si="170"/>
        <v>0.6872852233676976</v>
      </c>
      <c r="BP145" s="380">
        <f t="shared" si="171"/>
        <v>200</v>
      </c>
      <c r="BQ145" s="385">
        <f t="shared" si="172"/>
        <v>0.91000000000000014</v>
      </c>
      <c r="BR145" s="514">
        <v>1</v>
      </c>
      <c r="BS145" s="380">
        <f t="shared" si="173"/>
        <v>291</v>
      </c>
      <c r="BT145" s="513">
        <v>4</v>
      </c>
      <c r="BU145" s="383">
        <f t="shared" si="174"/>
        <v>1</v>
      </c>
      <c r="BV145" s="385">
        <f t="shared" si="175"/>
        <v>0</v>
      </c>
      <c r="BW145" s="511">
        <v>1</v>
      </c>
      <c r="BX145" s="517"/>
      <c r="BY145" s="518">
        <v>41983</v>
      </c>
      <c r="BZ145" s="804"/>
      <c r="CA145" s="807"/>
      <c r="CB145" s="386">
        <f t="shared" si="176"/>
        <v>42348</v>
      </c>
      <c r="CC145" s="509">
        <v>73</v>
      </c>
      <c r="CD145" s="509">
        <v>20</v>
      </c>
      <c r="CE145" s="390">
        <f t="shared" si="177"/>
        <v>0</v>
      </c>
      <c r="CF145" s="391">
        <f t="shared" si="178"/>
        <v>1</v>
      </c>
      <c r="CG145" s="384">
        <f t="shared" si="179"/>
        <v>291</v>
      </c>
      <c r="CH145" s="791">
        <f t="shared" si="180"/>
        <v>0</v>
      </c>
      <c r="CI145" s="520"/>
      <c r="CJ145" s="496">
        <v>0.5</v>
      </c>
      <c r="CK145" s="405">
        <f t="shared" si="184"/>
        <v>145.5</v>
      </c>
      <c r="CL145" s="521">
        <v>2</v>
      </c>
      <c r="CM145" s="389" t="str">
        <f t="shared" si="181"/>
        <v>Excellent coverage</v>
      </c>
      <c r="CN145" s="468">
        <v>0</v>
      </c>
      <c r="CO145" s="529" t="s">
        <v>292</v>
      </c>
      <c r="CP145" s="527"/>
    </row>
    <row r="146" spans="2:94" s="40" customFormat="1" ht="30.75" customHeight="1" x14ac:dyDescent="0.2">
      <c r="B146" s="465" t="s">
        <v>466</v>
      </c>
      <c r="C146" s="466" t="s">
        <v>576</v>
      </c>
      <c r="D146" s="467" t="s">
        <v>266</v>
      </c>
      <c r="E146" s="466" t="s">
        <v>212</v>
      </c>
      <c r="F146" s="467">
        <v>97.685199999999995</v>
      </c>
      <c r="G146" s="467">
        <v>23.833100000000002</v>
      </c>
      <c r="H146" s="467" t="s">
        <v>448</v>
      </c>
      <c r="I146" s="467" t="s">
        <v>213</v>
      </c>
      <c r="J146" s="467"/>
      <c r="K146" s="467"/>
      <c r="L146" s="468">
        <v>47</v>
      </c>
      <c r="M146" s="468">
        <v>217</v>
      </c>
      <c r="N146" s="468"/>
      <c r="O146" s="468">
        <v>217</v>
      </c>
      <c r="P146" s="376" t="str">
        <f t="shared" si="148"/>
        <v>1. Small</v>
      </c>
      <c r="Q146" s="717" t="s">
        <v>806</v>
      </c>
      <c r="R146" s="469" t="s">
        <v>230</v>
      </c>
      <c r="S146" s="477" t="s">
        <v>230</v>
      </c>
      <c r="T146" s="398" t="str">
        <f t="shared" si="149"/>
        <v>Covered</v>
      </c>
      <c r="U146" s="478">
        <v>42460</v>
      </c>
      <c r="V146" s="469" t="s">
        <v>252</v>
      </c>
      <c r="W146" s="395" t="str">
        <f t="shared" si="150"/>
        <v>Documented</v>
      </c>
      <c r="X146" s="484">
        <v>0</v>
      </c>
      <c r="Y146" s="468">
        <v>0</v>
      </c>
      <c r="Z146" s="801"/>
      <c r="AA146" s="485" t="s">
        <v>19</v>
      </c>
      <c r="AB146" s="492">
        <v>1</v>
      </c>
      <c r="AC146" s="468">
        <v>0</v>
      </c>
      <c r="AD146" s="485">
        <v>35500</v>
      </c>
      <c r="AE146" s="497">
        <v>1</v>
      </c>
      <c r="AF146" s="498">
        <v>0</v>
      </c>
      <c r="AG146" s="797"/>
      <c r="AH146" s="401">
        <f t="shared" si="151"/>
        <v>1</v>
      </c>
      <c r="AI146" s="378">
        <f t="shared" si="152"/>
        <v>217</v>
      </c>
      <c r="AJ146" s="379">
        <f t="shared" si="153"/>
        <v>1</v>
      </c>
      <c r="AK146" s="380">
        <f t="shared" si="154"/>
        <v>217</v>
      </c>
      <c r="AL146" s="377">
        <f t="shared" si="155"/>
        <v>1</v>
      </c>
      <c r="AM146" s="380">
        <f t="shared" si="156"/>
        <v>217</v>
      </c>
      <c r="AN146" s="381" t="str">
        <f t="shared" si="157"/>
        <v>80-100%</v>
      </c>
      <c r="AO146" s="377">
        <f t="shared" si="158"/>
        <v>0</v>
      </c>
      <c r="AP146" s="382">
        <f t="shared" si="159"/>
        <v>0</v>
      </c>
      <c r="AQ146" s="380">
        <f t="shared" si="160"/>
        <v>0</v>
      </c>
      <c r="AR146" s="380">
        <f t="shared" si="161"/>
        <v>0</v>
      </c>
      <c r="AS146" s="380">
        <f t="shared" si="162"/>
        <v>217</v>
      </c>
      <c r="AT146" s="506">
        <v>1</v>
      </c>
      <c r="AU146" s="502">
        <f t="shared" si="163"/>
        <v>217</v>
      </c>
      <c r="AV146" s="485"/>
      <c r="AW146" s="747">
        <v>2</v>
      </c>
      <c r="AX146" s="468">
        <v>0</v>
      </c>
      <c r="AY146" s="468"/>
      <c r="AZ146" s="468">
        <v>10</v>
      </c>
      <c r="BA146" s="468"/>
      <c r="BB146" s="468" t="s">
        <v>290</v>
      </c>
      <c r="BC146" s="383">
        <f t="shared" si="164"/>
        <v>0.92165898617511521</v>
      </c>
      <c r="BD146" s="380">
        <f t="shared" si="165"/>
        <v>200</v>
      </c>
      <c r="BE146" s="383">
        <f t="shared" si="166"/>
        <v>0</v>
      </c>
      <c r="BF146" s="380">
        <f t="shared" si="167"/>
        <v>0</v>
      </c>
      <c r="BG146" s="383">
        <f t="shared" si="168"/>
        <v>0.92165898617511521</v>
      </c>
      <c r="BH146" s="380">
        <f t="shared" si="169"/>
        <v>200</v>
      </c>
      <c r="BI146" s="490">
        <v>3</v>
      </c>
      <c r="BJ146" s="506">
        <v>1</v>
      </c>
      <c r="BK146" s="384">
        <f t="shared" si="182"/>
        <v>217</v>
      </c>
      <c r="BL146" s="385">
        <f t="shared" si="183"/>
        <v>3.8499999999999996</v>
      </c>
      <c r="BM146" s="468">
        <v>2</v>
      </c>
      <c r="BN146" s="468" t="s">
        <v>290</v>
      </c>
      <c r="BO146" s="383">
        <f t="shared" si="170"/>
        <v>0.92165898617511521</v>
      </c>
      <c r="BP146" s="380">
        <f t="shared" si="171"/>
        <v>200</v>
      </c>
      <c r="BQ146" s="385">
        <f t="shared" si="172"/>
        <v>0.16999999999999993</v>
      </c>
      <c r="BR146" s="501">
        <v>0.92</v>
      </c>
      <c r="BS146" s="380">
        <f t="shared" si="173"/>
        <v>199.64000000000001</v>
      </c>
      <c r="BT146" s="468">
        <v>0</v>
      </c>
      <c r="BU146" s="383">
        <f t="shared" si="174"/>
        <v>0</v>
      </c>
      <c r="BV146" s="385">
        <f t="shared" si="175"/>
        <v>2.17</v>
      </c>
      <c r="BW146" s="494">
        <v>1</v>
      </c>
      <c r="BX146" s="516" t="s">
        <v>748</v>
      </c>
      <c r="BY146" s="518">
        <v>41983</v>
      </c>
      <c r="BZ146" s="804"/>
      <c r="CA146" s="807"/>
      <c r="CB146" s="386">
        <f t="shared" si="176"/>
        <v>42348</v>
      </c>
      <c r="CC146" s="468">
        <v>53</v>
      </c>
      <c r="CD146" s="468">
        <v>17</v>
      </c>
      <c r="CE146" s="390">
        <f t="shared" si="177"/>
        <v>0</v>
      </c>
      <c r="CF146" s="391">
        <f t="shared" si="178"/>
        <v>1</v>
      </c>
      <c r="CG146" s="384">
        <f t="shared" si="179"/>
        <v>217</v>
      </c>
      <c r="CH146" s="791">
        <f t="shared" si="180"/>
        <v>0</v>
      </c>
      <c r="CI146" s="484" t="s">
        <v>905</v>
      </c>
      <c r="CJ146" s="498">
        <v>0.5</v>
      </c>
      <c r="CK146" s="405">
        <f t="shared" si="184"/>
        <v>108.5</v>
      </c>
      <c r="CL146" s="492">
        <v>3</v>
      </c>
      <c r="CM146" s="389" t="str">
        <f t="shared" si="181"/>
        <v>Excellent coverage</v>
      </c>
      <c r="CN146" s="468">
        <v>0</v>
      </c>
      <c r="CO146" s="485" t="s">
        <v>66</v>
      </c>
      <c r="CP146" s="525"/>
    </row>
    <row r="147" spans="2:94" s="40" customFormat="1" ht="30.75" customHeight="1" x14ac:dyDescent="0.2">
      <c r="B147" s="465" t="s">
        <v>227</v>
      </c>
      <c r="C147" s="466" t="s">
        <v>544</v>
      </c>
      <c r="D147" s="467" t="s">
        <v>268</v>
      </c>
      <c r="E147" s="466" t="s">
        <v>457</v>
      </c>
      <c r="F147" s="467">
        <v>97.406869999999998</v>
      </c>
      <c r="G147" s="467">
        <v>23.092880000000001</v>
      </c>
      <c r="H147" s="467" t="s">
        <v>448</v>
      </c>
      <c r="I147" s="467" t="s">
        <v>213</v>
      </c>
      <c r="J147" s="467"/>
      <c r="K147" s="467"/>
      <c r="L147" s="468">
        <v>10</v>
      </c>
      <c r="M147" s="468">
        <v>40</v>
      </c>
      <c r="N147" s="468"/>
      <c r="O147" s="468">
        <v>40</v>
      </c>
      <c r="P147" s="376" t="str">
        <f t="shared" si="148"/>
        <v>1. Small</v>
      </c>
      <c r="Q147" s="717" t="s">
        <v>808</v>
      </c>
      <c r="R147" s="469" t="s">
        <v>234</v>
      </c>
      <c r="S147" s="477" t="s">
        <v>232</v>
      </c>
      <c r="T147" s="398" t="str">
        <f t="shared" si="149"/>
        <v>Covered</v>
      </c>
      <c r="U147" s="478" t="s">
        <v>626</v>
      </c>
      <c r="V147" s="469" t="s">
        <v>252</v>
      </c>
      <c r="W147" s="395" t="str">
        <f t="shared" si="150"/>
        <v>Documented</v>
      </c>
      <c r="X147" s="484">
        <v>0</v>
      </c>
      <c r="Y147" s="468">
        <v>0</v>
      </c>
      <c r="Z147" s="801"/>
      <c r="AA147" s="485" t="s">
        <v>19</v>
      </c>
      <c r="AB147" s="492">
        <v>0</v>
      </c>
      <c r="AC147" s="468">
        <v>0</v>
      </c>
      <c r="AD147" s="485">
        <v>2000</v>
      </c>
      <c r="AE147" s="497">
        <v>1</v>
      </c>
      <c r="AF147" s="498">
        <v>0</v>
      </c>
      <c r="AG147" s="797"/>
      <c r="AH147" s="401">
        <f t="shared" si="151"/>
        <v>1</v>
      </c>
      <c r="AI147" s="378">
        <f t="shared" si="152"/>
        <v>40</v>
      </c>
      <c r="AJ147" s="379">
        <f t="shared" si="153"/>
        <v>1</v>
      </c>
      <c r="AK147" s="380">
        <f t="shared" si="154"/>
        <v>40</v>
      </c>
      <c r="AL147" s="377">
        <f t="shared" si="155"/>
        <v>1</v>
      </c>
      <c r="AM147" s="380">
        <f t="shared" si="156"/>
        <v>40</v>
      </c>
      <c r="AN147" s="381" t="str">
        <f t="shared" si="157"/>
        <v>80-100%</v>
      </c>
      <c r="AO147" s="377">
        <f t="shared" si="158"/>
        <v>0</v>
      </c>
      <c r="AP147" s="382">
        <f t="shared" si="159"/>
        <v>0</v>
      </c>
      <c r="AQ147" s="380">
        <f t="shared" si="160"/>
        <v>0.1</v>
      </c>
      <c r="AR147" s="380">
        <f t="shared" si="161"/>
        <v>0</v>
      </c>
      <c r="AS147" s="380">
        <f t="shared" si="162"/>
        <v>40</v>
      </c>
      <c r="AT147" s="506">
        <v>1</v>
      </c>
      <c r="AU147" s="502">
        <f t="shared" si="163"/>
        <v>40</v>
      </c>
      <c r="AV147" s="485"/>
      <c r="AW147" s="747">
        <v>16</v>
      </c>
      <c r="AX147" s="468">
        <v>2</v>
      </c>
      <c r="AY147" s="468"/>
      <c r="AZ147" s="468">
        <v>2</v>
      </c>
      <c r="BA147" s="468"/>
      <c r="BB147" s="468" t="s">
        <v>290</v>
      </c>
      <c r="BC147" s="383">
        <f t="shared" si="164"/>
        <v>1</v>
      </c>
      <c r="BD147" s="380">
        <f t="shared" si="165"/>
        <v>40</v>
      </c>
      <c r="BE147" s="383">
        <f t="shared" si="166"/>
        <v>0</v>
      </c>
      <c r="BF147" s="380">
        <f t="shared" si="167"/>
        <v>0</v>
      </c>
      <c r="BG147" s="383">
        <f t="shared" si="168"/>
        <v>1</v>
      </c>
      <c r="BH147" s="380">
        <f t="shared" si="169"/>
        <v>40</v>
      </c>
      <c r="BI147" s="490">
        <v>2</v>
      </c>
      <c r="BJ147" s="506">
        <v>1</v>
      </c>
      <c r="BK147" s="384">
        <f t="shared" si="182"/>
        <v>40</v>
      </c>
      <c r="BL147" s="385">
        <f t="shared" si="183"/>
        <v>2</v>
      </c>
      <c r="BM147" s="468">
        <v>2</v>
      </c>
      <c r="BN147" s="468" t="s">
        <v>89</v>
      </c>
      <c r="BO147" s="383">
        <f t="shared" si="170"/>
        <v>1</v>
      </c>
      <c r="BP147" s="380">
        <f t="shared" si="171"/>
        <v>40</v>
      </c>
      <c r="BQ147" s="385">
        <f t="shared" si="172"/>
        <v>0</v>
      </c>
      <c r="BR147" s="501">
        <v>1</v>
      </c>
      <c r="BS147" s="380">
        <f t="shared" si="173"/>
        <v>40</v>
      </c>
      <c r="BT147" s="468">
        <v>2</v>
      </c>
      <c r="BU147" s="383">
        <f t="shared" si="174"/>
        <v>1</v>
      </c>
      <c r="BV147" s="385">
        <f t="shared" si="175"/>
        <v>0</v>
      </c>
      <c r="BW147" s="494">
        <v>1</v>
      </c>
      <c r="BX147" s="516"/>
      <c r="BY147" s="518">
        <v>42125</v>
      </c>
      <c r="BZ147" s="804"/>
      <c r="CA147" s="807"/>
      <c r="CB147" s="386">
        <f t="shared" si="176"/>
        <v>42490</v>
      </c>
      <c r="CC147" s="468">
        <v>14</v>
      </c>
      <c r="CD147" s="468">
        <v>5</v>
      </c>
      <c r="CE147" s="390">
        <f t="shared" si="177"/>
        <v>0</v>
      </c>
      <c r="CF147" s="391">
        <f t="shared" si="178"/>
        <v>1</v>
      </c>
      <c r="CG147" s="384">
        <f t="shared" si="179"/>
        <v>40</v>
      </c>
      <c r="CH147" s="791">
        <f t="shared" si="180"/>
        <v>0</v>
      </c>
      <c r="CI147" s="484"/>
      <c r="CJ147" s="498"/>
      <c r="CK147" s="405">
        <f t="shared" si="184"/>
        <v>0</v>
      </c>
      <c r="CL147" s="492">
        <v>2</v>
      </c>
      <c r="CM147" s="389" t="str">
        <f t="shared" si="181"/>
        <v>Excellent coverage</v>
      </c>
      <c r="CN147" s="468">
        <v>0</v>
      </c>
      <c r="CO147" s="485" t="s">
        <v>66</v>
      </c>
      <c r="CP147" s="525"/>
    </row>
    <row r="148" spans="2:94" s="40" customFormat="1" ht="30.75" customHeight="1" x14ac:dyDescent="0.2">
      <c r="B148" s="465" t="s">
        <v>219</v>
      </c>
      <c r="C148" s="466" t="s">
        <v>577</v>
      </c>
      <c r="D148" s="467" t="s">
        <v>313</v>
      </c>
      <c r="E148" s="466" t="s">
        <v>458</v>
      </c>
      <c r="F148" s="467">
        <v>97.418279999999996</v>
      </c>
      <c r="G148" s="467">
        <v>27.310880000000001</v>
      </c>
      <c r="H148" s="467" t="s">
        <v>459</v>
      </c>
      <c r="I148" s="467" t="s">
        <v>213</v>
      </c>
      <c r="J148" s="467"/>
      <c r="K148" s="467"/>
      <c r="L148" s="468">
        <v>14</v>
      </c>
      <c r="M148" s="468">
        <v>64</v>
      </c>
      <c r="N148" s="468"/>
      <c r="O148" s="468">
        <v>64</v>
      </c>
      <c r="P148" s="376" t="str">
        <f t="shared" si="148"/>
        <v>1. Small</v>
      </c>
      <c r="Q148" s="717"/>
      <c r="R148" s="469"/>
      <c r="S148" s="477" t="s">
        <v>299</v>
      </c>
      <c r="T148" s="398" t="str">
        <f t="shared" si="149"/>
        <v>Not covered</v>
      </c>
      <c r="U148" s="478">
        <v>42429</v>
      </c>
      <c r="V148" s="469" t="s">
        <v>254</v>
      </c>
      <c r="W148" s="395" t="str">
        <f t="shared" si="150"/>
        <v>Not documented</v>
      </c>
      <c r="X148" s="484">
        <v>0</v>
      </c>
      <c r="Y148" s="468">
        <v>0</v>
      </c>
      <c r="Z148" s="801"/>
      <c r="AA148" s="485" t="s">
        <v>19</v>
      </c>
      <c r="AB148" s="484">
        <v>1</v>
      </c>
      <c r="AC148" s="490">
        <v>0</v>
      </c>
      <c r="AD148" s="491">
        <v>0</v>
      </c>
      <c r="AE148" s="497">
        <v>0</v>
      </c>
      <c r="AF148" s="498">
        <v>0</v>
      </c>
      <c r="AG148" s="797"/>
      <c r="AH148" s="401">
        <f t="shared" si="151"/>
        <v>1</v>
      </c>
      <c r="AI148" s="378">
        <f t="shared" si="152"/>
        <v>64</v>
      </c>
      <c r="AJ148" s="379">
        <f t="shared" si="153"/>
        <v>1</v>
      </c>
      <c r="AK148" s="380">
        <f t="shared" si="154"/>
        <v>64</v>
      </c>
      <c r="AL148" s="377">
        <f t="shared" si="155"/>
        <v>1</v>
      </c>
      <c r="AM148" s="380">
        <f t="shared" si="156"/>
        <v>64</v>
      </c>
      <c r="AN148" s="381" t="str">
        <f t="shared" si="157"/>
        <v>80-100%</v>
      </c>
      <c r="AO148" s="377">
        <f t="shared" si="158"/>
        <v>0</v>
      </c>
      <c r="AP148" s="382">
        <f t="shared" si="159"/>
        <v>0</v>
      </c>
      <c r="AQ148" s="380">
        <f t="shared" si="160"/>
        <v>0</v>
      </c>
      <c r="AR148" s="380">
        <f t="shared" si="161"/>
        <v>0</v>
      </c>
      <c r="AS148" s="380">
        <f t="shared" si="162"/>
        <v>0</v>
      </c>
      <c r="AT148" s="501">
        <v>1</v>
      </c>
      <c r="AU148" s="502">
        <f t="shared" si="163"/>
        <v>64</v>
      </c>
      <c r="AV148" s="491"/>
      <c r="AW148" s="747">
        <v>70</v>
      </c>
      <c r="AX148" s="468">
        <v>14</v>
      </c>
      <c r="AY148" s="468"/>
      <c r="AZ148" s="468">
        <v>0</v>
      </c>
      <c r="BA148" s="468"/>
      <c r="BB148" s="468" t="s">
        <v>89</v>
      </c>
      <c r="BC148" s="383">
        <f t="shared" si="164"/>
        <v>1</v>
      </c>
      <c r="BD148" s="380">
        <f t="shared" si="165"/>
        <v>64</v>
      </c>
      <c r="BE148" s="383">
        <f t="shared" si="166"/>
        <v>1</v>
      </c>
      <c r="BF148" s="380">
        <f t="shared" si="167"/>
        <v>64</v>
      </c>
      <c r="BG148" s="383">
        <f t="shared" si="168"/>
        <v>0</v>
      </c>
      <c r="BH148" s="380">
        <f t="shared" si="169"/>
        <v>0</v>
      </c>
      <c r="BI148" s="490">
        <v>0</v>
      </c>
      <c r="BJ148" s="506">
        <v>1</v>
      </c>
      <c r="BK148" s="384">
        <f t="shared" si="182"/>
        <v>64</v>
      </c>
      <c r="BL148" s="385">
        <f t="shared" si="183"/>
        <v>3.2</v>
      </c>
      <c r="BM148" s="468">
        <v>0</v>
      </c>
      <c r="BN148" s="468" t="s">
        <v>89</v>
      </c>
      <c r="BO148" s="383">
        <f t="shared" si="170"/>
        <v>0</v>
      </c>
      <c r="BP148" s="380">
        <f t="shared" si="171"/>
        <v>0</v>
      </c>
      <c r="BQ148" s="385">
        <f t="shared" si="172"/>
        <v>0.64</v>
      </c>
      <c r="BR148" s="506">
        <v>0</v>
      </c>
      <c r="BS148" s="380">
        <f t="shared" si="173"/>
        <v>0</v>
      </c>
      <c r="BT148" s="468">
        <v>0</v>
      </c>
      <c r="BU148" s="383">
        <f t="shared" si="174"/>
        <v>0</v>
      </c>
      <c r="BV148" s="385">
        <f t="shared" si="175"/>
        <v>0.64</v>
      </c>
      <c r="BW148" s="494">
        <v>0</v>
      </c>
      <c r="BX148" s="516"/>
      <c r="BY148" s="518"/>
      <c r="BZ148" s="804"/>
      <c r="CA148" s="807"/>
      <c r="CB148" s="386" t="str">
        <f t="shared" si="176"/>
        <v>To be realised</v>
      </c>
      <c r="CC148" s="468">
        <v>0</v>
      </c>
      <c r="CD148" s="468">
        <v>0</v>
      </c>
      <c r="CE148" s="387">
        <f t="shared" si="177"/>
        <v>14</v>
      </c>
      <c r="CF148" s="388">
        <f t="shared" si="178"/>
        <v>0</v>
      </c>
      <c r="CG148" s="380">
        <f t="shared" si="179"/>
        <v>0</v>
      </c>
      <c r="CH148" s="403" t="str">
        <f t="shared" si="180"/>
        <v>Column BN to be completed</v>
      </c>
      <c r="CI148" s="484"/>
      <c r="CJ148" s="494">
        <v>0</v>
      </c>
      <c r="CK148" s="405">
        <f t="shared" si="184"/>
        <v>0</v>
      </c>
      <c r="CL148" s="484">
        <v>0</v>
      </c>
      <c r="CM148" s="389" t="str">
        <f t="shared" si="181"/>
        <v>No coverage</v>
      </c>
      <c r="CN148" s="490">
        <v>0</v>
      </c>
      <c r="CO148" s="485" t="s">
        <v>292</v>
      </c>
      <c r="CP148" s="525"/>
    </row>
    <row r="149" spans="2:94" s="40" customFormat="1" ht="30.75" customHeight="1" x14ac:dyDescent="0.2">
      <c r="B149" s="465" t="s">
        <v>219</v>
      </c>
      <c r="C149" s="466" t="s">
        <v>794</v>
      </c>
      <c r="D149" s="467" t="s">
        <v>313</v>
      </c>
      <c r="E149" s="466" t="s">
        <v>795</v>
      </c>
      <c r="F149" s="467"/>
      <c r="G149" s="467"/>
      <c r="H149" s="467" t="s">
        <v>448</v>
      </c>
      <c r="I149" s="467" t="s">
        <v>213</v>
      </c>
      <c r="J149" s="467"/>
      <c r="K149" s="467"/>
      <c r="L149" s="468">
        <v>70</v>
      </c>
      <c r="M149" s="468">
        <v>310</v>
      </c>
      <c r="N149" s="468"/>
      <c r="O149" s="468">
        <v>310</v>
      </c>
      <c r="P149" s="376" t="str">
        <f t="shared" si="148"/>
        <v>2. Medium</v>
      </c>
      <c r="Q149" s="717" t="s">
        <v>805</v>
      </c>
      <c r="R149" s="469" t="s">
        <v>234</v>
      </c>
      <c r="S149" s="477" t="s">
        <v>234</v>
      </c>
      <c r="T149" s="398" t="str">
        <f t="shared" si="149"/>
        <v>Covered</v>
      </c>
      <c r="U149" s="478">
        <v>42429</v>
      </c>
      <c r="V149" s="469" t="s">
        <v>252</v>
      </c>
      <c r="W149" s="395" t="str">
        <f t="shared" si="150"/>
        <v>Documented</v>
      </c>
      <c r="X149" s="484">
        <v>0</v>
      </c>
      <c r="Y149" s="468">
        <v>0</v>
      </c>
      <c r="Z149" s="801"/>
      <c r="AA149" s="485" t="s">
        <v>19</v>
      </c>
      <c r="AB149" s="484">
        <v>1</v>
      </c>
      <c r="AC149" s="490">
        <v>0</v>
      </c>
      <c r="AD149" s="491">
        <v>0</v>
      </c>
      <c r="AE149" s="497">
        <v>0</v>
      </c>
      <c r="AF149" s="498">
        <v>0</v>
      </c>
      <c r="AG149" s="797"/>
      <c r="AH149" s="401">
        <f t="shared" si="151"/>
        <v>1</v>
      </c>
      <c r="AI149" s="378">
        <f t="shared" si="152"/>
        <v>310</v>
      </c>
      <c r="AJ149" s="379">
        <f t="shared" si="153"/>
        <v>1</v>
      </c>
      <c r="AK149" s="380">
        <f t="shared" si="154"/>
        <v>310</v>
      </c>
      <c r="AL149" s="377">
        <f t="shared" si="155"/>
        <v>1</v>
      </c>
      <c r="AM149" s="380">
        <f t="shared" si="156"/>
        <v>310</v>
      </c>
      <c r="AN149" s="381" t="str">
        <f t="shared" si="157"/>
        <v>80-100%</v>
      </c>
      <c r="AO149" s="377">
        <f t="shared" si="158"/>
        <v>0</v>
      </c>
      <c r="AP149" s="382">
        <f t="shared" si="159"/>
        <v>0</v>
      </c>
      <c r="AQ149" s="380">
        <f t="shared" si="160"/>
        <v>0</v>
      </c>
      <c r="AR149" s="380">
        <f t="shared" si="161"/>
        <v>0</v>
      </c>
      <c r="AS149" s="380">
        <f t="shared" si="162"/>
        <v>0</v>
      </c>
      <c r="AT149" s="501">
        <v>1</v>
      </c>
      <c r="AU149" s="502">
        <f t="shared" si="163"/>
        <v>310</v>
      </c>
      <c r="AV149" s="491"/>
      <c r="AW149" s="747">
        <v>0</v>
      </c>
      <c r="AX149" s="468">
        <v>8</v>
      </c>
      <c r="AY149" s="468"/>
      <c r="AZ149" s="468">
        <v>0</v>
      </c>
      <c r="BA149" s="468"/>
      <c r="BB149" s="468" t="s">
        <v>89</v>
      </c>
      <c r="BC149" s="383">
        <f t="shared" si="164"/>
        <v>0.5161290322580645</v>
      </c>
      <c r="BD149" s="380">
        <f t="shared" si="165"/>
        <v>160</v>
      </c>
      <c r="BE149" s="383">
        <f t="shared" si="166"/>
        <v>0.5161290322580645</v>
      </c>
      <c r="BF149" s="380">
        <f t="shared" si="167"/>
        <v>160</v>
      </c>
      <c r="BG149" s="383">
        <f t="shared" si="168"/>
        <v>0</v>
      </c>
      <c r="BH149" s="380">
        <f t="shared" si="169"/>
        <v>0</v>
      </c>
      <c r="BI149" s="490">
        <v>0</v>
      </c>
      <c r="BJ149" s="506">
        <v>0.52</v>
      </c>
      <c r="BK149" s="384">
        <f t="shared" si="182"/>
        <v>161.20000000000002</v>
      </c>
      <c r="BL149" s="385">
        <f t="shared" si="183"/>
        <v>15.5</v>
      </c>
      <c r="BM149" s="468">
        <v>0</v>
      </c>
      <c r="BN149" s="468" t="s">
        <v>290</v>
      </c>
      <c r="BO149" s="383">
        <f t="shared" si="170"/>
        <v>0</v>
      </c>
      <c r="BP149" s="380">
        <f t="shared" si="171"/>
        <v>0</v>
      </c>
      <c r="BQ149" s="385">
        <f t="shared" si="172"/>
        <v>3.1</v>
      </c>
      <c r="BR149" s="506">
        <v>0</v>
      </c>
      <c r="BS149" s="380">
        <f t="shared" si="173"/>
        <v>0</v>
      </c>
      <c r="BT149" s="468">
        <v>0</v>
      </c>
      <c r="BU149" s="383">
        <f t="shared" si="174"/>
        <v>0</v>
      </c>
      <c r="BV149" s="385">
        <f t="shared" si="175"/>
        <v>3.1</v>
      </c>
      <c r="BW149" s="494">
        <v>0</v>
      </c>
      <c r="BX149" s="516" t="s">
        <v>863</v>
      </c>
      <c r="BY149" s="518">
        <v>42129</v>
      </c>
      <c r="BZ149" s="804"/>
      <c r="CA149" s="807"/>
      <c r="CB149" s="386">
        <f t="shared" si="176"/>
        <v>42494</v>
      </c>
      <c r="CC149" s="468">
        <v>80</v>
      </c>
      <c r="CD149" s="468">
        <v>4</v>
      </c>
      <c r="CE149" s="387">
        <f t="shared" si="177"/>
        <v>0</v>
      </c>
      <c r="CF149" s="388">
        <f t="shared" si="178"/>
        <v>1</v>
      </c>
      <c r="CG149" s="380">
        <f t="shared" si="179"/>
        <v>310</v>
      </c>
      <c r="CH149" s="403">
        <f t="shared" si="180"/>
        <v>0</v>
      </c>
      <c r="CI149" s="484" t="s">
        <v>896</v>
      </c>
      <c r="CJ149" s="494">
        <v>1</v>
      </c>
      <c r="CK149" s="405">
        <f t="shared" si="184"/>
        <v>310</v>
      </c>
      <c r="CL149" s="484">
        <v>2</v>
      </c>
      <c r="CM149" s="389" t="str">
        <f t="shared" si="181"/>
        <v>Excellent coverage</v>
      </c>
      <c r="CN149" s="490">
        <v>0</v>
      </c>
      <c r="CO149" s="485" t="s">
        <v>66</v>
      </c>
      <c r="CP149" s="525"/>
    </row>
    <row r="150" spans="2:94" s="40" customFormat="1" ht="30.75" customHeight="1" x14ac:dyDescent="0.2">
      <c r="B150" s="465" t="s">
        <v>219</v>
      </c>
      <c r="C150" s="466" t="s">
        <v>688</v>
      </c>
      <c r="D150" s="467" t="s">
        <v>313</v>
      </c>
      <c r="E150" s="466" t="s">
        <v>666</v>
      </c>
      <c r="F150" s="467">
        <v>97.561105999999995</v>
      </c>
      <c r="G150" s="467">
        <v>27.248964999999998</v>
      </c>
      <c r="H150" s="467" t="s">
        <v>459</v>
      </c>
      <c r="I150" s="467" t="s">
        <v>213</v>
      </c>
      <c r="J150" s="467"/>
      <c r="K150" s="467"/>
      <c r="L150" s="468">
        <v>12</v>
      </c>
      <c r="M150" s="468">
        <v>52</v>
      </c>
      <c r="N150" s="468"/>
      <c r="O150" s="468">
        <v>52</v>
      </c>
      <c r="P150" s="376" t="str">
        <f t="shared" si="148"/>
        <v>1. Small</v>
      </c>
      <c r="Q150" s="717"/>
      <c r="R150" s="469"/>
      <c r="S150" s="477" t="s">
        <v>299</v>
      </c>
      <c r="T150" s="398" t="str">
        <f t="shared" si="149"/>
        <v>Not covered</v>
      </c>
      <c r="U150" s="478">
        <v>42429</v>
      </c>
      <c r="V150" s="469" t="s">
        <v>254</v>
      </c>
      <c r="W150" s="395" t="str">
        <f t="shared" si="150"/>
        <v>Not documented</v>
      </c>
      <c r="X150" s="484">
        <v>0</v>
      </c>
      <c r="Y150" s="468">
        <v>0</v>
      </c>
      <c r="Z150" s="801"/>
      <c r="AA150" s="485" t="s">
        <v>19</v>
      </c>
      <c r="AB150" s="484">
        <v>1</v>
      </c>
      <c r="AC150" s="490">
        <v>0</v>
      </c>
      <c r="AD150" s="491">
        <v>0</v>
      </c>
      <c r="AE150" s="497">
        <v>0</v>
      </c>
      <c r="AF150" s="498">
        <v>0</v>
      </c>
      <c r="AG150" s="797"/>
      <c r="AH150" s="401">
        <f t="shared" si="151"/>
        <v>1</v>
      </c>
      <c r="AI150" s="378">
        <f t="shared" si="152"/>
        <v>52</v>
      </c>
      <c r="AJ150" s="379">
        <f t="shared" si="153"/>
        <v>1</v>
      </c>
      <c r="AK150" s="380">
        <f t="shared" si="154"/>
        <v>52</v>
      </c>
      <c r="AL150" s="377">
        <f t="shared" si="155"/>
        <v>1</v>
      </c>
      <c r="AM150" s="380">
        <f t="shared" si="156"/>
        <v>52</v>
      </c>
      <c r="AN150" s="381" t="str">
        <f t="shared" si="157"/>
        <v>80-100%</v>
      </c>
      <c r="AO150" s="377">
        <f t="shared" si="158"/>
        <v>0</v>
      </c>
      <c r="AP150" s="382">
        <f t="shared" si="159"/>
        <v>0</v>
      </c>
      <c r="AQ150" s="380">
        <f t="shared" si="160"/>
        <v>0</v>
      </c>
      <c r="AR150" s="380">
        <f t="shared" si="161"/>
        <v>0</v>
      </c>
      <c r="AS150" s="380">
        <f t="shared" si="162"/>
        <v>0</v>
      </c>
      <c r="AT150" s="501">
        <v>1</v>
      </c>
      <c r="AU150" s="502">
        <f t="shared" si="163"/>
        <v>52</v>
      </c>
      <c r="AV150" s="491"/>
      <c r="AW150" s="747">
        <v>190</v>
      </c>
      <c r="AX150" s="468">
        <v>10</v>
      </c>
      <c r="AY150" s="468"/>
      <c r="AZ150" s="468">
        <v>0</v>
      </c>
      <c r="BA150" s="468"/>
      <c r="BB150" s="468" t="s">
        <v>89</v>
      </c>
      <c r="BC150" s="383">
        <f t="shared" si="164"/>
        <v>1</v>
      </c>
      <c r="BD150" s="380">
        <f t="shared" si="165"/>
        <v>52</v>
      </c>
      <c r="BE150" s="383">
        <f t="shared" si="166"/>
        <v>1</v>
      </c>
      <c r="BF150" s="380">
        <f t="shared" si="167"/>
        <v>52</v>
      </c>
      <c r="BG150" s="383">
        <f t="shared" si="168"/>
        <v>0</v>
      </c>
      <c r="BH150" s="380">
        <f t="shared" si="169"/>
        <v>0</v>
      </c>
      <c r="BI150" s="490">
        <v>0</v>
      </c>
      <c r="BJ150" s="506">
        <v>1</v>
      </c>
      <c r="BK150" s="384">
        <f t="shared" si="182"/>
        <v>52</v>
      </c>
      <c r="BL150" s="385">
        <f t="shared" si="183"/>
        <v>2.6</v>
      </c>
      <c r="BM150" s="468">
        <v>0</v>
      </c>
      <c r="BN150" s="468" t="s">
        <v>89</v>
      </c>
      <c r="BO150" s="383">
        <f t="shared" si="170"/>
        <v>0</v>
      </c>
      <c r="BP150" s="380">
        <f t="shared" si="171"/>
        <v>0</v>
      </c>
      <c r="BQ150" s="385">
        <f t="shared" si="172"/>
        <v>0.52</v>
      </c>
      <c r="BR150" s="506">
        <v>0</v>
      </c>
      <c r="BS150" s="380">
        <f t="shared" si="173"/>
        <v>0</v>
      </c>
      <c r="BT150" s="468">
        <v>0</v>
      </c>
      <c r="BU150" s="383">
        <f t="shared" si="174"/>
        <v>0</v>
      </c>
      <c r="BV150" s="385">
        <f t="shared" si="175"/>
        <v>0.52</v>
      </c>
      <c r="BW150" s="494">
        <v>0</v>
      </c>
      <c r="BX150" s="516"/>
      <c r="BY150" s="518"/>
      <c r="BZ150" s="804"/>
      <c r="CA150" s="807"/>
      <c r="CB150" s="386" t="str">
        <f t="shared" si="176"/>
        <v>To be realised</v>
      </c>
      <c r="CC150" s="468">
        <v>0</v>
      </c>
      <c r="CD150" s="468">
        <v>0</v>
      </c>
      <c r="CE150" s="387">
        <f t="shared" si="177"/>
        <v>12</v>
      </c>
      <c r="CF150" s="388">
        <f t="shared" si="178"/>
        <v>0</v>
      </c>
      <c r="CG150" s="380">
        <f t="shared" si="179"/>
        <v>0</v>
      </c>
      <c r="CH150" s="403" t="str">
        <f t="shared" si="180"/>
        <v>Column BN to be completed</v>
      </c>
      <c r="CI150" s="484"/>
      <c r="CJ150" s="494">
        <v>0</v>
      </c>
      <c r="CK150" s="405">
        <f t="shared" si="184"/>
        <v>0</v>
      </c>
      <c r="CL150" s="484">
        <v>0</v>
      </c>
      <c r="CM150" s="389" t="str">
        <f t="shared" si="181"/>
        <v>No coverage</v>
      </c>
      <c r="CN150" s="490">
        <v>0</v>
      </c>
      <c r="CO150" s="485" t="s">
        <v>66</v>
      </c>
      <c r="CP150" s="525"/>
    </row>
    <row r="151" spans="2:94" s="40" customFormat="1" ht="30.75" customHeight="1" x14ac:dyDescent="0.25">
      <c r="B151" s="465" t="s">
        <v>218</v>
      </c>
      <c r="C151" s="466" t="s">
        <v>578</v>
      </c>
      <c r="D151" s="467" t="s">
        <v>259</v>
      </c>
      <c r="E151" s="466" t="s">
        <v>196</v>
      </c>
      <c r="F151" s="467">
        <v>96.807353000000006</v>
      </c>
      <c r="G151" s="467">
        <v>24.200361000000001</v>
      </c>
      <c r="H151" s="467" t="s">
        <v>448</v>
      </c>
      <c r="I151" s="467" t="s">
        <v>213</v>
      </c>
      <c r="J151" s="467"/>
      <c r="K151" s="467"/>
      <c r="L151" s="471">
        <v>88</v>
      </c>
      <c r="M151" s="471">
        <v>299</v>
      </c>
      <c r="N151" s="471"/>
      <c r="O151" s="471">
        <v>238</v>
      </c>
      <c r="P151" s="376" t="str">
        <f t="shared" si="148"/>
        <v>2. Medium</v>
      </c>
      <c r="Q151" s="717" t="s">
        <v>823</v>
      </c>
      <c r="R151" s="472" t="s">
        <v>234</v>
      </c>
      <c r="S151" s="479" t="s">
        <v>232</v>
      </c>
      <c r="T151" s="398" t="str">
        <f t="shared" si="149"/>
        <v>Covered</v>
      </c>
      <c r="U151" s="480">
        <v>42459</v>
      </c>
      <c r="V151" s="481" t="s">
        <v>252</v>
      </c>
      <c r="W151" s="395" t="str">
        <f t="shared" si="150"/>
        <v>Documented</v>
      </c>
      <c r="X151" s="486">
        <v>0</v>
      </c>
      <c r="Y151" s="471">
        <v>0</v>
      </c>
      <c r="Z151" s="800"/>
      <c r="AA151" s="487" t="s">
        <v>19</v>
      </c>
      <c r="AB151" s="486">
        <v>0</v>
      </c>
      <c r="AC151" s="471">
        <v>1</v>
      </c>
      <c r="AD151" s="487">
        <v>11745</v>
      </c>
      <c r="AE151" s="495">
        <v>0.01</v>
      </c>
      <c r="AF151" s="496">
        <v>0</v>
      </c>
      <c r="AG151" s="796"/>
      <c r="AH151" s="401">
        <f t="shared" si="151"/>
        <v>1</v>
      </c>
      <c r="AI151" s="378">
        <f t="shared" si="152"/>
        <v>238</v>
      </c>
      <c r="AJ151" s="379">
        <f t="shared" si="153"/>
        <v>1</v>
      </c>
      <c r="AK151" s="380">
        <f t="shared" si="154"/>
        <v>238</v>
      </c>
      <c r="AL151" s="377">
        <f t="shared" si="155"/>
        <v>1</v>
      </c>
      <c r="AM151" s="380">
        <f t="shared" si="156"/>
        <v>238</v>
      </c>
      <c r="AN151" s="381" t="str">
        <f t="shared" si="157"/>
        <v>80-100%</v>
      </c>
      <c r="AO151" s="377">
        <f t="shared" si="158"/>
        <v>0</v>
      </c>
      <c r="AP151" s="382">
        <f t="shared" si="159"/>
        <v>0</v>
      </c>
      <c r="AQ151" s="380">
        <f t="shared" si="160"/>
        <v>0</v>
      </c>
      <c r="AR151" s="380">
        <f t="shared" si="161"/>
        <v>0</v>
      </c>
      <c r="AS151" s="380">
        <f t="shared" si="162"/>
        <v>2.38</v>
      </c>
      <c r="AT151" s="504">
        <v>1</v>
      </c>
      <c r="AU151" s="502">
        <f t="shared" si="163"/>
        <v>238</v>
      </c>
      <c r="AV151" s="496"/>
      <c r="AW151" s="748">
        <v>0</v>
      </c>
      <c r="AX151" s="471">
        <v>9</v>
      </c>
      <c r="AY151" s="471"/>
      <c r="AZ151" s="471">
        <v>11</v>
      </c>
      <c r="BA151" s="471"/>
      <c r="BB151" s="471" t="s">
        <v>289</v>
      </c>
      <c r="BC151" s="383">
        <f t="shared" si="164"/>
        <v>1</v>
      </c>
      <c r="BD151" s="380">
        <f t="shared" si="165"/>
        <v>238</v>
      </c>
      <c r="BE151" s="383">
        <f t="shared" si="166"/>
        <v>7.5630252100840289E-2</v>
      </c>
      <c r="BF151" s="380">
        <f t="shared" si="167"/>
        <v>17.999999999999989</v>
      </c>
      <c r="BG151" s="383">
        <f t="shared" si="168"/>
        <v>0.92436974789915971</v>
      </c>
      <c r="BH151" s="380">
        <f t="shared" si="169"/>
        <v>220</v>
      </c>
      <c r="BI151" s="509">
        <v>0</v>
      </c>
      <c r="BJ151" s="504">
        <v>1</v>
      </c>
      <c r="BK151" s="384">
        <f t="shared" si="182"/>
        <v>238</v>
      </c>
      <c r="BL151" s="385">
        <f t="shared" si="183"/>
        <v>0.90000000000000036</v>
      </c>
      <c r="BM151" s="471">
        <v>5</v>
      </c>
      <c r="BN151" s="471" t="s">
        <v>89</v>
      </c>
      <c r="BO151" s="383">
        <f t="shared" si="170"/>
        <v>1</v>
      </c>
      <c r="BP151" s="380">
        <f t="shared" si="171"/>
        <v>238</v>
      </c>
      <c r="BQ151" s="385">
        <f t="shared" si="172"/>
        <v>0</v>
      </c>
      <c r="BR151" s="510">
        <v>1</v>
      </c>
      <c r="BS151" s="380">
        <f t="shared" si="173"/>
        <v>238</v>
      </c>
      <c r="BT151" s="471">
        <v>5</v>
      </c>
      <c r="BU151" s="383">
        <f t="shared" si="174"/>
        <v>1</v>
      </c>
      <c r="BV151" s="385">
        <f t="shared" si="175"/>
        <v>0</v>
      </c>
      <c r="BW151" s="496">
        <v>1</v>
      </c>
      <c r="BX151" s="517"/>
      <c r="BY151" s="519">
        <v>41779</v>
      </c>
      <c r="BZ151" s="803"/>
      <c r="CA151" s="806"/>
      <c r="CB151" s="386" t="str">
        <f t="shared" si="176"/>
        <v>To be realised</v>
      </c>
      <c r="CC151" s="509">
        <v>70</v>
      </c>
      <c r="CD151" s="509">
        <v>6</v>
      </c>
      <c r="CE151" s="387">
        <f t="shared" si="177"/>
        <v>88</v>
      </c>
      <c r="CF151" s="388">
        <f t="shared" si="178"/>
        <v>0</v>
      </c>
      <c r="CG151" s="380">
        <f t="shared" si="179"/>
        <v>0</v>
      </c>
      <c r="CH151" s="722">
        <f t="shared" si="180"/>
        <v>10</v>
      </c>
      <c r="CI151" s="521"/>
      <c r="CJ151" s="496">
        <v>0.6</v>
      </c>
      <c r="CK151" s="405">
        <f t="shared" si="184"/>
        <v>142.79999999999998</v>
      </c>
      <c r="CL151" s="521">
        <v>1</v>
      </c>
      <c r="CM151" s="389" t="str">
        <f t="shared" si="181"/>
        <v>Excellent coverage</v>
      </c>
      <c r="CN151" s="490">
        <v>0</v>
      </c>
      <c r="CO151" s="529" t="s">
        <v>65</v>
      </c>
      <c r="CP151" s="528"/>
    </row>
    <row r="152" spans="2:94" s="40" customFormat="1" ht="30.75" customHeight="1" x14ac:dyDescent="0.25">
      <c r="B152" s="465" t="s">
        <v>218</v>
      </c>
      <c r="C152" s="466" t="s">
        <v>579</v>
      </c>
      <c r="D152" s="467" t="s">
        <v>259</v>
      </c>
      <c r="E152" s="466" t="s">
        <v>197</v>
      </c>
      <c r="F152" s="467">
        <v>96.807353000000006</v>
      </c>
      <c r="G152" s="467">
        <v>24.200367</v>
      </c>
      <c r="H152" s="467" t="s">
        <v>448</v>
      </c>
      <c r="I152" s="467" t="s">
        <v>213</v>
      </c>
      <c r="J152" s="467"/>
      <c r="K152" s="467"/>
      <c r="L152" s="471">
        <v>49</v>
      </c>
      <c r="M152" s="471">
        <v>174</v>
      </c>
      <c r="N152" s="471"/>
      <c r="O152" s="471">
        <v>174</v>
      </c>
      <c r="P152" s="376" t="str">
        <f t="shared" si="148"/>
        <v>1. Small</v>
      </c>
      <c r="Q152" s="717" t="s">
        <v>823</v>
      </c>
      <c r="R152" s="472" t="s">
        <v>230</v>
      </c>
      <c r="S152" s="479" t="s">
        <v>232</v>
      </c>
      <c r="T152" s="398" t="str">
        <f t="shared" si="149"/>
        <v>Covered</v>
      </c>
      <c r="U152" s="480">
        <v>42459</v>
      </c>
      <c r="V152" s="481" t="s">
        <v>252</v>
      </c>
      <c r="W152" s="395" t="str">
        <f t="shared" si="150"/>
        <v>Documented</v>
      </c>
      <c r="X152" s="486">
        <v>0</v>
      </c>
      <c r="Y152" s="471">
        <v>0</v>
      </c>
      <c r="Z152" s="800"/>
      <c r="AA152" s="487" t="s">
        <v>19</v>
      </c>
      <c r="AB152" s="486">
        <v>0</v>
      </c>
      <c r="AC152" s="471">
        <v>3</v>
      </c>
      <c r="AD152" s="487">
        <v>4000</v>
      </c>
      <c r="AE152" s="495">
        <v>0</v>
      </c>
      <c r="AF152" s="496">
        <v>0.21</v>
      </c>
      <c r="AG152" s="796"/>
      <c r="AH152" s="401">
        <f t="shared" si="151"/>
        <v>1</v>
      </c>
      <c r="AI152" s="378">
        <f t="shared" si="152"/>
        <v>174</v>
      </c>
      <c r="AJ152" s="379">
        <f t="shared" si="153"/>
        <v>1</v>
      </c>
      <c r="AK152" s="380">
        <f t="shared" si="154"/>
        <v>174</v>
      </c>
      <c r="AL152" s="377">
        <f t="shared" si="155"/>
        <v>1</v>
      </c>
      <c r="AM152" s="380">
        <f t="shared" si="156"/>
        <v>174</v>
      </c>
      <c r="AN152" s="381" t="str">
        <f t="shared" si="157"/>
        <v>80-100%</v>
      </c>
      <c r="AO152" s="377">
        <f t="shared" si="158"/>
        <v>0</v>
      </c>
      <c r="AP152" s="382">
        <f t="shared" si="159"/>
        <v>0</v>
      </c>
      <c r="AQ152" s="380">
        <f t="shared" si="160"/>
        <v>0</v>
      </c>
      <c r="AR152" s="380">
        <f t="shared" si="161"/>
        <v>10.29</v>
      </c>
      <c r="AS152" s="380">
        <f t="shared" si="162"/>
        <v>0</v>
      </c>
      <c r="AT152" s="504">
        <v>1</v>
      </c>
      <c r="AU152" s="502">
        <f t="shared" si="163"/>
        <v>174</v>
      </c>
      <c r="AV152" s="496"/>
      <c r="AW152" s="748">
        <v>21</v>
      </c>
      <c r="AX152" s="471">
        <v>6</v>
      </c>
      <c r="AY152" s="471"/>
      <c r="AZ152" s="471">
        <v>10</v>
      </c>
      <c r="BA152" s="471"/>
      <c r="BB152" s="471" t="s">
        <v>291</v>
      </c>
      <c r="BC152" s="383">
        <f t="shared" si="164"/>
        <v>1</v>
      </c>
      <c r="BD152" s="380">
        <f t="shared" si="165"/>
        <v>174</v>
      </c>
      <c r="BE152" s="383">
        <f t="shared" si="166"/>
        <v>0</v>
      </c>
      <c r="BF152" s="380">
        <f t="shared" si="167"/>
        <v>0</v>
      </c>
      <c r="BG152" s="383">
        <f t="shared" si="168"/>
        <v>1</v>
      </c>
      <c r="BH152" s="380">
        <f t="shared" si="169"/>
        <v>174</v>
      </c>
      <c r="BI152" s="509">
        <v>0</v>
      </c>
      <c r="BJ152" s="504">
        <v>1</v>
      </c>
      <c r="BK152" s="384">
        <f t="shared" si="182"/>
        <v>174</v>
      </c>
      <c r="BL152" s="385">
        <f t="shared" si="183"/>
        <v>0</v>
      </c>
      <c r="BM152" s="471">
        <v>4</v>
      </c>
      <c r="BN152" s="471" t="s">
        <v>89</v>
      </c>
      <c r="BO152" s="383">
        <f t="shared" si="170"/>
        <v>1</v>
      </c>
      <c r="BP152" s="380">
        <f t="shared" si="171"/>
        <v>174</v>
      </c>
      <c r="BQ152" s="385">
        <f t="shared" si="172"/>
        <v>0</v>
      </c>
      <c r="BR152" s="510">
        <v>1</v>
      </c>
      <c r="BS152" s="380">
        <f t="shared" si="173"/>
        <v>174</v>
      </c>
      <c r="BT152" s="471">
        <v>2</v>
      </c>
      <c r="BU152" s="383">
        <f t="shared" si="174"/>
        <v>1</v>
      </c>
      <c r="BV152" s="385">
        <f t="shared" si="175"/>
        <v>0</v>
      </c>
      <c r="BW152" s="496">
        <v>1</v>
      </c>
      <c r="BX152" s="517"/>
      <c r="BY152" s="519">
        <v>41779</v>
      </c>
      <c r="BZ152" s="803"/>
      <c r="CA152" s="806"/>
      <c r="CB152" s="386" t="str">
        <f t="shared" si="176"/>
        <v>To be realised</v>
      </c>
      <c r="CC152" s="509">
        <v>54</v>
      </c>
      <c r="CD152" s="509">
        <v>6</v>
      </c>
      <c r="CE152" s="387">
        <f t="shared" si="177"/>
        <v>49</v>
      </c>
      <c r="CF152" s="388">
        <f t="shared" si="178"/>
        <v>0</v>
      </c>
      <c r="CG152" s="380">
        <f t="shared" si="179"/>
        <v>0</v>
      </c>
      <c r="CH152" s="722">
        <f t="shared" si="180"/>
        <v>10</v>
      </c>
      <c r="CI152" s="521"/>
      <c r="CJ152" s="496">
        <v>0.65</v>
      </c>
      <c r="CK152" s="405">
        <f t="shared" si="184"/>
        <v>113.10000000000001</v>
      </c>
      <c r="CL152" s="521">
        <v>1</v>
      </c>
      <c r="CM152" s="389" t="str">
        <f t="shared" si="181"/>
        <v>Excellent coverage</v>
      </c>
      <c r="CN152" s="490">
        <v>0</v>
      </c>
      <c r="CO152" s="529" t="s">
        <v>65</v>
      </c>
      <c r="CP152" s="528"/>
    </row>
    <row r="153" spans="2:94" s="40" customFormat="1" ht="30.75" customHeight="1" x14ac:dyDescent="0.2">
      <c r="B153" s="465" t="s">
        <v>218</v>
      </c>
      <c r="C153" s="466" t="s">
        <v>580</v>
      </c>
      <c r="D153" s="467" t="s">
        <v>259</v>
      </c>
      <c r="E153" s="466" t="s">
        <v>738</v>
      </c>
      <c r="F153" s="467">
        <v>96.807350999999997</v>
      </c>
      <c r="G153" s="467">
        <v>24.200362999999999</v>
      </c>
      <c r="H153" s="467" t="s">
        <v>459</v>
      </c>
      <c r="I153" s="467" t="s">
        <v>213</v>
      </c>
      <c r="J153" s="467"/>
      <c r="K153" s="467"/>
      <c r="L153" s="468">
        <v>15</v>
      </c>
      <c r="M153" s="468">
        <v>40</v>
      </c>
      <c r="N153" s="468"/>
      <c r="O153" s="468">
        <v>40</v>
      </c>
      <c r="P153" s="376" t="str">
        <f t="shared" si="148"/>
        <v>1. Small</v>
      </c>
      <c r="Q153" s="717"/>
      <c r="R153" s="469"/>
      <c r="S153" s="477" t="s">
        <v>299</v>
      </c>
      <c r="T153" s="398" t="str">
        <f t="shared" si="149"/>
        <v>Not covered</v>
      </c>
      <c r="U153" s="478"/>
      <c r="V153" s="469" t="s">
        <v>254</v>
      </c>
      <c r="W153" s="395" t="str">
        <f t="shared" si="150"/>
        <v>Not documented</v>
      </c>
      <c r="X153" s="484">
        <v>0</v>
      </c>
      <c r="Y153" s="468">
        <v>0</v>
      </c>
      <c r="Z153" s="801"/>
      <c r="AA153" s="485" t="s">
        <v>19</v>
      </c>
      <c r="AB153" s="484">
        <v>0</v>
      </c>
      <c r="AC153" s="490">
        <v>0</v>
      </c>
      <c r="AD153" s="491">
        <v>0</v>
      </c>
      <c r="AE153" s="497">
        <v>0</v>
      </c>
      <c r="AF153" s="498">
        <v>0</v>
      </c>
      <c r="AG153" s="797"/>
      <c r="AH153" s="401">
        <f t="shared" si="151"/>
        <v>0</v>
      </c>
      <c r="AI153" s="378">
        <f t="shared" si="152"/>
        <v>0</v>
      </c>
      <c r="AJ153" s="379">
        <f t="shared" si="153"/>
        <v>0</v>
      </c>
      <c r="AK153" s="380">
        <f t="shared" si="154"/>
        <v>0</v>
      </c>
      <c r="AL153" s="377">
        <f t="shared" si="155"/>
        <v>0</v>
      </c>
      <c r="AM153" s="380">
        <f t="shared" si="156"/>
        <v>0</v>
      </c>
      <c r="AN153" s="381" t="str">
        <f t="shared" si="157"/>
        <v>0-10%</v>
      </c>
      <c r="AO153" s="377">
        <f t="shared" si="158"/>
        <v>0</v>
      </c>
      <c r="AP153" s="382">
        <f t="shared" si="159"/>
        <v>0</v>
      </c>
      <c r="AQ153" s="380">
        <f t="shared" si="160"/>
        <v>0.1</v>
      </c>
      <c r="AR153" s="380">
        <f t="shared" si="161"/>
        <v>0</v>
      </c>
      <c r="AS153" s="380">
        <f t="shared" si="162"/>
        <v>0</v>
      </c>
      <c r="AT153" s="501">
        <v>0</v>
      </c>
      <c r="AU153" s="502">
        <f t="shared" si="163"/>
        <v>0</v>
      </c>
      <c r="AV153" s="491"/>
      <c r="AW153" s="747">
        <v>1</v>
      </c>
      <c r="AX153" s="468">
        <v>0</v>
      </c>
      <c r="AY153" s="468"/>
      <c r="AZ153" s="468">
        <v>0</v>
      </c>
      <c r="BA153" s="468"/>
      <c r="BB153" s="468" t="s">
        <v>89</v>
      </c>
      <c r="BC153" s="383">
        <f t="shared" si="164"/>
        <v>0</v>
      </c>
      <c r="BD153" s="380">
        <f t="shared" si="165"/>
        <v>0</v>
      </c>
      <c r="BE153" s="383">
        <f t="shared" si="166"/>
        <v>0</v>
      </c>
      <c r="BF153" s="380">
        <f t="shared" si="167"/>
        <v>0</v>
      </c>
      <c r="BG153" s="383">
        <f t="shared" si="168"/>
        <v>0</v>
      </c>
      <c r="BH153" s="380">
        <f t="shared" si="169"/>
        <v>0</v>
      </c>
      <c r="BI153" s="490">
        <v>0</v>
      </c>
      <c r="BJ153" s="506">
        <v>0</v>
      </c>
      <c r="BK153" s="384">
        <f t="shared" si="182"/>
        <v>0</v>
      </c>
      <c r="BL153" s="385">
        <f t="shared" si="183"/>
        <v>2</v>
      </c>
      <c r="BM153" s="468">
        <v>0</v>
      </c>
      <c r="BN153" s="468" t="s">
        <v>89</v>
      </c>
      <c r="BO153" s="383">
        <f t="shared" si="170"/>
        <v>0</v>
      </c>
      <c r="BP153" s="380">
        <f t="shared" si="171"/>
        <v>0</v>
      </c>
      <c r="BQ153" s="385">
        <f t="shared" si="172"/>
        <v>0.4</v>
      </c>
      <c r="BR153" s="506">
        <v>0</v>
      </c>
      <c r="BS153" s="380">
        <f t="shared" si="173"/>
        <v>0</v>
      </c>
      <c r="BT153" s="468">
        <v>0</v>
      </c>
      <c r="BU153" s="383">
        <f t="shared" si="174"/>
        <v>0</v>
      </c>
      <c r="BV153" s="385">
        <f t="shared" si="175"/>
        <v>0.4</v>
      </c>
      <c r="BW153" s="498">
        <v>0</v>
      </c>
      <c r="BX153" s="516"/>
      <c r="BY153" s="518"/>
      <c r="BZ153" s="804"/>
      <c r="CA153" s="807"/>
      <c r="CB153" s="386" t="str">
        <f t="shared" si="176"/>
        <v>To be realised</v>
      </c>
      <c r="CC153" s="468">
        <v>0</v>
      </c>
      <c r="CD153" s="468">
        <v>0</v>
      </c>
      <c r="CE153" s="387">
        <f t="shared" si="177"/>
        <v>15</v>
      </c>
      <c r="CF153" s="388">
        <f t="shared" si="178"/>
        <v>0</v>
      </c>
      <c r="CG153" s="380">
        <f t="shared" si="179"/>
        <v>0</v>
      </c>
      <c r="CH153" s="722" t="str">
        <f t="shared" si="180"/>
        <v>Column BN to be completed</v>
      </c>
      <c r="CI153" s="492"/>
      <c r="CJ153" s="498">
        <v>0</v>
      </c>
      <c r="CK153" s="405">
        <f t="shared" si="184"/>
        <v>0</v>
      </c>
      <c r="CL153" s="492">
        <v>0</v>
      </c>
      <c r="CM153" s="389" t="str">
        <f t="shared" si="181"/>
        <v>No coverage</v>
      </c>
      <c r="CN153" s="468">
        <v>0</v>
      </c>
      <c r="CO153" s="485" t="s">
        <v>66</v>
      </c>
      <c r="CP153" s="525"/>
    </row>
    <row r="154" spans="2:94" s="40" customFormat="1" ht="30.75" customHeight="1" x14ac:dyDescent="0.2">
      <c r="B154" s="465" t="s">
        <v>154</v>
      </c>
      <c r="C154" s="466" t="s">
        <v>581</v>
      </c>
      <c r="D154" s="467" t="s">
        <v>260</v>
      </c>
      <c r="E154" s="466" t="s">
        <v>222</v>
      </c>
      <c r="F154" s="467">
        <v>97.915833000000006</v>
      </c>
      <c r="G154" s="467">
        <v>25.220278</v>
      </c>
      <c r="H154" s="467" t="s">
        <v>448</v>
      </c>
      <c r="I154" s="467" t="s">
        <v>221</v>
      </c>
      <c r="J154" s="467"/>
      <c r="K154" s="467"/>
      <c r="L154" s="468">
        <v>133</v>
      </c>
      <c r="M154" s="468">
        <v>645</v>
      </c>
      <c r="N154" s="468"/>
      <c r="O154" s="468">
        <v>645</v>
      </c>
      <c r="P154" s="376" t="str">
        <f t="shared" si="148"/>
        <v>2. Medium</v>
      </c>
      <c r="Q154" s="717" t="s">
        <v>825</v>
      </c>
      <c r="R154" s="469" t="s">
        <v>276</v>
      </c>
      <c r="S154" s="477" t="s">
        <v>299</v>
      </c>
      <c r="T154" s="398" t="str">
        <f t="shared" si="149"/>
        <v>Not covered</v>
      </c>
      <c r="U154" s="478" t="s">
        <v>626</v>
      </c>
      <c r="V154" s="469" t="s">
        <v>252</v>
      </c>
      <c r="W154" s="395" t="str">
        <f t="shared" si="150"/>
        <v>Documented</v>
      </c>
      <c r="X154" s="484">
        <v>0</v>
      </c>
      <c r="Y154" s="468">
        <v>0</v>
      </c>
      <c r="Z154" s="801"/>
      <c r="AA154" s="485" t="s">
        <v>19</v>
      </c>
      <c r="AB154" s="484">
        <v>0</v>
      </c>
      <c r="AC154" s="490">
        <v>0</v>
      </c>
      <c r="AD154" s="491">
        <v>15000</v>
      </c>
      <c r="AE154" s="497">
        <v>0</v>
      </c>
      <c r="AF154" s="498">
        <v>1</v>
      </c>
      <c r="AG154" s="797"/>
      <c r="AH154" s="401">
        <f t="shared" si="151"/>
        <v>1</v>
      </c>
      <c r="AI154" s="378">
        <f t="shared" si="152"/>
        <v>645</v>
      </c>
      <c r="AJ154" s="379">
        <f t="shared" si="153"/>
        <v>1</v>
      </c>
      <c r="AK154" s="380">
        <f t="shared" si="154"/>
        <v>645</v>
      </c>
      <c r="AL154" s="377">
        <f t="shared" si="155"/>
        <v>1</v>
      </c>
      <c r="AM154" s="380">
        <f t="shared" si="156"/>
        <v>645</v>
      </c>
      <c r="AN154" s="381" t="str">
        <f t="shared" si="157"/>
        <v>80-100%</v>
      </c>
      <c r="AO154" s="377">
        <f t="shared" si="158"/>
        <v>0</v>
      </c>
      <c r="AP154" s="382">
        <f t="shared" si="159"/>
        <v>0</v>
      </c>
      <c r="AQ154" s="380">
        <f t="shared" si="160"/>
        <v>1.6125</v>
      </c>
      <c r="AR154" s="380">
        <f t="shared" si="161"/>
        <v>133</v>
      </c>
      <c r="AS154" s="380">
        <f t="shared" si="162"/>
        <v>0</v>
      </c>
      <c r="AT154" s="501">
        <v>1</v>
      </c>
      <c r="AU154" s="502">
        <f t="shared" si="163"/>
        <v>645</v>
      </c>
      <c r="AV154" s="491"/>
      <c r="AW154" s="747">
        <v>4</v>
      </c>
      <c r="AX154" s="468">
        <v>95</v>
      </c>
      <c r="AY154" s="468"/>
      <c r="AZ154" s="468">
        <v>8</v>
      </c>
      <c r="BA154" s="468"/>
      <c r="BB154" s="468" t="s">
        <v>289</v>
      </c>
      <c r="BC154" s="383">
        <f t="shared" si="164"/>
        <v>1</v>
      </c>
      <c r="BD154" s="380">
        <f t="shared" si="165"/>
        <v>645</v>
      </c>
      <c r="BE154" s="383">
        <f t="shared" si="166"/>
        <v>0.75193798449612403</v>
      </c>
      <c r="BF154" s="380">
        <f t="shared" si="167"/>
        <v>485</v>
      </c>
      <c r="BG154" s="383">
        <f t="shared" si="168"/>
        <v>0.24806201550387597</v>
      </c>
      <c r="BH154" s="380">
        <f t="shared" si="169"/>
        <v>160</v>
      </c>
      <c r="BI154" s="490">
        <v>0</v>
      </c>
      <c r="BJ154" s="506">
        <v>1</v>
      </c>
      <c r="BK154" s="384">
        <f t="shared" si="182"/>
        <v>645</v>
      </c>
      <c r="BL154" s="385">
        <f t="shared" si="183"/>
        <v>24.25</v>
      </c>
      <c r="BM154" s="468">
        <v>1</v>
      </c>
      <c r="BN154" s="468" t="s">
        <v>290</v>
      </c>
      <c r="BO154" s="383">
        <f t="shared" si="170"/>
        <v>0.15503875968992248</v>
      </c>
      <c r="BP154" s="380">
        <f t="shared" si="171"/>
        <v>100</v>
      </c>
      <c r="BQ154" s="385">
        <f t="shared" si="172"/>
        <v>5.45</v>
      </c>
      <c r="BR154" s="506">
        <v>0.16</v>
      </c>
      <c r="BS154" s="380">
        <f t="shared" si="173"/>
        <v>103.2</v>
      </c>
      <c r="BT154" s="468">
        <v>4</v>
      </c>
      <c r="BU154" s="383">
        <f t="shared" si="174"/>
        <v>0.62015503875968991</v>
      </c>
      <c r="BV154" s="385">
        <f t="shared" si="175"/>
        <v>2.4500000000000002</v>
      </c>
      <c r="BW154" s="494">
        <v>0.62</v>
      </c>
      <c r="BX154" s="516" t="s">
        <v>728</v>
      </c>
      <c r="BY154" s="518">
        <v>42122</v>
      </c>
      <c r="BZ154" s="804"/>
      <c r="CA154" s="807"/>
      <c r="CB154" s="386">
        <f t="shared" si="176"/>
        <v>42487</v>
      </c>
      <c r="CC154" s="468">
        <v>133</v>
      </c>
      <c r="CD154" s="468">
        <v>3</v>
      </c>
      <c r="CE154" s="387">
        <f t="shared" si="177"/>
        <v>0</v>
      </c>
      <c r="CF154" s="388">
        <f t="shared" si="178"/>
        <v>1</v>
      </c>
      <c r="CG154" s="380">
        <f t="shared" si="179"/>
        <v>645</v>
      </c>
      <c r="CH154" s="722">
        <f t="shared" si="180"/>
        <v>1</v>
      </c>
      <c r="CI154" s="484" t="s">
        <v>897</v>
      </c>
      <c r="CJ154" s="494"/>
      <c r="CK154" s="405">
        <f t="shared" si="184"/>
        <v>0</v>
      </c>
      <c r="CL154" s="484">
        <v>4</v>
      </c>
      <c r="CM154" s="389" t="str">
        <f t="shared" si="181"/>
        <v>Excellent coverage</v>
      </c>
      <c r="CN154" s="490">
        <v>0</v>
      </c>
      <c r="CO154" s="485" t="s">
        <v>66</v>
      </c>
      <c r="CP154" s="525"/>
    </row>
    <row r="155" spans="2:94" s="40" customFormat="1" ht="30.75" customHeight="1" x14ac:dyDescent="0.2">
      <c r="B155" s="465" t="s">
        <v>154</v>
      </c>
      <c r="C155" s="466" t="s">
        <v>584</v>
      </c>
      <c r="D155" s="467" t="s">
        <v>260</v>
      </c>
      <c r="E155" s="466" t="s">
        <v>612</v>
      </c>
      <c r="F155" s="467">
        <v>97.541793999999996</v>
      </c>
      <c r="G155" s="467">
        <v>24.752471</v>
      </c>
      <c r="H155" s="467" t="s">
        <v>449</v>
      </c>
      <c r="I155" s="467" t="s">
        <v>221</v>
      </c>
      <c r="J155" s="467"/>
      <c r="K155" s="467"/>
      <c r="L155" s="468"/>
      <c r="M155" s="468">
        <v>528</v>
      </c>
      <c r="N155" s="468"/>
      <c r="O155" s="468">
        <v>528</v>
      </c>
      <c r="P155" s="376" t="str">
        <f t="shared" si="148"/>
        <v>1. Small</v>
      </c>
      <c r="Q155" s="717" t="s">
        <v>807</v>
      </c>
      <c r="R155" s="469"/>
      <c r="S155" s="477" t="s">
        <v>232</v>
      </c>
      <c r="T155" s="398" t="str">
        <f t="shared" si="149"/>
        <v>Covered</v>
      </c>
      <c r="U155" s="478">
        <v>42369</v>
      </c>
      <c r="V155" s="469" t="s">
        <v>252</v>
      </c>
      <c r="W155" s="395" t="str">
        <f t="shared" si="150"/>
        <v>Documented</v>
      </c>
      <c r="X155" s="484">
        <v>0</v>
      </c>
      <c r="Y155" s="468">
        <v>0</v>
      </c>
      <c r="Z155" s="801"/>
      <c r="AA155" s="485" t="s">
        <v>19</v>
      </c>
      <c r="AB155" s="484">
        <v>1</v>
      </c>
      <c r="AC155" s="490">
        <v>0</v>
      </c>
      <c r="AD155" s="491">
        <v>7920</v>
      </c>
      <c r="AE155" s="497">
        <v>0</v>
      </c>
      <c r="AF155" s="498">
        <v>1</v>
      </c>
      <c r="AG155" s="797"/>
      <c r="AH155" s="401">
        <f t="shared" si="151"/>
        <v>1</v>
      </c>
      <c r="AI155" s="378">
        <f t="shared" si="152"/>
        <v>528</v>
      </c>
      <c r="AJ155" s="379">
        <f t="shared" si="153"/>
        <v>1</v>
      </c>
      <c r="AK155" s="380">
        <f t="shared" si="154"/>
        <v>528</v>
      </c>
      <c r="AL155" s="377">
        <f t="shared" si="155"/>
        <v>1</v>
      </c>
      <c r="AM155" s="380">
        <f t="shared" si="156"/>
        <v>528</v>
      </c>
      <c r="AN155" s="381" t="str">
        <f t="shared" si="157"/>
        <v>80-100%</v>
      </c>
      <c r="AO155" s="377">
        <f t="shared" si="158"/>
        <v>0</v>
      </c>
      <c r="AP155" s="382">
        <f t="shared" si="159"/>
        <v>0</v>
      </c>
      <c r="AQ155" s="380">
        <f t="shared" si="160"/>
        <v>0.32000000000000006</v>
      </c>
      <c r="AR155" s="380">
        <f t="shared" si="161"/>
        <v>0</v>
      </c>
      <c r="AS155" s="380">
        <f t="shared" si="162"/>
        <v>0</v>
      </c>
      <c r="AT155" s="501">
        <v>1</v>
      </c>
      <c r="AU155" s="502">
        <f t="shared" si="163"/>
        <v>528</v>
      </c>
      <c r="AV155" s="491"/>
      <c r="AW155" s="747">
        <v>78</v>
      </c>
      <c r="AX155" s="468">
        <v>7</v>
      </c>
      <c r="AY155" s="468"/>
      <c r="AZ155" s="468">
        <v>15</v>
      </c>
      <c r="BA155" s="468"/>
      <c r="BB155" s="468" t="s">
        <v>290</v>
      </c>
      <c r="BC155" s="383">
        <f t="shared" si="164"/>
        <v>0.83333333333333337</v>
      </c>
      <c r="BD155" s="380">
        <f t="shared" si="165"/>
        <v>440</v>
      </c>
      <c r="BE155" s="383">
        <f t="shared" si="166"/>
        <v>0.26515151515151514</v>
      </c>
      <c r="BF155" s="380">
        <f t="shared" si="167"/>
        <v>140</v>
      </c>
      <c r="BG155" s="383">
        <f t="shared" si="168"/>
        <v>0.56818181818181823</v>
      </c>
      <c r="BH155" s="380">
        <f t="shared" si="169"/>
        <v>300</v>
      </c>
      <c r="BI155" s="490">
        <v>0</v>
      </c>
      <c r="BJ155" s="506">
        <v>0.84</v>
      </c>
      <c r="BK155" s="384">
        <f t="shared" si="182"/>
        <v>443.52</v>
      </c>
      <c r="BL155" s="385">
        <f t="shared" si="183"/>
        <v>11.399999999999999</v>
      </c>
      <c r="BM155" s="468">
        <v>4</v>
      </c>
      <c r="BN155" s="468" t="s">
        <v>290</v>
      </c>
      <c r="BO155" s="383">
        <f t="shared" si="170"/>
        <v>0.75757575757575757</v>
      </c>
      <c r="BP155" s="380">
        <f t="shared" si="171"/>
        <v>400</v>
      </c>
      <c r="BQ155" s="385">
        <f t="shared" si="172"/>
        <v>1.2800000000000002</v>
      </c>
      <c r="BR155" s="506">
        <v>0.76</v>
      </c>
      <c r="BS155" s="380">
        <f t="shared" si="173"/>
        <v>401.28000000000003</v>
      </c>
      <c r="BT155" s="468">
        <v>0</v>
      </c>
      <c r="BU155" s="383">
        <f t="shared" si="174"/>
        <v>0</v>
      </c>
      <c r="BV155" s="385">
        <f t="shared" si="175"/>
        <v>5.28</v>
      </c>
      <c r="BW155" s="494">
        <v>0</v>
      </c>
      <c r="BX155" s="516"/>
      <c r="BY155" s="518"/>
      <c r="BZ155" s="804"/>
      <c r="CA155" s="807"/>
      <c r="CB155" s="386" t="str">
        <f t="shared" si="176"/>
        <v>To be realised</v>
      </c>
      <c r="CC155" s="468">
        <v>0</v>
      </c>
      <c r="CD155" s="468">
        <v>13</v>
      </c>
      <c r="CE155" s="387">
        <f t="shared" si="177"/>
        <v>0</v>
      </c>
      <c r="CF155" s="388">
        <f t="shared" si="178"/>
        <v>1</v>
      </c>
      <c r="CG155" s="380">
        <f t="shared" si="179"/>
        <v>528</v>
      </c>
      <c r="CH155" s="722" t="str">
        <f t="shared" si="180"/>
        <v>Column BN to be completed</v>
      </c>
      <c r="CI155" s="484" t="s">
        <v>898</v>
      </c>
      <c r="CJ155" s="494">
        <v>1</v>
      </c>
      <c r="CK155" s="405">
        <f t="shared" si="184"/>
        <v>528</v>
      </c>
      <c r="CL155" s="484">
        <v>0</v>
      </c>
      <c r="CM155" s="389" t="str">
        <f t="shared" si="181"/>
        <v>No coverage</v>
      </c>
      <c r="CN155" s="490">
        <v>0</v>
      </c>
      <c r="CO155" s="485" t="s">
        <v>65</v>
      </c>
      <c r="CP155" s="525"/>
    </row>
    <row r="156" spans="2:94" s="40" customFormat="1" ht="30.75" customHeight="1" x14ac:dyDescent="0.2">
      <c r="B156" s="465" t="s">
        <v>154</v>
      </c>
      <c r="C156" s="466" t="s">
        <v>584</v>
      </c>
      <c r="D156" s="467" t="s">
        <v>260</v>
      </c>
      <c r="E156" s="466" t="s">
        <v>611</v>
      </c>
      <c r="F156" s="467">
        <v>97.541793999999996</v>
      </c>
      <c r="G156" s="467">
        <v>24.752471</v>
      </c>
      <c r="H156" s="467" t="s">
        <v>449</v>
      </c>
      <c r="I156" s="467" t="s">
        <v>221</v>
      </c>
      <c r="J156" s="467"/>
      <c r="K156" s="467"/>
      <c r="L156" s="468"/>
      <c r="M156" s="468">
        <v>391</v>
      </c>
      <c r="N156" s="468"/>
      <c r="O156" s="468">
        <v>391</v>
      </c>
      <c r="P156" s="376" t="str">
        <f t="shared" si="148"/>
        <v>1. Small</v>
      </c>
      <c r="Q156" s="717" t="s">
        <v>807</v>
      </c>
      <c r="R156" s="469"/>
      <c r="S156" s="477" t="s">
        <v>232</v>
      </c>
      <c r="T156" s="398" t="str">
        <f t="shared" si="149"/>
        <v>Covered</v>
      </c>
      <c r="U156" s="478">
        <v>42429</v>
      </c>
      <c r="V156" s="469" t="s">
        <v>252</v>
      </c>
      <c r="W156" s="395" t="str">
        <f t="shared" si="150"/>
        <v>Documented</v>
      </c>
      <c r="X156" s="484">
        <v>0</v>
      </c>
      <c r="Y156" s="468">
        <v>0</v>
      </c>
      <c r="Z156" s="801"/>
      <c r="AA156" s="485" t="s">
        <v>19</v>
      </c>
      <c r="AB156" s="484">
        <v>0</v>
      </c>
      <c r="AC156" s="490">
        <v>0</v>
      </c>
      <c r="AD156" s="491">
        <v>6000</v>
      </c>
      <c r="AE156" s="497">
        <v>0</v>
      </c>
      <c r="AF156" s="498">
        <v>1</v>
      </c>
      <c r="AG156" s="797"/>
      <c r="AH156" s="401">
        <f t="shared" si="151"/>
        <v>1</v>
      </c>
      <c r="AI156" s="378">
        <f t="shared" si="152"/>
        <v>391</v>
      </c>
      <c r="AJ156" s="379">
        <f t="shared" si="153"/>
        <v>1</v>
      </c>
      <c r="AK156" s="380">
        <f t="shared" si="154"/>
        <v>391</v>
      </c>
      <c r="AL156" s="377">
        <f t="shared" si="155"/>
        <v>1</v>
      </c>
      <c r="AM156" s="380">
        <f t="shared" si="156"/>
        <v>391</v>
      </c>
      <c r="AN156" s="381" t="str">
        <f t="shared" si="157"/>
        <v>80-100%</v>
      </c>
      <c r="AO156" s="377">
        <f t="shared" si="158"/>
        <v>0</v>
      </c>
      <c r="AP156" s="382">
        <f t="shared" si="159"/>
        <v>0</v>
      </c>
      <c r="AQ156" s="380">
        <f t="shared" si="160"/>
        <v>0.97750000000000004</v>
      </c>
      <c r="AR156" s="380">
        <f t="shared" si="161"/>
        <v>0</v>
      </c>
      <c r="AS156" s="380">
        <f t="shared" si="162"/>
        <v>0</v>
      </c>
      <c r="AT156" s="501">
        <v>1</v>
      </c>
      <c r="AU156" s="502">
        <f t="shared" si="163"/>
        <v>391</v>
      </c>
      <c r="AV156" s="491"/>
      <c r="AW156" s="747">
        <v>0</v>
      </c>
      <c r="AX156" s="468">
        <v>8</v>
      </c>
      <c r="AY156" s="468"/>
      <c r="AZ156" s="468">
        <v>20</v>
      </c>
      <c r="BA156" s="468"/>
      <c r="BB156" s="468" t="s">
        <v>290</v>
      </c>
      <c r="BC156" s="383">
        <f t="shared" si="164"/>
        <v>1</v>
      </c>
      <c r="BD156" s="380">
        <f t="shared" si="165"/>
        <v>391</v>
      </c>
      <c r="BE156" s="383">
        <f t="shared" si="166"/>
        <v>0</v>
      </c>
      <c r="BF156" s="380">
        <f t="shared" si="167"/>
        <v>0</v>
      </c>
      <c r="BG156" s="383">
        <f t="shared" si="168"/>
        <v>1</v>
      </c>
      <c r="BH156" s="380">
        <f t="shared" si="169"/>
        <v>391</v>
      </c>
      <c r="BI156" s="490">
        <v>0</v>
      </c>
      <c r="BJ156" s="506">
        <v>1</v>
      </c>
      <c r="BK156" s="384">
        <f t="shared" si="182"/>
        <v>391</v>
      </c>
      <c r="BL156" s="385">
        <f t="shared" si="183"/>
        <v>0</v>
      </c>
      <c r="BM156" s="468">
        <v>4</v>
      </c>
      <c r="BN156" s="468" t="s">
        <v>290</v>
      </c>
      <c r="BO156" s="383">
        <f t="shared" si="170"/>
        <v>1</v>
      </c>
      <c r="BP156" s="380">
        <f t="shared" si="171"/>
        <v>391</v>
      </c>
      <c r="BQ156" s="385">
        <f t="shared" si="172"/>
        <v>0</v>
      </c>
      <c r="BR156" s="506">
        <v>1</v>
      </c>
      <c r="BS156" s="380">
        <f t="shared" si="173"/>
        <v>391</v>
      </c>
      <c r="BT156" s="468">
        <v>1</v>
      </c>
      <c r="BU156" s="383">
        <f t="shared" si="174"/>
        <v>0.25575447570332482</v>
      </c>
      <c r="BV156" s="385">
        <f t="shared" si="175"/>
        <v>2.91</v>
      </c>
      <c r="BW156" s="494">
        <v>0.26</v>
      </c>
      <c r="BX156" s="516"/>
      <c r="BY156" s="518"/>
      <c r="BZ156" s="804"/>
      <c r="CA156" s="807"/>
      <c r="CB156" s="386" t="str">
        <f t="shared" si="176"/>
        <v>To be realised</v>
      </c>
      <c r="CC156" s="468">
        <v>0</v>
      </c>
      <c r="CD156" s="468">
        <v>13</v>
      </c>
      <c r="CE156" s="387">
        <f t="shared" si="177"/>
        <v>0</v>
      </c>
      <c r="CF156" s="388">
        <f t="shared" si="178"/>
        <v>1</v>
      </c>
      <c r="CG156" s="380">
        <f t="shared" si="179"/>
        <v>391</v>
      </c>
      <c r="CH156" s="722" t="str">
        <f t="shared" si="180"/>
        <v>Column BN to be completed</v>
      </c>
      <c r="CI156" s="484" t="s">
        <v>898</v>
      </c>
      <c r="CJ156" s="494">
        <v>1</v>
      </c>
      <c r="CK156" s="405">
        <f t="shared" si="184"/>
        <v>391</v>
      </c>
      <c r="CL156" s="484">
        <v>0</v>
      </c>
      <c r="CM156" s="389" t="str">
        <f t="shared" si="181"/>
        <v>No coverage</v>
      </c>
      <c r="CN156" s="490">
        <v>0</v>
      </c>
      <c r="CO156" s="485" t="s">
        <v>65</v>
      </c>
      <c r="CP156" s="525"/>
    </row>
    <row r="157" spans="2:94" s="40" customFormat="1" ht="30.75" customHeight="1" x14ac:dyDescent="0.2">
      <c r="B157" s="465" t="s">
        <v>154</v>
      </c>
      <c r="C157" s="466" t="s">
        <v>582</v>
      </c>
      <c r="D157" s="467" t="s">
        <v>257</v>
      </c>
      <c r="E157" s="466" t="s">
        <v>155</v>
      </c>
      <c r="F157" s="467">
        <v>97.408302000000006</v>
      </c>
      <c r="G157" s="467">
        <v>25.324567999999999</v>
      </c>
      <c r="H157" s="467" t="s">
        <v>448</v>
      </c>
      <c r="I157" s="467" t="s">
        <v>213</v>
      </c>
      <c r="J157" s="467"/>
      <c r="K157" s="467"/>
      <c r="L157" s="468">
        <v>110</v>
      </c>
      <c r="M157" s="468">
        <v>508</v>
      </c>
      <c r="N157" s="468"/>
      <c r="O157" s="468">
        <v>508</v>
      </c>
      <c r="P157" s="376" t="str">
        <f t="shared" si="148"/>
        <v>2. Medium</v>
      </c>
      <c r="Q157" s="717" t="s">
        <v>804</v>
      </c>
      <c r="R157" s="469" t="s">
        <v>275</v>
      </c>
      <c r="S157" s="477" t="s">
        <v>275</v>
      </c>
      <c r="T157" s="398" t="str">
        <f t="shared" si="149"/>
        <v>Covered</v>
      </c>
      <c r="U157" s="478">
        <v>42429</v>
      </c>
      <c r="V157" s="469" t="s">
        <v>252</v>
      </c>
      <c r="W157" s="395" t="str">
        <f t="shared" si="150"/>
        <v>Documented</v>
      </c>
      <c r="X157" s="484">
        <v>0</v>
      </c>
      <c r="Y157" s="468">
        <v>0</v>
      </c>
      <c r="Z157" s="801"/>
      <c r="AA157" s="485" t="s">
        <v>19</v>
      </c>
      <c r="AB157" s="484">
        <v>3</v>
      </c>
      <c r="AC157" s="490">
        <v>1</v>
      </c>
      <c r="AD157" s="491">
        <v>3600</v>
      </c>
      <c r="AE157" s="497">
        <v>0</v>
      </c>
      <c r="AF157" s="498">
        <v>0</v>
      </c>
      <c r="AG157" s="797"/>
      <c r="AH157" s="401">
        <f t="shared" si="151"/>
        <v>1</v>
      </c>
      <c r="AI157" s="378">
        <f t="shared" si="152"/>
        <v>508</v>
      </c>
      <c r="AJ157" s="379">
        <f t="shared" si="153"/>
        <v>1</v>
      </c>
      <c r="AK157" s="380">
        <f t="shared" si="154"/>
        <v>508</v>
      </c>
      <c r="AL157" s="377">
        <f t="shared" si="155"/>
        <v>1</v>
      </c>
      <c r="AM157" s="380">
        <f t="shared" si="156"/>
        <v>508</v>
      </c>
      <c r="AN157" s="381" t="str">
        <f t="shared" si="157"/>
        <v>80-100%</v>
      </c>
      <c r="AO157" s="377">
        <f t="shared" si="158"/>
        <v>0</v>
      </c>
      <c r="AP157" s="382">
        <f t="shared" si="159"/>
        <v>0</v>
      </c>
      <c r="AQ157" s="380">
        <f t="shared" si="160"/>
        <v>0</v>
      </c>
      <c r="AR157" s="380">
        <f t="shared" si="161"/>
        <v>0</v>
      </c>
      <c r="AS157" s="380">
        <f t="shared" si="162"/>
        <v>0</v>
      </c>
      <c r="AT157" s="501">
        <v>1</v>
      </c>
      <c r="AU157" s="502">
        <f t="shared" si="163"/>
        <v>508</v>
      </c>
      <c r="AV157" s="491"/>
      <c r="AW157" s="747">
        <v>0</v>
      </c>
      <c r="AX157" s="468">
        <v>2</v>
      </c>
      <c r="AY157" s="468"/>
      <c r="AZ157" s="468">
        <v>22</v>
      </c>
      <c r="BA157" s="468"/>
      <c r="BB157" s="468" t="s">
        <v>289</v>
      </c>
      <c r="BC157" s="383">
        <f t="shared" si="164"/>
        <v>0.94488188976377951</v>
      </c>
      <c r="BD157" s="380">
        <f t="shared" si="165"/>
        <v>480</v>
      </c>
      <c r="BE157" s="383">
        <f t="shared" si="166"/>
        <v>7.8740157480314932E-2</v>
      </c>
      <c r="BF157" s="380">
        <f t="shared" si="167"/>
        <v>39.999999999999986</v>
      </c>
      <c r="BG157" s="383">
        <f t="shared" si="168"/>
        <v>0.86614173228346458</v>
      </c>
      <c r="BH157" s="380">
        <f t="shared" si="169"/>
        <v>440</v>
      </c>
      <c r="BI157" s="490">
        <v>0</v>
      </c>
      <c r="BJ157" s="506">
        <v>0.94</v>
      </c>
      <c r="BK157" s="384">
        <f t="shared" si="182"/>
        <v>477.52</v>
      </c>
      <c r="BL157" s="385">
        <f t="shared" si="183"/>
        <v>3.3999999999999986</v>
      </c>
      <c r="BM157" s="468">
        <v>4</v>
      </c>
      <c r="BN157" s="468" t="s">
        <v>290</v>
      </c>
      <c r="BO157" s="383">
        <f t="shared" si="170"/>
        <v>0.78740157480314965</v>
      </c>
      <c r="BP157" s="380">
        <f t="shared" si="171"/>
        <v>400</v>
      </c>
      <c r="BQ157" s="385">
        <f t="shared" si="172"/>
        <v>1.08</v>
      </c>
      <c r="BR157" s="506">
        <v>0.79</v>
      </c>
      <c r="BS157" s="380">
        <f t="shared" si="173"/>
        <v>401.32</v>
      </c>
      <c r="BT157" s="468">
        <v>7</v>
      </c>
      <c r="BU157" s="383">
        <f t="shared" si="174"/>
        <v>1</v>
      </c>
      <c r="BV157" s="385">
        <f t="shared" si="175"/>
        <v>0</v>
      </c>
      <c r="BW157" s="494">
        <v>1</v>
      </c>
      <c r="BX157" s="516" t="s">
        <v>864</v>
      </c>
      <c r="BY157" s="518">
        <v>42048</v>
      </c>
      <c r="BZ157" s="804"/>
      <c r="CA157" s="807"/>
      <c r="CB157" s="386">
        <f t="shared" si="176"/>
        <v>42413</v>
      </c>
      <c r="CC157" s="468">
        <v>110</v>
      </c>
      <c r="CD157" s="468">
        <v>5</v>
      </c>
      <c r="CE157" s="387">
        <f t="shared" si="177"/>
        <v>0</v>
      </c>
      <c r="CF157" s="388">
        <f t="shared" si="178"/>
        <v>1</v>
      </c>
      <c r="CG157" s="380">
        <f t="shared" si="179"/>
        <v>508</v>
      </c>
      <c r="CH157" s="722">
        <f t="shared" si="180"/>
        <v>2</v>
      </c>
      <c r="CI157" s="484"/>
      <c r="CJ157" s="494">
        <v>1</v>
      </c>
      <c r="CK157" s="405">
        <f t="shared" si="184"/>
        <v>508</v>
      </c>
      <c r="CL157" s="484">
        <v>2</v>
      </c>
      <c r="CM157" s="389" t="str">
        <f t="shared" si="181"/>
        <v>Excellent coverage</v>
      </c>
      <c r="CN157" s="490">
        <v>0</v>
      </c>
      <c r="CO157" s="485" t="s">
        <v>292</v>
      </c>
      <c r="CP157" s="525"/>
    </row>
    <row r="158" spans="2:94" s="40" customFormat="1" ht="30.75" customHeight="1" x14ac:dyDescent="0.2">
      <c r="B158" s="465" t="s">
        <v>154</v>
      </c>
      <c r="C158" s="466" t="s">
        <v>583</v>
      </c>
      <c r="D158" s="467" t="s">
        <v>260</v>
      </c>
      <c r="E158" s="466" t="s">
        <v>156</v>
      </c>
      <c r="F158" s="467">
        <v>97.807182999999995</v>
      </c>
      <c r="G158" s="467">
        <v>25.200333000000001</v>
      </c>
      <c r="H158" s="467" t="s">
        <v>448</v>
      </c>
      <c r="I158" s="467" t="s">
        <v>221</v>
      </c>
      <c r="J158" s="467"/>
      <c r="K158" s="467"/>
      <c r="L158" s="468">
        <v>172</v>
      </c>
      <c r="M158" s="468">
        <v>1212</v>
      </c>
      <c r="N158" s="468"/>
      <c r="O158" s="468">
        <v>1212</v>
      </c>
      <c r="P158" s="376" t="str">
        <f t="shared" si="148"/>
        <v>2. Medium</v>
      </c>
      <c r="Q158" s="717" t="s">
        <v>805</v>
      </c>
      <c r="R158" s="469" t="s">
        <v>234</v>
      </c>
      <c r="S158" s="477" t="s">
        <v>234</v>
      </c>
      <c r="T158" s="398" t="str">
        <f t="shared" si="149"/>
        <v>Covered</v>
      </c>
      <c r="U158" s="478">
        <v>42429</v>
      </c>
      <c r="V158" s="469" t="s">
        <v>252</v>
      </c>
      <c r="W158" s="395" t="str">
        <f t="shared" si="150"/>
        <v>Documented</v>
      </c>
      <c r="X158" s="484">
        <v>0</v>
      </c>
      <c r="Y158" s="468">
        <v>0</v>
      </c>
      <c r="Z158" s="801"/>
      <c r="AA158" s="485" t="s">
        <v>19</v>
      </c>
      <c r="AB158" s="484">
        <v>0</v>
      </c>
      <c r="AC158" s="490">
        <v>0</v>
      </c>
      <c r="AD158" s="491">
        <v>30000</v>
      </c>
      <c r="AE158" s="497">
        <v>0</v>
      </c>
      <c r="AF158" s="498">
        <v>0</v>
      </c>
      <c r="AG158" s="797"/>
      <c r="AH158" s="401">
        <f t="shared" si="151"/>
        <v>1</v>
      </c>
      <c r="AI158" s="378">
        <f t="shared" si="152"/>
        <v>1212</v>
      </c>
      <c r="AJ158" s="379">
        <f t="shared" si="153"/>
        <v>1</v>
      </c>
      <c r="AK158" s="380">
        <f t="shared" si="154"/>
        <v>1212</v>
      </c>
      <c r="AL158" s="377">
        <f t="shared" si="155"/>
        <v>1</v>
      </c>
      <c r="AM158" s="380">
        <f t="shared" si="156"/>
        <v>1212</v>
      </c>
      <c r="AN158" s="381" t="str">
        <f t="shared" si="157"/>
        <v>80-100%</v>
      </c>
      <c r="AO158" s="377">
        <f t="shared" si="158"/>
        <v>0</v>
      </c>
      <c r="AP158" s="382">
        <f t="shared" si="159"/>
        <v>0</v>
      </c>
      <c r="AQ158" s="380">
        <f t="shared" si="160"/>
        <v>3.03</v>
      </c>
      <c r="AR158" s="380">
        <f t="shared" si="161"/>
        <v>0</v>
      </c>
      <c r="AS158" s="380">
        <f t="shared" si="162"/>
        <v>0</v>
      </c>
      <c r="AT158" s="501">
        <v>1</v>
      </c>
      <c r="AU158" s="502">
        <f t="shared" si="163"/>
        <v>1212</v>
      </c>
      <c r="AV158" s="491"/>
      <c r="AW158" s="747">
        <v>11</v>
      </c>
      <c r="AX158" s="468">
        <v>70</v>
      </c>
      <c r="AY158" s="468"/>
      <c r="AZ158" s="468">
        <v>0</v>
      </c>
      <c r="BA158" s="468"/>
      <c r="BB158" s="468" t="s">
        <v>289</v>
      </c>
      <c r="BC158" s="383">
        <f t="shared" si="164"/>
        <v>1</v>
      </c>
      <c r="BD158" s="380">
        <f t="shared" si="165"/>
        <v>1212</v>
      </c>
      <c r="BE158" s="383">
        <f t="shared" si="166"/>
        <v>1</v>
      </c>
      <c r="BF158" s="380">
        <f t="shared" si="167"/>
        <v>1212</v>
      </c>
      <c r="BG158" s="383">
        <f t="shared" si="168"/>
        <v>0</v>
      </c>
      <c r="BH158" s="380">
        <f t="shared" si="169"/>
        <v>0</v>
      </c>
      <c r="BI158" s="490">
        <v>0</v>
      </c>
      <c r="BJ158" s="506">
        <v>1</v>
      </c>
      <c r="BK158" s="384">
        <f t="shared" si="182"/>
        <v>1212</v>
      </c>
      <c r="BL158" s="385">
        <f t="shared" si="183"/>
        <v>60.6</v>
      </c>
      <c r="BM158" s="468">
        <v>3</v>
      </c>
      <c r="BN158" s="468" t="s">
        <v>290</v>
      </c>
      <c r="BO158" s="383">
        <f t="shared" si="170"/>
        <v>0.24752475247524752</v>
      </c>
      <c r="BP158" s="380">
        <f t="shared" si="171"/>
        <v>300</v>
      </c>
      <c r="BQ158" s="385">
        <f t="shared" si="172"/>
        <v>9.1199999999999992</v>
      </c>
      <c r="BR158" s="506">
        <v>0.25</v>
      </c>
      <c r="BS158" s="380">
        <f t="shared" si="173"/>
        <v>303</v>
      </c>
      <c r="BT158" s="468">
        <v>0</v>
      </c>
      <c r="BU158" s="383">
        <f t="shared" si="174"/>
        <v>0</v>
      </c>
      <c r="BV158" s="385">
        <f t="shared" si="175"/>
        <v>12.12</v>
      </c>
      <c r="BW158" s="494">
        <v>0</v>
      </c>
      <c r="BX158" s="516" t="s">
        <v>865</v>
      </c>
      <c r="BY158" s="518">
        <v>42053</v>
      </c>
      <c r="BZ158" s="804"/>
      <c r="CA158" s="807"/>
      <c r="CB158" s="386">
        <f t="shared" si="176"/>
        <v>42418</v>
      </c>
      <c r="CC158" s="468">
        <v>170</v>
      </c>
      <c r="CD158" s="468">
        <v>4</v>
      </c>
      <c r="CE158" s="387">
        <f t="shared" si="177"/>
        <v>2</v>
      </c>
      <c r="CF158" s="388">
        <f t="shared" si="178"/>
        <v>0.98837209302325579</v>
      </c>
      <c r="CG158" s="380">
        <f t="shared" si="179"/>
        <v>1197.9069767441861</v>
      </c>
      <c r="CH158" s="722">
        <f t="shared" si="180"/>
        <v>2</v>
      </c>
      <c r="CI158" s="484" t="s">
        <v>896</v>
      </c>
      <c r="CJ158" s="494">
        <v>1</v>
      </c>
      <c r="CK158" s="405">
        <f t="shared" si="184"/>
        <v>1212</v>
      </c>
      <c r="CL158" s="484">
        <v>2</v>
      </c>
      <c r="CM158" s="389" t="str">
        <f t="shared" si="181"/>
        <v>Good coverage</v>
      </c>
      <c r="CN158" s="490">
        <v>0</v>
      </c>
      <c r="CO158" s="485" t="s">
        <v>292</v>
      </c>
      <c r="CP158" s="525"/>
    </row>
    <row r="159" spans="2:94" s="40" customFormat="1" ht="30.75" customHeight="1" x14ac:dyDescent="0.2">
      <c r="B159" s="465" t="s">
        <v>154</v>
      </c>
      <c r="C159" s="466" t="s">
        <v>585</v>
      </c>
      <c r="D159" s="467" t="s">
        <v>257</v>
      </c>
      <c r="E159" s="466" t="s">
        <v>157</v>
      </c>
      <c r="F159" s="467">
        <v>97.451965000000001</v>
      </c>
      <c r="G159" s="467">
        <v>25.356632000000001</v>
      </c>
      <c r="H159" s="467" t="s">
        <v>448</v>
      </c>
      <c r="I159" s="467" t="s">
        <v>213</v>
      </c>
      <c r="J159" s="467"/>
      <c r="K159" s="467"/>
      <c r="L159" s="468">
        <v>22</v>
      </c>
      <c r="M159" s="468">
        <v>115</v>
      </c>
      <c r="N159" s="468"/>
      <c r="O159" s="468">
        <v>115</v>
      </c>
      <c r="P159" s="376" t="str">
        <f t="shared" si="148"/>
        <v>1. Small</v>
      </c>
      <c r="Q159" s="717" t="s">
        <v>805</v>
      </c>
      <c r="R159" s="469" t="s">
        <v>275</v>
      </c>
      <c r="S159" s="477" t="s">
        <v>234</v>
      </c>
      <c r="T159" s="398" t="str">
        <f t="shared" si="149"/>
        <v>Covered</v>
      </c>
      <c r="U159" s="478">
        <v>42369</v>
      </c>
      <c r="V159" s="469" t="s">
        <v>252</v>
      </c>
      <c r="W159" s="395" t="str">
        <f t="shared" si="150"/>
        <v>Documented</v>
      </c>
      <c r="X159" s="484">
        <v>0</v>
      </c>
      <c r="Y159" s="468">
        <v>0</v>
      </c>
      <c r="Z159" s="801"/>
      <c r="AA159" s="485" t="s">
        <v>19</v>
      </c>
      <c r="AB159" s="484">
        <v>1</v>
      </c>
      <c r="AC159" s="490">
        <v>0</v>
      </c>
      <c r="AD159" s="491">
        <v>2000</v>
      </c>
      <c r="AE159" s="497">
        <v>0</v>
      </c>
      <c r="AF159" s="498">
        <v>1</v>
      </c>
      <c r="AG159" s="797"/>
      <c r="AH159" s="401">
        <f t="shared" si="151"/>
        <v>1</v>
      </c>
      <c r="AI159" s="378">
        <f t="shared" si="152"/>
        <v>115</v>
      </c>
      <c r="AJ159" s="379">
        <f t="shared" si="153"/>
        <v>1</v>
      </c>
      <c r="AK159" s="380">
        <f t="shared" si="154"/>
        <v>115</v>
      </c>
      <c r="AL159" s="377">
        <f t="shared" si="155"/>
        <v>1</v>
      </c>
      <c r="AM159" s="380">
        <f t="shared" si="156"/>
        <v>115</v>
      </c>
      <c r="AN159" s="381" t="str">
        <f t="shared" si="157"/>
        <v>80-100%</v>
      </c>
      <c r="AO159" s="377">
        <f t="shared" si="158"/>
        <v>0</v>
      </c>
      <c r="AP159" s="382">
        <f t="shared" si="159"/>
        <v>0</v>
      </c>
      <c r="AQ159" s="380">
        <f t="shared" si="160"/>
        <v>0</v>
      </c>
      <c r="AR159" s="380">
        <f t="shared" si="161"/>
        <v>22</v>
      </c>
      <c r="AS159" s="380">
        <f t="shared" si="162"/>
        <v>0</v>
      </c>
      <c r="AT159" s="501">
        <v>1</v>
      </c>
      <c r="AU159" s="502">
        <f t="shared" si="163"/>
        <v>115</v>
      </c>
      <c r="AV159" s="491"/>
      <c r="AW159" s="747">
        <v>80</v>
      </c>
      <c r="AX159" s="468">
        <v>0</v>
      </c>
      <c r="AY159" s="468"/>
      <c r="AZ159" s="468">
        <v>6</v>
      </c>
      <c r="BA159" s="468"/>
      <c r="BB159" s="468" t="s">
        <v>289</v>
      </c>
      <c r="BC159" s="383">
        <f t="shared" si="164"/>
        <v>1</v>
      </c>
      <c r="BD159" s="380">
        <f t="shared" si="165"/>
        <v>115</v>
      </c>
      <c r="BE159" s="383">
        <f t="shared" si="166"/>
        <v>0</v>
      </c>
      <c r="BF159" s="380">
        <f t="shared" si="167"/>
        <v>0</v>
      </c>
      <c r="BG159" s="383">
        <f t="shared" si="168"/>
        <v>1</v>
      </c>
      <c r="BH159" s="380">
        <f t="shared" si="169"/>
        <v>115</v>
      </c>
      <c r="BI159" s="490">
        <v>0</v>
      </c>
      <c r="BJ159" s="506">
        <v>1</v>
      </c>
      <c r="BK159" s="384">
        <f t="shared" si="182"/>
        <v>115</v>
      </c>
      <c r="BL159" s="385">
        <f t="shared" si="183"/>
        <v>0</v>
      </c>
      <c r="BM159" s="468">
        <v>2</v>
      </c>
      <c r="BN159" s="468" t="s">
        <v>89</v>
      </c>
      <c r="BO159" s="383">
        <f t="shared" si="170"/>
        <v>1</v>
      </c>
      <c r="BP159" s="380">
        <f t="shared" si="171"/>
        <v>115</v>
      </c>
      <c r="BQ159" s="385">
        <f t="shared" si="172"/>
        <v>0</v>
      </c>
      <c r="BR159" s="506">
        <v>1</v>
      </c>
      <c r="BS159" s="380">
        <f t="shared" si="173"/>
        <v>115</v>
      </c>
      <c r="BT159" s="468">
        <v>0</v>
      </c>
      <c r="BU159" s="383">
        <f t="shared" si="174"/>
        <v>0</v>
      </c>
      <c r="BV159" s="385">
        <f t="shared" si="175"/>
        <v>1.1499999999999999</v>
      </c>
      <c r="BW159" s="494">
        <v>0</v>
      </c>
      <c r="BX159" s="516" t="s">
        <v>866</v>
      </c>
      <c r="BY159" s="518">
        <v>42053</v>
      </c>
      <c r="BZ159" s="804"/>
      <c r="CA159" s="807"/>
      <c r="CB159" s="386">
        <f t="shared" si="176"/>
        <v>42418</v>
      </c>
      <c r="CC159" s="468">
        <v>21</v>
      </c>
      <c r="CD159" s="468">
        <v>4</v>
      </c>
      <c r="CE159" s="387">
        <f t="shared" si="177"/>
        <v>1</v>
      </c>
      <c r="CF159" s="388">
        <f t="shared" si="178"/>
        <v>0.95454545454545459</v>
      </c>
      <c r="CG159" s="380">
        <f t="shared" si="179"/>
        <v>109.77272727272728</v>
      </c>
      <c r="CH159" s="722">
        <f t="shared" si="180"/>
        <v>2</v>
      </c>
      <c r="CI159" s="484" t="s">
        <v>896</v>
      </c>
      <c r="CJ159" s="494">
        <v>1</v>
      </c>
      <c r="CK159" s="405">
        <f t="shared" si="184"/>
        <v>115</v>
      </c>
      <c r="CL159" s="484">
        <v>2</v>
      </c>
      <c r="CM159" s="389" t="str">
        <f t="shared" si="181"/>
        <v>Excellent coverage</v>
      </c>
      <c r="CN159" s="490">
        <v>0</v>
      </c>
      <c r="CO159" s="485" t="s">
        <v>292</v>
      </c>
      <c r="CP159" s="525"/>
    </row>
    <row r="160" spans="2:94" s="40" customFormat="1" ht="30.75" customHeight="1" x14ac:dyDescent="0.2">
      <c r="B160" s="465" t="s">
        <v>154</v>
      </c>
      <c r="C160" s="466" t="s">
        <v>586</v>
      </c>
      <c r="D160" s="467" t="s">
        <v>260</v>
      </c>
      <c r="E160" s="466" t="s">
        <v>158</v>
      </c>
      <c r="F160" s="467">
        <v>97.715230000000005</v>
      </c>
      <c r="G160" s="467">
        <v>24.980250000000002</v>
      </c>
      <c r="H160" s="467" t="s">
        <v>448</v>
      </c>
      <c r="I160" s="467" t="s">
        <v>221</v>
      </c>
      <c r="J160" s="467"/>
      <c r="K160" s="467"/>
      <c r="L160" s="468">
        <v>657</v>
      </c>
      <c r="M160" s="468">
        <v>2619</v>
      </c>
      <c r="N160" s="468"/>
      <c r="O160" s="468">
        <v>2619</v>
      </c>
      <c r="P160" s="376" t="str">
        <f t="shared" si="148"/>
        <v>4. Big</v>
      </c>
      <c r="Q160" s="717" t="s">
        <v>805</v>
      </c>
      <c r="R160" s="469" t="s">
        <v>276</v>
      </c>
      <c r="S160" s="477" t="s">
        <v>299</v>
      </c>
      <c r="T160" s="398" t="str">
        <f t="shared" si="149"/>
        <v>Not covered</v>
      </c>
      <c r="U160" s="478" t="s">
        <v>626</v>
      </c>
      <c r="V160" s="469" t="s">
        <v>252</v>
      </c>
      <c r="W160" s="395" t="str">
        <f t="shared" si="150"/>
        <v>Documented</v>
      </c>
      <c r="X160" s="484">
        <v>0</v>
      </c>
      <c r="Y160" s="468">
        <v>0</v>
      </c>
      <c r="Z160" s="801"/>
      <c r="AA160" s="485" t="s">
        <v>19</v>
      </c>
      <c r="AB160" s="484">
        <v>0</v>
      </c>
      <c r="AC160" s="490">
        <v>0</v>
      </c>
      <c r="AD160" s="491">
        <v>45000</v>
      </c>
      <c r="AE160" s="497">
        <v>0</v>
      </c>
      <c r="AF160" s="498">
        <v>0</v>
      </c>
      <c r="AG160" s="797"/>
      <c r="AH160" s="401">
        <f t="shared" si="151"/>
        <v>1</v>
      </c>
      <c r="AI160" s="378">
        <f t="shared" si="152"/>
        <v>2619</v>
      </c>
      <c r="AJ160" s="379">
        <f t="shared" si="153"/>
        <v>1</v>
      </c>
      <c r="AK160" s="380">
        <f t="shared" si="154"/>
        <v>2619</v>
      </c>
      <c r="AL160" s="377">
        <f t="shared" si="155"/>
        <v>1</v>
      </c>
      <c r="AM160" s="380">
        <f t="shared" si="156"/>
        <v>2619</v>
      </c>
      <c r="AN160" s="381" t="str">
        <f t="shared" si="157"/>
        <v>80-100%</v>
      </c>
      <c r="AO160" s="377">
        <f t="shared" si="158"/>
        <v>0</v>
      </c>
      <c r="AP160" s="382">
        <f t="shared" si="159"/>
        <v>0</v>
      </c>
      <c r="AQ160" s="380">
        <f t="shared" si="160"/>
        <v>6.5475000000000003</v>
      </c>
      <c r="AR160" s="380">
        <f t="shared" si="161"/>
        <v>0</v>
      </c>
      <c r="AS160" s="380">
        <f t="shared" si="162"/>
        <v>0</v>
      </c>
      <c r="AT160" s="501">
        <v>1</v>
      </c>
      <c r="AU160" s="502">
        <f t="shared" si="163"/>
        <v>2619</v>
      </c>
      <c r="AV160" s="491"/>
      <c r="AW160" s="747">
        <v>0</v>
      </c>
      <c r="AX160" s="468">
        <v>229</v>
      </c>
      <c r="AY160" s="468"/>
      <c r="AZ160" s="468">
        <v>0</v>
      </c>
      <c r="BA160" s="468"/>
      <c r="BB160" s="468" t="s">
        <v>289</v>
      </c>
      <c r="BC160" s="383">
        <f t="shared" si="164"/>
        <v>1</v>
      </c>
      <c r="BD160" s="380">
        <f t="shared" si="165"/>
        <v>2619</v>
      </c>
      <c r="BE160" s="383">
        <f t="shared" si="166"/>
        <v>1</v>
      </c>
      <c r="BF160" s="380">
        <f t="shared" si="167"/>
        <v>2619</v>
      </c>
      <c r="BG160" s="383">
        <f t="shared" si="168"/>
        <v>0</v>
      </c>
      <c r="BH160" s="380">
        <f t="shared" si="169"/>
        <v>0</v>
      </c>
      <c r="BI160" s="490">
        <v>0</v>
      </c>
      <c r="BJ160" s="506">
        <v>1</v>
      </c>
      <c r="BK160" s="384">
        <f t="shared" si="182"/>
        <v>2619</v>
      </c>
      <c r="BL160" s="385">
        <f t="shared" si="183"/>
        <v>130.94999999999999</v>
      </c>
      <c r="BM160" s="468">
        <v>26</v>
      </c>
      <c r="BN160" s="468" t="s">
        <v>290</v>
      </c>
      <c r="BO160" s="383">
        <f t="shared" si="170"/>
        <v>0.99274532264222981</v>
      </c>
      <c r="BP160" s="380">
        <f t="shared" si="171"/>
        <v>2600</v>
      </c>
      <c r="BQ160" s="385">
        <f t="shared" si="172"/>
        <v>0.19000000000000128</v>
      </c>
      <c r="BR160" s="506">
        <v>0.99</v>
      </c>
      <c r="BS160" s="380">
        <f t="shared" si="173"/>
        <v>2592.81</v>
      </c>
      <c r="BT160" s="468">
        <v>0</v>
      </c>
      <c r="BU160" s="383">
        <f t="shared" si="174"/>
        <v>0</v>
      </c>
      <c r="BV160" s="385">
        <f t="shared" si="175"/>
        <v>26.19</v>
      </c>
      <c r="BW160" s="494">
        <v>0</v>
      </c>
      <c r="BX160" s="516" t="s">
        <v>867</v>
      </c>
      <c r="BY160" s="518">
        <v>42053</v>
      </c>
      <c r="BZ160" s="804"/>
      <c r="CA160" s="807"/>
      <c r="CB160" s="386">
        <f t="shared" si="176"/>
        <v>42418</v>
      </c>
      <c r="CC160" s="468">
        <v>645</v>
      </c>
      <c r="CD160" s="468">
        <v>4</v>
      </c>
      <c r="CE160" s="387">
        <f t="shared" si="177"/>
        <v>12</v>
      </c>
      <c r="CF160" s="388">
        <f t="shared" si="178"/>
        <v>0.9817351598173516</v>
      </c>
      <c r="CG160" s="380">
        <f t="shared" si="179"/>
        <v>2571.1643835616437</v>
      </c>
      <c r="CH160" s="722">
        <f t="shared" si="180"/>
        <v>2</v>
      </c>
      <c r="CI160" s="484" t="s">
        <v>896</v>
      </c>
      <c r="CJ160" s="494"/>
      <c r="CK160" s="405">
        <f t="shared" si="184"/>
        <v>0</v>
      </c>
      <c r="CL160" s="484">
        <v>2</v>
      </c>
      <c r="CM160" s="389" t="str">
        <f t="shared" si="181"/>
        <v>Low coverage</v>
      </c>
      <c r="CN160" s="490">
        <v>0</v>
      </c>
      <c r="CO160" s="485" t="s">
        <v>65</v>
      </c>
      <c r="CP160" s="525"/>
    </row>
    <row r="161" spans="2:94" s="40" customFormat="1" ht="30.75" customHeight="1" x14ac:dyDescent="0.2">
      <c r="B161" s="465" t="s">
        <v>154</v>
      </c>
      <c r="C161" s="466" t="s">
        <v>587</v>
      </c>
      <c r="D161" s="467" t="s">
        <v>257</v>
      </c>
      <c r="E161" s="466" t="s">
        <v>159</v>
      </c>
      <c r="F161" s="467">
        <v>97.435233999999994</v>
      </c>
      <c r="G161" s="467">
        <v>25.425276</v>
      </c>
      <c r="H161" s="467" t="s">
        <v>448</v>
      </c>
      <c r="I161" s="467" t="s">
        <v>213</v>
      </c>
      <c r="J161" s="467"/>
      <c r="K161" s="467"/>
      <c r="L161" s="468">
        <v>128</v>
      </c>
      <c r="M161" s="468">
        <v>728</v>
      </c>
      <c r="N161" s="468"/>
      <c r="O161" s="468">
        <v>728</v>
      </c>
      <c r="P161" s="376" t="str">
        <f t="shared" si="148"/>
        <v>2. Medium</v>
      </c>
      <c r="Q161" s="717" t="s">
        <v>804</v>
      </c>
      <c r="R161" s="469" t="s">
        <v>275</v>
      </c>
      <c r="S161" s="477" t="s">
        <v>275</v>
      </c>
      <c r="T161" s="398" t="str">
        <f t="shared" si="149"/>
        <v>Covered</v>
      </c>
      <c r="U161" s="478">
        <v>42429</v>
      </c>
      <c r="V161" s="469" t="s">
        <v>252</v>
      </c>
      <c r="W161" s="395" t="str">
        <f t="shared" si="150"/>
        <v>Documented</v>
      </c>
      <c r="X161" s="484">
        <v>0</v>
      </c>
      <c r="Y161" s="468">
        <v>0</v>
      </c>
      <c r="Z161" s="801"/>
      <c r="AA161" s="485" t="s">
        <v>19</v>
      </c>
      <c r="AB161" s="484">
        <v>4</v>
      </c>
      <c r="AC161" s="490">
        <v>1</v>
      </c>
      <c r="AD161" s="491">
        <v>2500</v>
      </c>
      <c r="AE161" s="497">
        <v>0</v>
      </c>
      <c r="AF161" s="498">
        <v>0</v>
      </c>
      <c r="AG161" s="797"/>
      <c r="AH161" s="401">
        <f t="shared" si="151"/>
        <v>1</v>
      </c>
      <c r="AI161" s="378">
        <f t="shared" si="152"/>
        <v>728</v>
      </c>
      <c r="AJ161" s="379">
        <f t="shared" si="153"/>
        <v>1</v>
      </c>
      <c r="AK161" s="380">
        <f t="shared" si="154"/>
        <v>728</v>
      </c>
      <c r="AL161" s="377">
        <f t="shared" si="155"/>
        <v>1</v>
      </c>
      <c r="AM161" s="380">
        <f t="shared" si="156"/>
        <v>728</v>
      </c>
      <c r="AN161" s="381" t="str">
        <f t="shared" si="157"/>
        <v>80-100%</v>
      </c>
      <c r="AO161" s="377">
        <f t="shared" si="158"/>
        <v>0</v>
      </c>
      <c r="AP161" s="382">
        <f t="shared" si="159"/>
        <v>0</v>
      </c>
      <c r="AQ161" s="380">
        <f t="shared" si="160"/>
        <v>0</v>
      </c>
      <c r="AR161" s="380">
        <f t="shared" si="161"/>
        <v>0</v>
      </c>
      <c r="AS161" s="380">
        <f t="shared" si="162"/>
        <v>0</v>
      </c>
      <c r="AT161" s="501">
        <v>1</v>
      </c>
      <c r="AU161" s="502">
        <f t="shared" si="163"/>
        <v>728</v>
      </c>
      <c r="AV161" s="491"/>
      <c r="AW161" s="747">
        <v>0</v>
      </c>
      <c r="AX161" s="468">
        <v>2</v>
      </c>
      <c r="AY161" s="468"/>
      <c r="AZ161" s="468">
        <v>22</v>
      </c>
      <c r="BA161" s="468"/>
      <c r="BB161" s="468" t="s">
        <v>289</v>
      </c>
      <c r="BC161" s="383">
        <f t="shared" si="164"/>
        <v>0.65934065934065933</v>
      </c>
      <c r="BD161" s="380">
        <f t="shared" si="165"/>
        <v>480</v>
      </c>
      <c r="BE161" s="383">
        <f t="shared" si="166"/>
        <v>5.4945054945054972E-2</v>
      </c>
      <c r="BF161" s="380">
        <f t="shared" si="167"/>
        <v>40.000000000000021</v>
      </c>
      <c r="BG161" s="383">
        <f t="shared" si="168"/>
        <v>0.60439560439560436</v>
      </c>
      <c r="BH161" s="380">
        <f t="shared" si="169"/>
        <v>440</v>
      </c>
      <c r="BI161" s="490">
        <v>0</v>
      </c>
      <c r="BJ161" s="506">
        <v>0.66</v>
      </c>
      <c r="BK161" s="384">
        <f t="shared" si="182"/>
        <v>480.48</v>
      </c>
      <c r="BL161" s="385">
        <f t="shared" si="183"/>
        <v>14.399999999999999</v>
      </c>
      <c r="BM161" s="468">
        <v>4</v>
      </c>
      <c r="BN161" s="468" t="s">
        <v>290</v>
      </c>
      <c r="BO161" s="383">
        <f t="shared" si="170"/>
        <v>0.5494505494505495</v>
      </c>
      <c r="BP161" s="380">
        <f t="shared" si="171"/>
        <v>400.00000000000006</v>
      </c>
      <c r="BQ161" s="385">
        <f t="shared" si="172"/>
        <v>3.2800000000000002</v>
      </c>
      <c r="BR161" s="506">
        <v>0.55000000000000004</v>
      </c>
      <c r="BS161" s="380">
        <f t="shared" si="173"/>
        <v>400.40000000000003</v>
      </c>
      <c r="BT161" s="468">
        <v>4</v>
      </c>
      <c r="BU161" s="383">
        <f t="shared" si="174"/>
        <v>0.5494505494505495</v>
      </c>
      <c r="BV161" s="385">
        <f t="shared" si="175"/>
        <v>3.2800000000000002</v>
      </c>
      <c r="BW161" s="494">
        <v>1</v>
      </c>
      <c r="BX161" s="516"/>
      <c r="BY161" s="518">
        <v>42048</v>
      </c>
      <c r="BZ161" s="804"/>
      <c r="CA161" s="807"/>
      <c r="CB161" s="386">
        <f t="shared" si="176"/>
        <v>42413</v>
      </c>
      <c r="CC161" s="468">
        <v>128</v>
      </c>
      <c r="CD161" s="468">
        <v>5</v>
      </c>
      <c r="CE161" s="387">
        <f t="shared" si="177"/>
        <v>0</v>
      </c>
      <c r="CF161" s="388">
        <f t="shared" si="178"/>
        <v>1</v>
      </c>
      <c r="CG161" s="380">
        <f t="shared" si="179"/>
        <v>728</v>
      </c>
      <c r="CH161" s="722">
        <f t="shared" si="180"/>
        <v>2</v>
      </c>
      <c r="CI161" s="484"/>
      <c r="CJ161" s="494">
        <v>1</v>
      </c>
      <c r="CK161" s="405">
        <f t="shared" si="184"/>
        <v>728</v>
      </c>
      <c r="CL161" s="484">
        <v>2</v>
      </c>
      <c r="CM161" s="389" t="str">
        <f t="shared" si="181"/>
        <v>Excellent coverage</v>
      </c>
      <c r="CN161" s="490">
        <v>0</v>
      </c>
      <c r="CO161" s="485" t="s">
        <v>292</v>
      </c>
      <c r="CP161" s="525"/>
    </row>
    <row r="162" spans="2:94" s="40" customFormat="1" ht="30.75" customHeight="1" x14ac:dyDescent="0.2">
      <c r="B162" s="465" t="s">
        <v>154</v>
      </c>
      <c r="C162" s="466" t="s">
        <v>588</v>
      </c>
      <c r="D162" s="467" t="s">
        <v>257</v>
      </c>
      <c r="E162" s="466" t="s">
        <v>160</v>
      </c>
      <c r="F162" s="467">
        <v>97.438450000000003</v>
      </c>
      <c r="G162" s="467">
        <v>25.415900000000001</v>
      </c>
      <c r="H162" s="467" t="s">
        <v>448</v>
      </c>
      <c r="I162" s="467" t="s">
        <v>213</v>
      </c>
      <c r="J162" s="467"/>
      <c r="K162" s="467"/>
      <c r="L162" s="468">
        <v>238</v>
      </c>
      <c r="M162" s="468">
        <v>1234</v>
      </c>
      <c r="N162" s="468"/>
      <c r="O162" s="468">
        <v>1234</v>
      </c>
      <c r="P162" s="376" t="str">
        <f t="shared" si="148"/>
        <v>2. Medium</v>
      </c>
      <c r="Q162" s="717" t="s">
        <v>825</v>
      </c>
      <c r="R162" s="469" t="s">
        <v>230</v>
      </c>
      <c r="S162" s="477" t="s">
        <v>299</v>
      </c>
      <c r="T162" s="398" t="str">
        <f t="shared" si="149"/>
        <v>Not covered</v>
      </c>
      <c r="U162" s="478" t="s">
        <v>626</v>
      </c>
      <c r="V162" s="469" t="s">
        <v>252</v>
      </c>
      <c r="W162" s="395" t="str">
        <f t="shared" si="150"/>
        <v>Documented</v>
      </c>
      <c r="X162" s="484">
        <v>0</v>
      </c>
      <c r="Y162" s="468">
        <v>0</v>
      </c>
      <c r="Z162" s="801"/>
      <c r="AA162" s="485" t="s">
        <v>19</v>
      </c>
      <c r="AB162" s="484">
        <v>10</v>
      </c>
      <c r="AC162" s="490">
        <v>1</v>
      </c>
      <c r="AD162" s="491">
        <v>15000</v>
      </c>
      <c r="AE162" s="497">
        <v>0</v>
      </c>
      <c r="AF162" s="498">
        <v>1</v>
      </c>
      <c r="AG162" s="797"/>
      <c r="AH162" s="401">
        <f t="shared" si="151"/>
        <v>1</v>
      </c>
      <c r="AI162" s="378">
        <f t="shared" si="152"/>
        <v>1234</v>
      </c>
      <c r="AJ162" s="379">
        <f t="shared" si="153"/>
        <v>1</v>
      </c>
      <c r="AK162" s="380">
        <f t="shared" si="154"/>
        <v>1234</v>
      </c>
      <c r="AL162" s="377">
        <f t="shared" si="155"/>
        <v>1</v>
      </c>
      <c r="AM162" s="380">
        <f t="shared" si="156"/>
        <v>1234</v>
      </c>
      <c r="AN162" s="381" t="str">
        <f t="shared" si="157"/>
        <v>80-100%</v>
      </c>
      <c r="AO162" s="377">
        <f t="shared" si="158"/>
        <v>0</v>
      </c>
      <c r="AP162" s="382">
        <f t="shared" si="159"/>
        <v>0</v>
      </c>
      <c r="AQ162" s="380">
        <f t="shared" si="160"/>
        <v>0</v>
      </c>
      <c r="AR162" s="380">
        <f t="shared" si="161"/>
        <v>238</v>
      </c>
      <c r="AS162" s="380">
        <f t="shared" si="162"/>
        <v>0</v>
      </c>
      <c r="AT162" s="501">
        <v>1</v>
      </c>
      <c r="AU162" s="502">
        <f t="shared" si="163"/>
        <v>1234</v>
      </c>
      <c r="AV162" s="491"/>
      <c r="AW162" s="747">
        <v>0</v>
      </c>
      <c r="AX162" s="468">
        <v>32</v>
      </c>
      <c r="AY162" s="468"/>
      <c r="AZ162" s="468">
        <v>16</v>
      </c>
      <c r="BA162" s="468"/>
      <c r="BB162" s="468" t="s">
        <v>289</v>
      </c>
      <c r="BC162" s="383">
        <f t="shared" si="164"/>
        <v>0.77795786061588335</v>
      </c>
      <c r="BD162" s="380">
        <f t="shared" si="165"/>
        <v>960</v>
      </c>
      <c r="BE162" s="383">
        <f t="shared" si="166"/>
        <v>0.5186385737439223</v>
      </c>
      <c r="BF162" s="380">
        <f t="shared" si="167"/>
        <v>640.00000000000011</v>
      </c>
      <c r="BG162" s="383">
        <f t="shared" si="168"/>
        <v>0.2593192868719611</v>
      </c>
      <c r="BH162" s="380">
        <f t="shared" si="169"/>
        <v>320</v>
      </c>
      <c r="BI162" s="490">
        <v>0</v>
      </c>
      <c r="BJ162" s="506">
        <v>1</v>
      </c>
      <c r="BK162" s="384">
        <f t="shared" si="182"/>
        <v>1234</v>
      </c>
      <c r="BL162" s="385">
        <f t="shared" si="183"/>
        <v>45.7</v>
      </c>
      <c r="BM162" s="468">
        <v>4</v>
      </c>
      <c r="BN162" s="468" t="s">
        <v>290</v>
      </c>
      <c r="BO162" s="383">
        <f t="shared" si="170"/>
        <v>0.32414910858995138</v>
      </c>
      <c r="BP162" s="380">
        <f t="shared" si="171"/>
        <v>400</v>
      </c>
      <c r="BQ162" s="385">
        <f t="shared" si="172"/>
        <v>8.34</v>
      </c>
      <c r="BR162" s="506">
        <v>1</v>
      </c>
      <c r="BS162" s="380">
        <f t="shared" si="173"/>
        <v>1234</v>
      </c>
      <c r="BT162" s="468">
        <v>0</v>
      </c>
      <c r="BU162" s="383">
        <f t="shared" si="174"/>
        <v>0</v>
      </c>
      <c r="BV162" s="385">
        <f t="shared" si="175"/>
        <v>12.34</v>
      </c>
      <c r="BW162" s="494">
        <v>0</v>
      </c>
      <c r="BX162" s="516" t="s">
        <v>868</v>
      </c>
      <c r="BY162" s="518">
        <v>41781</v>
      </c>
      <c r="BZ162" s="804"/>
      <c r="CA162" s="807"/>
      <c r="CB162" s="386" t="str">
        <f t="shared" si="176"/>
        <v>To be realised</v>
      </c>
      <c r="CC162" s="468">
        <v>238</v>
      </c>
      <c r="CD162" s="468">
        <v>2</v>
      </c>
      <c r="CE162" s="387">
        <f t="shared" si="177"/>
        <v>238</v>
      </c>
      <c r="CF162" s="388">
        <f t="shared" si="178"/>
        <v>0</v>
      </c>
      <c r="CG162" s="380">
        <f t="shared" si="179"/>
        <v>0</v>
      </c>
      <c r="CH162" s="722">
        <f t="shared" si="180"/>
        <v>14</v>
      </c>
      <c r="CI162" s="484"/>
      <c r="CJ162" s="494"/>
      <c r="CK162" s="405">
        <f t="shared" si="184"/>
        <v>0</v>
      </c>
      <c r="CL162" s="484">
        <v>4</v>
      </c>
      <c r="CM162" s="389" t="str">
        <f t="shared" si="181"/>
        <v>Excellent coverage</v>
      </c>
      <c r="CN162" s="490">
        <v>0</v>
      </c>
      <c r="CO162" s="485" t="s">
        <v>292</v>
      </c>
      <c r="CP162" s="525"/>
    </row>
    <row r="163" spans="2:94" s="40" customFormat="1" ht="30.75" customHeight="1" x14ac:dyDescent="0.2">
      <c r="B163" s="465" t="s">
        <v>154</v>
      </c>
      <c r="C163" s="466" t="s">
        <v>589</v>
      </c>
      <c r="D163" s="467" t="s">
        <v>257</v>
      </c>
      <c r="E163" s="466" t="s">
        <v>161</v>
      </c>
      <c r="F163" s="467">
        <v>97.437434999999994</v>
      </c>
      <c r="G163" s="467">
        <v>25.411413</v>
      </c>
      <c r="H163" s="467" t="s">
        <v>448</v>
      </c>
      <c r="I163" s="467" t="s">
        <v>213</v>
      </c>
      <c r="J163" s="467"/>
      <c r="K163" s="467"/>
      <c r="L163" s="468">
        <v>421</v>
      </c>
      <c r="M163" s="468">
        <v>2071</v>
      </c>
      <c r="N163" s="468"/>
      <c r="O163" s="468">
        <v>2071</v>
      </c>
      <c r="P163" s="376" t="str">
        <f t="shared" si="148"/>
        <v>3. Large</v>
      </c>
      <c r="Q163" s="717" t="s">
        <v>805</v>
      </c>
      <c r="R163" s="469" t="s">
        <v>234</v>
      </c>
      <c r="S163" s="477" t="s">
        <v>299</v>
      </c>
      <c r="T163" s="398" t="str">
        <f t="shared" si="149"/>
        <v>Not covered</v>
      </c>
      <c r="U163" s="478" t="s">
        <v>626</v>
      </c>
      <c r="V163" s="469" t="s">
        <v>252</v>
      </c>
      <c r="W163" s="395" t="str">
        <f t="shared" si="150"/>
        <v>Documented</v>
      </c>
      <c r="X163" s="484">
        <v>0</v>
      </c>
      <c r="Y163" s="468">
        <v>0</v>
      </c>
      <c r="Z163" s="801"/>
      <c r="AA163" s="485" t="s">
        <v>19</v>
      </c>
      <c r="AB163" s="484">
        <v>8</v>
      </c>
      <c r="AC163" s="490">
        <v>0</v>
      </c>
      <c r="AD163" s="491">
        <v>16800</v>
      </c>
      <c r="AE163" s="497">
        <v>0</v>
      </c>
      <c r="AF163" s="498">
        <v>1</v>
      </c>
      <c r="AG163" s="797"/>
      <c r="AH163" s="401">
        <f t="shared" si="151"/>
        <v>1</v>
      </c>
      <c r="AI163" s="378">
        <f t="shared" si="152"/>
        <v>2071</v>
      </c>
      <c r="AJ163" s="379">
        <f t="shared" si="153"/>
        <v>1</v>
      </c>
      <c r="AK163" s="380">
        <f t="shared" si="154"/>
        <v>2071</v>
      </c>
      <c r="AL163" s="377">
        <f t="shared" si="155"/>
        <v>1</v>
      </c>
      <c r="AM163" s="380">
        <f t="shared" si="156"/>
        <v>2071</v>
      </c>
      <c r="AN163" s="381" t="str">
        <f t="shared" si="157"/>
        <v>80-100%</v>
      </c>
      <c r="AO163" s="377">
        <f t="shared" si="158"/>
        <v>0</v>
      </c>
      <c r="AP163" s="382">
        <f t="shared" si="159"/>
        <v>0</v>
      </c>
      <c r="AQ163" s="380">
        <f t="shared" si="160"/>
        <v>0</v>
      </c>
      <c r="AR163" s="380">
        <f t="shared" si="161"/>
        <v>421</v>
      </c>
      <c r="AS163" s="380">
        <f t="shared" si="162"/>
        <v>0</v>
      </c>
      <c r="AT163" s="501">
        <v>1</v>
      </c>
      <c r="AU163" s="502">
        <f t="shared" si="163"/>
        <v>2071</v>
      </c>
      <c r="AV163" s="491"/>
      <c r="AW163" s="747">
        <v>6</v>
      </c>
      <c r="AX163" s="468">
        <v>0</v>
      </c>
      <c r="AY163" s="468"/>
      <c r="AZ163" s="468">
        <v>132</v>
      </c>
      <c r="BA163" s="468"/>
      <c r="BB163" s="468" t="s">
        <v>289</v>
      </c>
      <c r="BC163" s="383">
        <f t="shared" si="164"/>
        <v>1</v>
      </c>
      <c r="BD163" s="380">
        <f t="shared" si="165"/>
        <v>2071</v>
      </c>
      <c r="BE163" s="383">
        <f t="shared" si="166"/>
        <v>0</v>
      </c>
      <c r="BF163" s="380">
        <f t="shared" si="167"/>
        <v>0</v>
      </c>
      <c r="BG163" s="383">
        <f t="shared" si="168"/>
        <v>1</v>
      </c>
      <c r="BH163" s="380">
        <f t="shared" si="169"/>
        <v>2071</v>
      </c>
      <c r="BI163" s="490">
        <v>4</v>
      </c>
      <c r="BJ163" s="506">
        <v>1</v>
      </c>
      <c r="BK163" s="384">
        <f t="shared" si="182"/>
        <v>2071</v>
      </c>
      <c r="BL163" s="385">
        <f t="shared" si="183"/>
        <v>0</v>
      </c>
      <c r="BM163" s="468">
        <v>6</v>
      </c>
      <c r="BN163" s="468" t="s">
        <v>290</v>
      </c>
      <c r="BO163" s="383">
        <f t="shared" si="170"/>
        <v>0.28971511347175277</v>
      </c>
      <c r="BP163" s="380">
        <f t="shared" si="171"/>
        <v>600</v>
      </c>
      <c r="BQ163" s="385">
        <f t="shared" si="172"/>
        <v>14.71</v>
      </c>
      <c r="BR163" s="506">
        <v>1</v>
      </c>
      <c r="BS163" s="380">
        <f t="shared" si="173"/>
        <v>2071</v>
      </c>
      <c r="BT163" s="468">
        <v>0</v>
      </c>
      <c r="BU163" s="383">
        <f t="shared" si="174"/>
        <v>0</v>
      </c>
      <c r="BV163" s="385">
        <f t="shared" si="175"/>
        <v>20.71</v>
      </c>
      <c r="BW163" s="494">
        <v>0</v>
      </c>
      <c r="BX163" s="516" t="s">
        <v>869</v>
      </c>
      <c r="BY163" s="518">
        <v>42053</v>
      </c>
      <c r="BZ163" s="804"/>
      <c r="CA163" s="807"/>
      <c r="CB163" s="386">
        <f t="shared" si="176"/>
        <v>42418</v>
      </c>
      <c r="CC163" s="468">
        <v>415</v>
      </c>
      <c r="CD163" s="468">
        <v>4</v>
      </c>
      <c r="CE163" s="387">
        <f t="shared" si="177"/>
        <v>6</v>
      </c>
      <c r="CF163" s="388">
        <f t="shared" si="178"/>
        <v>0.98574821852731587</v>
      </c>
      <c r="CG163" s="380">
        <f t="shared" si="179"/>
        <v>2041.4845605700712</v>
      </c>
      <c r="CH163" s="722">
        <f t="shared" si="180"/>
        <v>2</v>
      </c>
      <c r="CI163" s="484" t="s">
        <v>896</v>
      </c>
      <c r="CJ163" s="494"/>
      <c r="CK163" s="405">
        <f t="shared" si="184"/>
        <v>0</v>
      </c>
      <c r="CL163" s="484">
        <v>2</v>
      </c>
      <c r="CM163" s="389" t="str">
        <f t="shared" si="181"/>
        <v>Low coverage</v>
      </c>
      <c r="CN163" s="490">
        <v>0</v>
      </c>
      <c r="CO163" s="485" t="s">
        <v>292</v>
      </c>
      <c r="CP163" s="525"/>
    </row>
    <row r="164" spans="2:94" s="40" customFormat="1" ht="30.75" customHeight="1" x14ac:dyDescent="0.2">
      <c r="B164" s="465" t="s">
        <v>154</v>
      </c>
      <c r="C164" s="466" t="s">
        <v>590</v>
      </c>
      <c r="D164" s="467" t="s">
        <v>257</v>
      </c>
      <c r="E164" s="466" t="s">
        <v>162</v>
      </c>
      <c r="F164" s="467">
        <v>97.426297000000005</v>
      </c>
      <c r="G164" s="467">
        <v>25.409566000000002</v>
      </c>
      <c r="H164" s="467" t="s">
        <v>448</v>
      </c>
      <c r="I164" s="467" t="s">
        <v>213</v>
      </c>
      <c r="J164" s="467"/>
      <c r="K164" s="467"/>
      <c r="L164" s="468">
        <v>46</v>
      </c>
      <c r="M164" s="468">
        <v>173</v>
      </c>
      <c r="N164" s="468"/>
      <c r="O164" s="468">
        <v>173</v>
      </c>
      <c r="P164" s="376" t="str">
        <f t="shared" si="148"/>
        <v>1. Small</v>
      </c>
      <c r="Q164" s="717" t="s">
        <v>805</v>
      </c>
      <c r="R164" s="469" t="s">
        <v>234</v>
      </c>
      <c r="S164" s="477" t="s">
        <v>234</v>
      </c>
      <c r="T164" s="398" t="str">
        <f t="shared" si="149"/>
        <v>Covered</v>
      </c>
      <c r="U164" s="478">
        <v>42429</v>
      </c>
      <c r="V164" s="469" t="s">
        <v>252</v>
      </c>
      <c r="W164" s="395" t="str">
        <f t="shared" si="150"/>
        <v>Documented</v>
      </c>
      <c r="X164" s="484">
        <v>0</v>
      </c>
      <c r="Y164" s="468">
        <v>0</v>
      </c>
      <c r="Z164" s="801"/>
      <c r="AA164" s="485" t="s">
        <v>19</v>
      </c>
      <c r="AB164" s="484">
        <v>2</v>
      </c>
      <c r="AC164" s="490">
        <v>0</v>
      </c>
      <c r="AD164" s="491">
        <v>3000</v>
      </c>
      <c r="AE164" s="497">
        <v>0</v>
      </c>
      <c r="AF164" s="498">
        <v>1</v>
      </c>
      <c r="AG164" s="797"/>
      <c r="AH164" s="401">
        <f t="shared" si="151"/>
        <v>1</v>
      </c>
      <c r="AI164" s="378">
        <f t="shared" si="152"/>
        <v>173</v>
      </c>
      <c r="AJ164" s="379">
        <f t="shared" si="153"/>
        <v>1</v>
      </c>
      <c r="AK164" s="380">
        <f t="shared" si="154"/>
        <v>173</v>
      </c>
      <c r="AL164" s="377">
        <f t="shared" si="155"/>
        <v>1</v>
      </c>
      <c r="AM164" s="380">
        <f t="shared" si="156"/>
        <v>173</v>
      </c>
      <c r="AN164" s="381" t="str">
        <f t="shared" si="157"/>
        <v>80-100%</v>
      </c>
      <c r="AO164" s="377">
        <f t="shared" si="158"/>
        <v>0</v>
      </c>
      <c r="AP164" s="382">
        <f t="shared" si="159"/>
        <v>0</v>
      </c>
      <c r="AQ164" s="380">
        <f t="shared" si="160"/>
        <v>0</v>
      </c>
      <c r="AR164" s="380">
        <f t="shared" si="161"/>
        <v>46</v>
      </c>
      <c r="AS164" s="380">
        <f t="shared" si="162"/>
        <v>0</v>
      </c>
      <c r="AT164" s="501">
        <v>1</v>
      </c>
      <c r="AU164" s="502">
        <f t="shared" si="163"/>
        <v>173</v>
      </c>
      <c r="AV164" s="491"/>
      <c r="AW164" s="747">
        <v>44</v>
      </c>
      <c r="AX164" s="468">
        <v>0</v>
      </c>
      <c r="AY164" s="468"/>
      <c r="AZ164" s="468">
        <v>14</v>
      </c>
      <c r="BA164" s="468"/>
      <c r="BB164" s="468" t="s">
        <v>289</v>
      </c>
      <c r="BC164" s="383">
        <f t="shared" si="164"/>
        <v>1</v>
      </c>
      <c r="BD164" s="380">
        <f t="shared" si="165"/>
        <v>173</v>
      </c>
      <c r="BE164" s="383">
        <f t="shared" si="166"/>
        <v>0</v>
      </c>
      <c r="BF164" s="380">
        <f t="shared" si="167"/>
        <v>0</v>
      </c>
      <c r="BG164" s="383">
        <f t="shared" si="168"/>
        <v>1</v>
      </c>
      <c r="BH164" s="380">
        <f t="shared" si="169"/>
        <v>173</v>
      </c>
      <c r="BI164" s="490">
        <v>0</v>
      </c>
      <c r="BJ164" s="506">
        <v>1</v>
      </c>
      <c r="BK164" s="384">
        <f t="shared" si="182"/>
        <v>173</v>
      </c>
      <c r="BL164" s="385">
        <f t="shared" si="183"/>
        <v>0</v>
      </c>
      <c r="BM164" s="468">
        <v>2</v>
      </c>
      <c r="BN164" s="468" t="s">
        <v>291</v>
      </c>
      <c r="BO164" s="383">
        <f t="shared" si="170"/>
        <v>1</v>
      </c>
      <c r="BP164" s="380">
        <f t="shared" si="171"/>
        <v>173</v>
      </c>
      <c r="BQ164" s="385">
        <f t="shared" si="172"/>
        <v>0</v>
      </c>
      <c r="BR164" s="506">
        <v>1</v>
      </c>
      <c r="BS164" s="380">
        <f t="shared" si="173"/>
        <v>173</v>
      </c>
      <c r="BT164" s="468">
        <v>0</v>
      </c>
      <c r="BU164" s="383">
        <f t="shared" si="174"/>
        <v>0</v>
      </c>
      <c r="BV164" s="385">
        <f t="shared" si="175"/>
        <v>1.73</v>
      </c>
      <c r="BW164" s="494">
        <v>0</v>
      </c>
      <c r="BX164" s="516" t="s">
        <v>866</v>
      </c>
      <c r="BY164" s="518">
        <v>42053</v>
      </c>
      <c r="BZ164" s="804"/>
      <c r="CA164" s="807"/>
      <c r="CB164" s="386">
        <f t="shared" si="176"/>
        <v>42418</v>
      </c>
      <c r="CC164" s="468">
        <v>44</v>
      </c>
      <c r="CD164" s="468">
        <v>4</v>
      </c>
      <c r="CE164" s="387">
        <f t="shared" si="177"/>
        <v>2</v>
      </c>
      <c r="CF164" s="388">
        <f t="shared" si="178"/>
        <v>0.95652173913043481</v>
      </c>
      <c r="CG164" s="380">
        <f t="shared" si="179"/>
        <v>165.47826086956522</v>
      </c>
      <c r="CH164" s="722">
        <f t="shared" si="180"/>
        <v>2</v>
      </c>
      <c r="CI164" s="484" t="s">
        <v>896</v>
      </c>
      <c r="CJ164" s="494">
        <v>1</v>
      </c>
      <c r="CK164" s="405">
        <f t="shared" si="184"/>
        <v>173</v>
      </c>
      <c r="CL164" s="484">
        <v>2</v>
      </c>
      <c r="CM164" s="389" t="str">
        <f t="shared" si="181"/>
        <v>Excellent coverage</v>
      </c>
      <c r="CN164" s="490">
        <v>0</v>
      </c>
      <c r="CO164" s="485" t="s">
        <v>65</v>
      </c>
      <c r="CP164" s="525"/>
    </row>
    <row r="165" spans="2:94" s="40" customFormat="1" ht="30.75" customHeight="1" x14ac:dyDescent="0.25">
      <c r="B165" s="465" t="s">
        <v>154</v>
      </c>
      <c r="C165" s="466" t="s">
        <v>591</v>
      </c>
      <c r="D165" s="467" t="s">
        <v>257</v>
      </c>
      <c r="E165" s="466" t="s">
        <v>163</v>
      </c>
      <c r="F165" s="467">
        <v>97.345039</v>
      </c>
      <c r="G165" s="467">
        <v>25.351965</v>
      </c>
      <c r="H165" s="467" t="s">
        <v>448</v>
      </c>
      <c r="I165" s="467" t="s">
        <v>213</v>
      </c>
      <c r="J165" s="467"/>
      <c r="K165" s="467"/>
      <c r="L165" s="468">
        <v>18</v>
      </c>
      <c r="M165" s="468">
        <v>82</v>
      </c>
      <c r="N165" s="468"/>
      <c r="O165" s="468">
        <v>82</v>
      </c>
      <c r="P165" s="376" t="str">
        <f t="shared" ref="P165:P179" si="185">IF(L165&gt;50,IF(L165&gt;250,IF(L165&gt;500,IF(L165&gt;1000,"5. Massive","4. Big"),"3. Large"),"2. Medium"),"1. Small")</f>
        <v>1. Small</v>
      </c>
      <c r="Q165" s="717" t="s">
        <v>804</v>
      </c>
      <c r="R165" s="469" t="s">
        <v>275</v>
      </c>
      <c r="S165" s="477" t="s">
        <v>299</v>
      </c>
      <c r="T165" s="398" t="str">
        <f t="shared" ref="T165:T179" si="186">IF(S165="None","Not covered","Covered")</f>
        <v>Not covered</v>
      </c>
      <c r="U165" s="478" t="s">
        <v>626</v>
      </c>
      <c r="V165" s="469" t="s">
        <v>252</v>
      </c>
      <c r="W165" s="395" t="str">
        <f t="shared" ref="W165:W179" si="187">IF(V165="Not documented","Not documented","Documented")</f>
        <v>Documented</v>
      </c>
      <c r="X165" s="484">
        <v>0</v>
      </c>
      <c r="Y165" s="468">
        <v>0</v>
      </c>
      <c r="Z165" s="801"/>
      <c r="AA165" s="485" t="s">
        <v>19</v>
      </c>
      <c r="AB165" s="484">
        <v>1</v>
      </c>
      <c r="AC165" s="490">
        <v>1</v>
      </c>
      <c r="AD165" s="491">
        <v>0</v>
      </c>
      <c r="AE165" s="497">
        <v>0</v>
      </c>
      <c r="AF165" s="498">
        <v>0</v>
      </c>
      <c r="AG165" s="797"/>
      <c r="AH165" s="401">
        <f t="shared" ref="AH165:AH179" si="188">IF((((X165/15)+((Y165/30)/15)+AB165*400+AC165*500+(AD165/15))/O165)&gt;1,1,(((X165/15)+((Y165/30)/15)+AB165*400+AC165*500+(AD165/15))/O165))</f>
        <v>1</v>
      </c>
      <c r="AI165" s="378">
        <f t="shared" ref="AI165:AI179" si="189">AH165*O165</f>
        <v>82</v>
      </c>
      <c r="AJ165" s="379">
        <f t="shared" ref="AJ165:AJ179" si="190">IF(((AB165*400+AC165*500+(AD165/15))/O165)&gt;1,1,(AB165*400+AC165*500+(AD165/15))/O165)</f>
        <v>1</v>
      </c>
      <c r="AK165" s="380">
        <f t="shared" ref="AK165:AK179" si="191">AJ165*O165</f>
        <v>82</v>
      </c>
      <c r="AL165" s="377">
        <f t="shared" ref="AL165:AL179" si="192">IF(AF165=0,AH165,IF(AF165&lt;AH165,AH165,AF165))</f>
        <v>1</v>
      </c>
      <c r="AM165" s="380">
        <f t="shared" ref="AM165:AM179" si="193">AL165*O165</f>
        <v>82</v>
      </c>
      <c r="AN165" s="381" t="str">
        <f t="shared" ref="AN165:AN179" si="194">IF(AH165&gt;0.15,IF(AH165&gt;0.3,IF(AH165&gt;0.45,IF(AH165&gt;0.6,IF(AH165&gt;0.8,"80-100%","60-80%"),"45-60%"),"30-45%"),"15-30%"),"0-10%")</f>
        <v>80-100%</v>
      </c>
      <c r="AO165" s="377">
        <f t="shared" ref="AO165:AO179" si="195">IF((AH165-AJ165)&lt; 0, 0, AH165-AJ165)</f>
        <v>0</v>
      </c>
      <c r="AP165" s="382">
        <f t="shared" ref="AP165:AP179" si="196">AO165*O165</f>
        <v>0</v>
      </c>
      <c r="AQ165" s="380">
        <f t="shared" ref="AQ165:AQ179" si="197">IF(O165/400-(AB165+AC165)&lt;0,0,O165/400-(AB165+AC165))</f>
        <v>0</v>
      </c>
      <c r="AR165" s="380">
        <f t="shared" ref="AR165:AR179" si="198">AF165*L165</f>
        <v>0</v>
      </c>
      <c r="AS165" s="380">
        <f t="shared" ref="AS165:AS179" si="199">AE165*O165</f>
        <v>0</v>
      </c>
      <c r="AT165" s="501">
        <v>1</v>
      </c>
      <c r="AU165" s="502">
        <f t="shared" ref="AU165:AU179" si="200">AT165*O165</f>
        <v>82</v>
      </c>
      <c r="AV165" s="491"/>
      <c r="AW165" s="747">
        <v>0</v>
      </c>
      <c r="AX165" s="468">
        <v>2</v>
      </c>
      <c r="AY165" s="468"/>
      <c r="AZ165" s="468">
        <v>3</v>
      </c>
      <c r="BA165" s="468"/>
      <c r="BB165" s="468" t="s">
        <v>289</v>
      </c>
      <c r="BC165" s="383">
        <f t="shared" ref="BC165:BC179" si="201">IF((((AX165+AZ165)*20)/O165)&gt;1,1,(((AX165+AZ165)*20)/O165))</f>
        <v>1</v>
      </c>
      <c r="BD165" s="380">
        <f t="shared" ref="BD165:BD179" si="202">BC165*O165</f>
        <v>82</v>
      </c>
      <c r="BE165" s="383">
        <f t="shared" ref="BE165:BE179" si="203">BC165-BG165</f>
        <v>0.26829268292682928</v>
      </c>
      <c r="BF165" s="380">
        <f t="shared" ref="BF165:BF179" si="204">BE165*O165</f>
        <v>22</v>
      </c>
      <c r="BG165" s="383">
        <f t="shared" ref="BG165:BG179" si="205">IF(((AZ165*20)/O165)&gt;1,1,((AZ165*20)/O165))</f>
        <v>0.73170731707317072</v>
      </c>
      <c r="BH165" s="380">
        <f t="shared" ref="BH165:BH179" si="206">BG165*O165</f>
        <v>60</v>
      </c>
      <c r="BI165" s="490">
        <v>0</v>
      </c>
      <c r="BJ165" s="506">
        <v>1</v>
      </c>
      <c r="BK165" s="384">
        <f t="shared" si="182"/>
        <v>82</v>
      </c>
      <c r="BL165" s="385">
        <f t="shared" si="183"/>
        <v>1.0999999999999996</v>
      </c>
      <c r="BM165" s="468">
        <v>1</v>
      </c>
      <c r="BN165" s="468" t="s">
        <v>89</v>
      </c>
      <c r="BO165" s="383">
        <f t="shared" ref="BO165:BO179" si="207">IF((BM165*100/O165)&gt;1,1,(BM165*100/O165))</f>
        <v>1</v>
      </c>
      <c r="BP165" s="380">
        <f t="shared" ref="BP165:BP179" si="208">BO165*O165</f>
        <v>82</v>
      </c>
      <c r="BQ165" s="385">
        <f t="shared" ref="BQ165:BQ179" si="209">IF(M165/100-BM165&lt;0,0,M165/100-BM165)</f>
        <v>0</v>
      </c>
      <c r="BR165" s="506">
        <v>1</v>
      </c>
      <c r="BS165" s="380">
        <f t="shared" ref="BS165:BS179" si="210">BR165*O165</f>
        <v>82</v>
      </c>
      <c r="BT165" s="468">
        <v>1</v>
      </c>
      <c r="BU165" s="383">
        <f t="shared" ref="BU165:BU179" si="211">IF((BT165*100/O165)&gt;1,1,(BT165*100/O165))</f>
        <v>1</v>
      </c>
      <c r="BV165" s="385">
        <f t="shared" ref="BV165:BV179" si="212">IF(M165/100-BT165&lt;0,0,M165/100-BT165)</f>
        <v>0</v>
      </c>
      <c r="BW165" s="494">
        <v>1</v>
      </c>
      <c r="BX165" s="516"/>
      <c r="BY165" s="518">
        <v>42048</v>
      </c>
      <c r="BZ165" s="804"/>
      <c r="CA165" s="807"/>
      <c r="CB165" s="386">
        <f t="shared" ref="CB165:CB179" si="213">IF(BY165="","To be realised",IF(BY165="n/a","n/a",IF(BY165+365&lt;$E$2,"To be realised",BY165+365)))</f>
        <v>42413</v>
      </c>
      <c r="CC165" s="468">
        <v>18</v>
      </c>
      <c r="CD165" s="468">
        <v>5</v>
      </c>
      <c r="CE165" s="387">
        <f t="shared" ref="CE165:CE179" si="214">IF(CB165="n/a",0,IF(CB165="To be realised",L165,IF((L165-CC165)&lt;0,0,(L165-CC165))))</f>
        <v>0</v>
      </c>
      <c r="CF165" s="388">
        <f t="shared" ref="CF165:CF179" si="215">IF(CE165=0,1,(L165-CE165)/L165)</f>
        <v>1</v>
      </c>
      <c r="CG165" s="380">
        <f t="shared" ref="CG165:CG179" si="216">CF165*O165</f>
        <v>82</v>
      </c>
      <c r="CH165" s="722">
        <f t="shared" ref="CH165:CH179" si="217">IF(BY165="","Column BN to be completed", IF(BY165="n/a",0,IF(($E$2-BY165-30)/30-CD165&lt;0,0,ROUND((($E$2-BY165-30)/30-CD165),0))))</f>
        <v>2</v>
      </c>
      <c r="CI165" s="484"/>
      <c r="CJ165" s="494"/>
      <c r="CK165" s="405">
        <f t="shared" si="184"/>
        <v>0</v>
      </c>
      <c r="CL165" s="484">
        <v>1</v>
      </c>
      <c r="CM165" s="389" t="str">
        <f t="shared" ref="CM165:CM179" si="218">IF(CL165=0,"No coverage",IF(O165/CL165&gt;1000,"Low coverage",IF(O165/CL165&gt;750,"Average coverage",IF(O165/CL165&gt;500,"Good coverage","Excellent coverage"))))</f>
        <v>Excellent coverage</v>
      </c>
      <c r="CN165" s="490">
        <v>0</v>
      </c>
      <c r="CO165" s="485" t="s">
        <v>292</v>
      </c>
      <c r="CP165" s="526"/>
    </row>
    <row r="166" spans="2:94" s="40" customFormat="1" ht="30.75" customHeight="1" x14ac:dyDescent="0.2">
      <c r="B166" s="465" t="s">
        <v>154</v>
      </c>
      <c r="C166" s="466" t="s">
        <v>592</v>
      </c>
      <c r="D166" s="467" t="s">
        <v>260</v>
      </c>
      <c r="E166" s="466" t="s">
        <v>199</v>
      </c>
      <c r="F166" s="467">
        <v>97.751389000000003</v>
      </c>
      <c r="G166" s="467">
        <v>24.831944</v>
      </c>
      <c r="H166" s="467" t="s">
        <v>448</v>
      </c>
      <c r="I166" s="467" t="s">
        <v>221</v>
      </c>
      <c r="J166" s="467"/>
      <c r="K166" s="467"/>
      <c r="L166" s="468">
        <v>181</v>
      </c>
      <c r="M166" s="468">
        <v>764</v>
      </c>
      <c r="N166" s="468"/>
      <c r="O166" s="468">
        <v>764</v>
      </c>
      <c r="P166" s="376" t="str">
        <f t="shared" si="185"/>
        <v>2. Medium</v>
      </c>
      <c r="Q166" s="717" t="s">
        <v>805</v>
      </c>
      <c r="R166" s="469" t="s">
        <v>234</v>
      </c>
      <c r="S166" s="477" t="s">
        <v>299</v>
      </c>
      <c r="T166" s="398" t="str">
        <f t="shared" si="186"/>
        <v>Not covered</v>
      </c>
      <c r="U166" s="478" t="s">
        <v>626</v>
      </c>
      <c r="V166" s="469" t="s">
        <v>252</v>
      </c>
      <c r="W166" s="395" t="str">
        <f t="shared" si="187"/>
        <v>Documented</v>
      </c>
      <c r="X166" s="484">
        <v>0</v>
      </c>
      <c r="Y166" s="468">
        <v>0</v>
      </c>
      <c r="Z166" s="801"/>
      <c r="AA166" s="485" t="s">
        <v>19</v>
      </c>
      <c r="AB166" s="484">
        <v>0</v>
      </c>
      <c r="AC166" s="490">
        <v>0</v>
      </c>
      <c r="AD166" s="491">
        <v>12000</v>
      </c>
      <c r="AE166" s="497">
        <v>0</v>
      </c>
      <c r="AF166" s="498">
        <v>0</v>
      </c>
      <c r="AG166" s="797"/>
      <c r="AH166" s="401">
        <f t="shared" si="188"/>
        <v>1</v>
      </c>
      <c r="AI166" s="378">
        <f t="shared" si="189"/>
        <v>764</v>
      </c>
      <c r="AJ166" s="379">
        <f t="shared" si="190"/>
        <v>1</v>
      </c>
      <c r="AK166" s="380">
        <f t="shared" si="191"/>
        <v>764</v>
      </c>
      <c r="AL166" s="377">
        <f t="shared" si="192"/>
        <v>1</v>
      </c>
      <c r="AM166" s="380">
        <f t="shared" si="193"/>
        <v>764</v>
      </c>
      <c r="AN166" s="381" t="str">
        <f t="shared" si="194"/>
        <v>80-100%</v>
      </c>
      <c r="AO166" s="377">
        <f t="shared" si="195"/>
        <v>0</v>
      </c>
      <c r="AP166" s="382">
        <f t="shared" si="196"/>
        <v>0</v>
      </c>
      <c r="AQ166" s="380">
        <f t="shared" si="197"/>
        <v>1.91</v>
      </c>
      <c r="AR166" s="380">
        <f t="shared" si="198"/>
        <v>0</v>
      </c>
      <c r="AS166" s="380">
        <f t="shared" si="199"/>
        <v>0</v>
      </c>
      <c r="AT166" s="501">
        <v>1</v>
      </c>
      <c r="AU166" s="502">
        <f t="shared" si="200"/>
        <v>764</v>
      </c>
      <c r="AV166" s="491"/>
      <c r="AW166" s="747">
        <v>2</v>
      </c>
      <c r="AX166" s="468">
        <v>50</v>
      </c>
      <c r="AY166" s="468"/>
      <c r="AZ166" s="468">
        <v>0</v>
      </c>
      <c r="BA166" s="468"/>
      <c r="BB166" s="468" t="s">
        <v>289</v>
      </c>
      <c r="BC166" s="383">
        <f t="shared" si="201"/>
        <v>1</v>
      </c>
      <c r="BD166" s="380">
        <f t="shared" si="202"/>
        <v>764</v>
      </c>
      <c r="BE166" s="383">
        <f t="shared" si="203"/>
        <v>1</v>
      </c>
      <c r="BF166" s="380">
        <f t="shared" si="204"/>
        <v>764</v>
      </c>
      <c r="BG166" s="383">
        <f t="shared" si="205"/>
        <v>0</v>
      </c>
      <c r="BH166" s="380">
        <f t="shared" si="206"/>
        <v>0</v>
      </c>
      <c r="BI166" s="490">
        <v>0</v>
      </c>
      <c r="BJ166" s="506">
        <v>1</v>
      </c>
      <c r="BK166" s="384">
        <f t="shared" ref="BK166:BK179" si="219">BJ166*O166</f>
        <v>764</v>
      </c>
      <c r="BL166" s="385">
        <f t="shared" ref="BL166:BL179" si="220">IF((O166/20-AZ166+BI166)&lt;0,0,(O166/20-AZ166+BI166))</f>
        <v>38.200000000000003</v>
      </c>
      <c r="BM166" s="468">
        <v>6</v>
      </c>
      <c r="BN166" s="468" t="s">
        <v>290</v>
      </c>
      <c r="BO166" s="383">
        <f t="shared" si="207"/>
        <v>0.78534031413612571</v>
      </c>
      <c r="BP166" s="380">
        <f t="shared" si="208"/>
        <v>600</v>
      </c>
      <c r="BQ166" s="385">
        <f t="shared" si="209"/>
        <v>1.6399999999999997</v>
      </c>
      <c r="BR166" s="506">
        <v>0.79</v>
      </c>
      <c r="BS166" s="380">
        <f t="shared" si="210"/>
        <v>603.56000000000006</v>
      </c>
      <c r="BT166" s="468">
        <v>0</v>
      </c>
      <c r="BU166" s="383">
        <f t="shared" si="211"/>
        <v>0</v>
      </c>
      <c r="BV166" s="385">
        <f t="shared" si="212"/>
        <v>7.64</v>
      </c>
      <c r="BW166" s="494">
        <v>0</v>
      </c>
      <c r="BX166" s="516" t="s">
        <v>870</v>
      </c>
      <c r="BY166" s="518">
        <v>42053</v>
      </c>
      <c r="BZ166" s="804"/>
      <c r="CA166" s="807"/>
      <c r="CB166" s="386">
        <f t="shared" si="213"/>
        <v>42418</v>
      </c>
      <c r="CC166" s="468">
        <v>191</v>
      </c>
      <c r="CD166" s="468">
        <v>4</v>
      </c>
      <c r="CE166" s="387">
        <f t="shared" si="214"/>
        <v>0</v>
      </c>
      <c r="CF166" s="388">
        <f t="shared" si="215"/>
        <v>1</v>
      </c>
      <c r="CG166" s="380">
        <f t="shared" si="216"/>
        <v>764</v>
      </c>
      <c r="CH166" s="722">
        <f t="shared" si="217"/>
        <v>2</v>
      </c>
      <c r="CI166" s="484" t="s">
        <v>896</v>
      </c>
      <c r="CJ166" s="494"/>
      <c r="CK166" s="405">
        <f t="shared" ref="CK166:CK179" si="221">CJ166*O166</f>
        <v>0</v>
      </c>
      <c r="CL166" s="484">
        <v>2</v>
      </c>
      <c r="CM166" s="389" t="str">
        <f t="shared" si="218"/>
        <v>Excellent coverage</v>
      </c>
      <c r="CN166" s="490">
        <v>0</v>
      </c>
      <c r="CO166" s="485" t="s">
        <v>65</v>
      </c>
      <c r="CP166" s="525"/>
    </row>
    <row r="167" spans="2:94" s="40" customFormat="1" ht="30.75" customHeight="1" x14ac:dyDescent="0.2">
      <c r="B167" s="465" t="s">
        <v>154</v>
      </c>
      <c r="C167" s="466" t="s">
        <v>593</v>
      </c>
      <c r="D167" s="467" t="s">
        <v>260</v>
      </c>
      <c r="E167" s="466" t="s">
        <v>164</v>
      </c>
      <c r="F167" s="467">
        <v>97.990555999999998</v>
      </c>
      <c r="G167" s="467">
        <v>25.265277999999999</v>
      </c>
      <c r="H167" s="467" t="s">
        <v>448</v>
      </c>
      <c r="I167" s="467" t="s">
        <v>221</v>
      </c>
      <c r="J167" s="467"/>
      <c r="K167" s="467"/>
      <c r="L167" s="468">
        <v>109</v>
      </c>
      <c r="M167" s="468">
        <v>640</v>
      </c>
      <c r="N167" s="468"/>
      <c r="O167" s="468">
        <v>640</v>
      </c>
      <c r="P167" s="376" t="str">
        <f t="shared" si="185"/>
        <v>2. Medium</v>
      </c>
      <c r="Q167" s="717" t="s">
        <v>825</v>
      </c>
      <c r="R167" s="469" t="s">
        <v>276</v>
      </c>
      <c r="S167" s="477" t="s">
        <v>230</v>
      </c>
      <c r="T167" s="398" t="str">
        <f t="shared" si="186"/>
        <v>Covered</v>
      </c>
      <c r="U167" s="478">
        <v>42429</v>
      </c>
      <c r="V167" s="469" t="s">
        <v>252</v>
      </c>
      <c r="W167" s="395" t="str">
        <f t="shared" si="187"/>
        <v>Documented</v>
      </c>
      <c r="X167" s="484">
        <v>0</v>
      </c>
      <c r="Y167" s="468">
        <v>0</v>
      </c>
      <c r="Z167" s="801"/>
      <c r="AA167" s="485" t="s">
        <v>19</v>
      </c>
      <c r="AB167" s="484">
        <v>0</v>
      </c>
      <c r="AC167" s="490">
        <v>0</v>
      </c>
      <c r="AD167" s="491">
        <v>13000</v>
      </c>
      <c r="AE167" s="497">
        <v>0</v>
      </c>
      <c r="AF167" s="498">
        <v>1</v>
      </c>
      <c r="AG167" s="797"/>
      <c r="AH167" s="401">
        <f t="shared" si="188"/>
        <v>1</v>
      </c>
      <c r="AI167" s="378">
        <f t="shared" si="189"/>
        <v>640</v>
      </c>
      <c r="AJ167" s="379">
        <f t="shared" si="190"/>
        <v>1</v>
      </c>
      <c r="AK167" s="380">
        <f t="shared" si="191"/>
        <v>640</v>
      </c>
      <c r="AL167" s="377">
        <f t="shared" si="192"/>
        <v>1</v>
      </c>
      <c r="AM167" s="380">
        <f t="shared" si="193"/>
        <v>640</v>
      </c>
      <c r="AN167" s="381" t="str">
        <f t="shared" si="194"/>
        <v>80-100%</v>
      </c>
      <c r="AO167" s="377">
        <f t="shared" si="195"/>
        <v>0</v>
      </c>
      <c r="AP167" s="382">
        <f t="shared" si="196"/>
        <v>0</v>
      </c>
      <c r="AQ167" s="380">
        <f t="shared" si="197"/>
        <v>1.6</v>
      </c>
      <c r="AR167" s="380">
        <f t="shared" si="198"/>
        <v>109</v>
      </c>
      <c r="AS167" s="380">
        <f t="shared" si="199"/>
        <v>0</v>
      </c>
      <c r="AT167" s="501">
        <v>1</v>
      </c>
      <c r="AU167" s="502">
        <f t="shared" si="200"/>
        <v>640</v>
      </c>
      <c r="AV167" s="491"/>
      <c r="AW167" s="747">
        <v>0</v>
      </c>
      <c r="AX167" s="468">
        <v>109</v>
      </c>
      <c r="AY167" s="468"/>
      <c r="AZ167" s="468">
        <v>14</v>
      </c>
      <c r="BA167" s="468"/>
      <c r="BB167" s="468" t="s">
        <v>289</v>
      </c>
      <c r="BC167" s="383">
        <f t="shared" si="201"/>
        <v>1</v>
      </c>
      <c r="BD167" s="380">
        <f t="shared" si="202"/>
        <v>640</v>
      </c>
      <c r="BE167" s="383">
        <f t="shared" si="203"/>
        <v>0.5625</v>
      </c>
      <c r="BF167" s="380">
        <f t="shared" si="204"/>
        <v>360</v>
      </c>
      <c r="BG167" s="383">
        <f t="shared" si="205"/>
        <v>0.4375</v>
      </c>
      <c r="BH167" s="380">
        <f t="shared" si="206"/>
        <v>280</v>
      </c>
      <c r="BI167" s="490">
        <v>0</v>
      </c>
      <c r="BJ167" s="506">
        <v>1</v>
      </c>
      <c r="BK167" s="384">
        <f t="shared" si="219"/>
        <v>640</v>
      </c>
      <c r="BL167" s="385">
        <f t="shared" si="220"/>
        <v>18</v>
      </c>
      <c r="BM167" s="468">
        <v>2</v>
      </c>
      <c r="BN167" s="468" t="s">
        <v>290</v>
      </c>
      <c r="BO167" s="383">
        <f t="shared" si="207"/>
        <v>0.3125</v>
      </c>
      <c r="BP167" s="380">
        <f t="shared" si="208"/>
        <v>200</v>
      </c>
      <c r="BQ167" s="385">
        <f t="shared" si="209"/>
        <v>4.4000000000000004</v>
      </c>
      <c r="BR167" s="506">
        <v>0.31</v>
      </c>
      <c r="BS167" s="380">
        <f t="shared" si="210"/>
        <v>198.4</v>
      </c>
      <c r="BT167" s="468">
        <v>4</v>
      </c>
      <c r="BU167" s="383">
        <f t="shared" si="211"/>
        <v>0.625</v>
      </c>
      <c r="BV167" s="385">
        <f t="shared" si="212"/>
        <v>2.4000000000000004</v>
      </c>
      <c r="BW167" s="494">
        <v>0.63</v>
      </c>
      <c r="BX167" s="516" t="s">
        <v>728</v>
      </c>
      <c r="BY167" s="518">
        <v>42123</v>
      </c>
      <c r="BZ167" s="804"/>
      <c r="CA167" s="807"/>
      <c r="CB167" s="386">
        <f t="shared" si="213"/>
        <v>42488</v>
      </c>
      <c r="CC167" s="468">
        <v>109</v>
      </c>
      <c r="CD167" s="468">
        <v>3</v>
      </c>
      <c r="CE167" s="387">
        <f t="shared" si="214"/>
        <v>0</v>
      </c>
      <c r="CF167" s="388">
        <f t="shared" si="215"/>
        <v>1</v>
      </c>
      <c r="CG167" s="380">
        <f t="shared" si="216"/>
        <v>640</v>
      </c>
      <c r="CH167" s="722">
        <f t="shared" si="217"/>
        <v>1</v>
      </c>
      <c r="CI167" s="484" t="s">
        <v>897</v>
      </c>
      <c r="CJ167" s="494">
        <v>0.8</v>
      </c>
      <c r="CK167" s="405">
        <f t="shared" si="221"/>
        <v>512</v>
      </c>
      <c r="CL167" s="484">
        <v>4</v>
      </c>
      <c r="CM167" s="389" t="str">
        <f t="shared" si="218"/>
        <v>Excellent coverage</v>
      </c>
      <c r="CN167" s="490">
        <v>0</v>
      </c>
      <c r="CO167" s="485" t="s">
        <v>65</v>
      </c>
      <c r="CP167" s="525"/>
    </row>
    <row r="168" spans="2:94" s="40" customFormat="1" ht="30.75" customHeight="1" x14ac:dyDescent="0.2">
      <c r="B168" s="465" t="s">
        <v>154</v>
      </c>
      <c r="C168" s="466" t="s">
        <v>594</v>
      </c>
      <c r="D168" s="467" t="s">
        <v>257</v>
      </c>
      <c r="E168" s="466" t="s">
        <v>165</v>
      </c>
      <c r="F168" s="467">
        <v>97.441483000000005</v>
      </c>
      <c r="G168" s="467">
        <v>25.354883999999998</v>
      </c>
      <c r="H168" s="467" t="s">
        <v>448</v>
      </c>
      <c r="I168" s="467" t="s">
        <v>213</v>
      </c>
      <c r="J168" s="467"/>
      <c r="K168" s="467"/>
      <c r="L168" s="468">
        <v>94</v>
      </c>
      <c r="M168" s="468">
        <v>341</v>
      </c>
      <c r="N168" s="468"/>
      <c r="O168" s="468">
        <v>341</v>
      </c>
      <c r="P168" s="376" t="str">
        <f t="shared" si="185"/>
        <v>2. Medium</v>
      </c>
      <c r="Q168" s="717" t="s">
        <v>804</v>
      </c>
      <c r="R168" s="469" t="s">
        <v>275</v>
      </c>
      <c r="S168" s="477" t="s">
        <v>275</v>
      </c>
      <c r="T168" s="398" t="str">
        <f t="shared" si="186"/>
        <v>Covered</v>
      </c>
      <c r="U168" s="478">
        <v>42521</v>
      </c>
      <c r="V168" s="469" t="s">
        <v>252</v>
      </c>
      <c r="W168" s="395" t="str">
        <f t="shared" si="187"/>
        <v>Documented</v>
      </c>
      <c r="X168" s="484">
        <v>0</v>
      </c>
      <c r="Y168" s="468">
        <v>0</v>
      </c>
      <c r="Z168" s="801"/>
      <c r="AA168" s="485" t="s">
        <v>19</v>
      </c>
      <c r="AB168" s="484">
        <v>3</v>
      </c>
      <c r="AC168" s="490">
        <v>1</v>
      </c>
      <c r="AD168" s="491">
        <v>0</v>
      </c>
      <c r="AE168" s="497">
        <v>0</v>
      </c>
      <c r="AF168" s="498">
        <v>0</v>
      </c>
      <c r="AG168" s="797"/>
      <c r="AH168" s="401">
        <f t="shared" si="188"/>
        <v>1</v>
      </c>
      <c r="AI168" s="378">
        <f t="shared" si="189"/>
        <v>341</v>
      </c>
      <c r="AJ168" s="379">
        <f t="shared" si="190"/>
        <v>1</v>
      </c>
      <c r="AK168" s="380">
        <f t="shared" si="191"/>
        <v>341</v>
      </c>
      <c r="AL168" s="377">
        <f t="shared" si="192"/>
        <v>1</v>
      </c>
      <c r="AM168" s="380">
        <f t="shared" si="193"/>
        <v>341</v>
      </c>
      <c r="AN168" s="381" t="str">
        <f t="shared" si="194"/>
        <v>80-100%</v>
      </c>
      <c r="AO168" s="377">
        <f t="shared" si="195"/>
        <v>0</v>
      </c>
      <c r="AP168" s="382">
        <f t="shared" si="196"/>
        <v>0</v>
      </c>
      <c r="AQ168" s="380">
        <f t="shared" si="197"/>
        <v>0</v>
      </c>
      <c r="AR168" s="380">
        <f t="shared" si="198"/>
        <v>0</v>
      </c>
      <c r="AS168" s="380">
        <f t="shared" si="199"/>
        <v>0</v>
      </c>
      <c r="AT168" s="501">
        <v>1</v>
      </c>
      <c r="AU168" s="502">
        <f t="shared" si="200"/>
        <v>341</v>
      </c>
      <c r="AV168" s="491"/>
      <c r="AW168" s="747">
        <v>0</v>
      </c>
      <c r="AX168" s="468">
        <v>0</v>
      </c>
      <c r="AY168" s="468"/>
      <c r="AZ168" s="468">
        <v>10</v>
      </c>
      <c r="BA168" s="468"/>
      <c r="BB168" s="468" t="s">
        <v>289</v>
      </c>
      <c r="BC168" s="383">
        <f t="shared" si="201"/>
        <v>0.5865102639296188</v>
      </c>
      <c r="BD168" s="380">
        <f t="shared" si="202"/>
        <v>200</v>
      </c>
      <c r="BE168" s="383">
        <f t="shared" si="203"/>
        <v>0</v>
      </c>
      <c r="BF168" s="380">
        <f t="shared" si="204"/>
        <v>0</v>
      </c>
      <c r="BG168" s="383">
        <f t="shared" si="205"/>
        <v>0.5865102639296188</v>
      </c>
      <c r="BH168" s="380">
        <f t="shared" si="206"/>
        <v>200</v>
      </c>
      <c r="BI168" s="490">
        <v>0</v>
      </c>
      <c r="BJ168" s="506">
        <v>1</v>
      </c>
      <c r="BK168" s="384">
        <f t="shared" si="219"/>
        <v>341</v>
      </c>
      <c r="BL168" s="385">
        <f t="shared" si="220"/>
        <v>7.0500000000000007</v>
      </c>
      <c r="BM168" s="468">
        <v>3</v>
      </c>
      <c r="BN168" s="468" t="s">
        <v>290</v>
      </c>
      <c r="BO168" s="383">
        <f t="shared" si="207"/>
        <v>0.87976539589442815</v>
      </c>
      <c r="BP168" s="380">
        <f t="shared" si="208"/>
        <v>300</v>
      </c>
      <c r="BQ168" s="385">
        <f t="shared" si="209"/>
        <v>0.41000000000000014</v>
      </c>
      <c r="BR168" s="506">
        <v>0.88</v>
      </c>
      <c r="BS168" s="380">
        <f t="shared" si="210"/>
        <v>300.08</v>
      </c>
      <c r="BT168" s="468">
        <v>3</v>
      </c>
      <c r="BU168" s="383">
        <f t="shared" si="211"/>
        <v>0.87976539589442815</v>
      </c>
      <c r="BV168" s="385">
        <f t="shared" si="212"/>
        <v>0.41000000000000014</v>
      </c>
      <c r="BW168" s="494">
        <v>1</v>
      </c>
      <c r="BX168" s="516" t="s">
        <v>871</v>
      </c>
      <c r="BY168" s="518">
        <v>42048</v>
      </c>
      <c r="BZ168" s="804"/>
      <c r="CA168" s="807"/>
      <c r="CB168" s="386">
        <f t="shared" si="213"/>
        <v>42413</v>
      </c>
      <c r="CC168" s="468">
        <v>102</v>
      </c>
      <c r="CD168" s="468">
        <v>5</v>
      </c>
      <c r="CE168" s="387">
        <f t="shared" si="214"/>
        <v>0</v>
      </c>
      <c r="CF168" s="388">
        <f t="shared" si="215"/>
        <v>1</v>
      </c>
      <c r="CG168" s="380">
        <f t="shared" si="216"/>
        <v>341</v>
      </c>
      <c r="CH168" s="722">
        <f t="shared" si="217"/>
        <v>2</v>
      </c>
      <c r="CI168" s="484"/>
      <c r="CJ168" s="494">
        <v>1</v>
      </c>
      <c r="CK168" s="405">
        <f t="shared" si="221"/>
        <v>341</v>
      </c>
      <c r="CL168" s="484">
        <v>2</v>
      </c>
      <c r="CM168" s="389" t="str">
        <f t="shared" si="218"/>
        <v>Excellent coverage</v>
      </c>
      <c r="CN168" s="490">
        <v>0</v>
      </c>
      <c r="CO168" s="485" t="s">
        <v>292</v>
      </c>
      <c r="CP168" s="525"/>
    </row>
    <row r="169" spans="2:94" s="40" customFormat="1" ht="30.75" customHeight="1" x14ac:dyDescent="0.2">
      <c r="B169" s="465" t="s">
        <v>154</v>
      </c>
      <c r="C169" s="466" t="s">
        <v>595</v>
      </c>
      <c r="D169" s="467" t="s">
        <v>257</v>
      </c>
      <c r="E169" s="466" t="s">
        <v>166</v>
      </c>
      <c r="F169" s="467">
        <v>97.438271</v>
      </c>
      <c r="G169" s="467">
        <v>25.351655000000001</v>
      </c>
      <c r="H169" s="467" t="s">
        <v>448</v>
      </c>
      <c r="I169" s="467" t="s">
        <v>213</v>
      </c>
      <c r="J169" s="467"/>
      <c r="K169" s="467"/>
      <c r="L169" s="468">
        <v>70</v>
      </c>
      <c r="M169" s="468">
        <v>308</v>
      </c>
      <c r="N169" s="468"/>
      <c r="O169" s="468">
        <v>308</v>
      </c>
      <c r="P169" s="376" t="str">
        <f t="shared" si="185"/>
        <v>2. Medium</v>
      </c>
      <c r="Q169" s="717" t="s">
        <v>805</v>
      </c>
      <c r="R169" s="469" t="s">
        <v>234</v>
      </c>
      <c r="S169" s="477" t="s">
        <v>234</v>
      </c>
      <c r="T169" s="398" t="str">
        <f t="shared" si="186"/>
        <v>Covered</v>
      </c>
      <c r="U169" s="478">
        <v>42521</v>
      </c>
      <c r="V169" s="469" t="s">
        <v>252</v>
      </c>
      <c r="W169" s="395" t="str">
        <f t="shared" si="187"/>
        <v>Documented</v>
      </c>
      <c r="X169" s="484">
        <v>0</v>
      </c>
      <c r="Y169" s="468">
        <v>0</v>
      </c>
      <c r="Z169" s="801"/>
      <c r="AA169" s="485" t="s">
        <v>19</v>
      </c>
      <c r="AB169" s="484">
        <v>2</v>
      </c>
      <c r="AC169" s="490">
        <v>1</v>
      </c>
      <c r="AD169" s="491">
        <v>0</v>
      </c>
      <c r="AE169" s="497">
        <v>0</v>
      </c>
      <c r="AF169" s="498">
        <v>1</v>
      </c>
      <c r="AG169" s="797"/>
      <c r="AH169" s="401">
        <f t="shared" si="188"/>
        <v>1</v>
      </c>
      <c r="AI169" s="378">
        <f t="shared" si="189"/>
        <v>308</v>
      </c>
      <c r="AJ169" s="379">
        <f t="shared" si="190"/>
        <v>1</v>
      </c>
      <c r="AK169" s="380">
        <f t="shared" si="191"/>
        <v>308</v>
      </c>
      <c r="AL169" s="377">
        <f t="shared" si="192"/>
        <v>1</v>
      </c>
      <c r="AM169" s="380">
        <f t="shared" si="193"/>
        <v>308</v>
      </c>
      <c r="AN169" s="381" t="str">
        <f t="shared" si="194"/>
        <v>80-100%</v>
      </c>
      <c r="AO169" s="377">
        <f t="shared" si="195"/>
        <v>0</v>
      </c>
      <c r="AP169" s="382">
        <f t="shared" si="196"/>
        <v>0</v>
      </c>
      <c r="AQ169" s="380">
        <f t="shared" si="197"/>
        <v>0</v>
      </c>
      <c r="AR169" s="380">
        <f t="shared" si="198"/>
        <v>70</v>
      </c>
      <c r="AS169" s="380">
        <f t="shared" si="199"/>
        <v>0</v>
      </c>
      <c r="AT169" s="501">
        <v>1</v>
      </c>
      <c r="AU169" s="502">
        <f t="shared" si="200"/>
        <v>308</v>
      </c>
      <c r="AV169" s="491"/>
      <c r="AW169" s="747">
        <v>0</v>
      </c>
      <c r="AX169" s="468">
        <v>0</v>
      </c>
      <c r="AY169" s="468"/>
      <c r="AZ169" s="468">
        <v>12</v>
      </c>
      <c r="BA169" s="468"/>
      <c r="BB169" s="468" t="s">
        <v>289</v>
      </c>
      <c r="BC169" s="383">
        <f t="shared" si="201"/>
        <v>0.77922077922077926</v>
      </c>
      <c r="BD169" s="380">
        <f t="shared" si="202"/>
        <v>240</v>
      </c>
      <c r="BE169" s="383">
        <f t="shared" si="203"/>
        <v>0</v>
      </c>
      <c r="BF169" s="380">
        <f t="shared" si="204"/>
        <v>0</v>
      </c>
      <c r="BG169" s="383">
        <f t="shared" si="205"/>
        <v>0.77922077922077926</v>
      </c>
      <c r="BH169" s="380">
        <f t="shared" si="206"/>
        <v>240</v>
      </c>
      <c r="BI169" s="490">
        <v>0</v>
      </c>
      <c r="BJ169" s="506">
        <v>0.78</v>
      </c>
      <c r="BK169" s="384">
        <f t="shared" si="219"/>
        <v>240.24</v>
      </c>
      <c r="BL169" s="385">
        <f t="shared" si="220"/>
        <v>3.4000000000000004</v>
      </c>
      <c r="BM169" s="468">
        <v>2</v>
      </c>
      <c r="BN169" s="468" t="s">
        <v>290</v>
      </c>
      <c r="BO169" s="383">
        <f t="shared" si="207"/>
        <v>0.64935064935064934</v>
      </c>
      <c r="BP169" s="380">
        <f t="shared" si="208"/>
        <v>200</v>
      </c>
      <c r="BQ169" s="385">
        <f t="shared" si="209"/>
        <v>1.08</v>
      </c>
      <c r="BR169" s="506">
        <v>0.65</v>
      </c>
      <c r="BS169" s="380">
        <f t="shared" si="210"/>
        <v>200.20000000000002</v>
      </c>
      <c r="BT169" s="468">
        <v>0</v>
      </c>
      <c r="BU169" s="383">
        <f t="shared" si="211"/>
        <v>0</v>
      </c>
      <c r="BV169" s="385">
        <f t="shared" si="212"/>
        <v>3.08</v>
      </c>
      <c r="BW169" s="494">
        <v>0</v>
      </c>
      <c r="BX169" s="516" t="s">
        <v>872</v>
      </c>
      <c r="BY169" s="518">
        <v>42053</v>
      </c>
      <c r="BZ169" s="804"/>
      <c r="CA169" s="807"/>
      <c r="CB169" s="386">
        <f t="shared" si="213"/>
        <v>42418</v>
      </c>
      <c r="CC169" s="468">
        <v>67</v>
      </c>
      <c r="CD169" s="468">
        <v>4</v>
      </c>
      <c r="CE169" s="387">
        <f t="shared" si="214"/>
        <v>3</v>
      </c>
      <c r="CF169" s="388">
        <f t="shared" si="215"/>
        <v>0.95714285714285718</v>
      </c>
      <c r="CG169" s="380">
        <f t="shared" si="216"/>
        <v>294.8</v>
      </c>
      <c r="CH169" s="722">
        <f t="shared" si="217"/>
        <v>2</v>
      </c>
      <c r="CI169" s="484" t="s">
        <v>896</v>
      </c>
      <c r="CJ169" s="494">
        <v>1</v>
      </c>
      <c r="CK169" s="405">
        <f t="shared" si="221"/>
        <v>308</v>
      </c>
      <c r="CL169" s="484">
        <v>2</v>
      </c>
      <c r="CM169" s="389" t="str">
        <f t="shared" si="218"/>
        <v>Excellent coverage</v>
      </c>
      <c r="CN169" s="490">
        <v>0</v>
      </c>
      <c r="CO169" s="485" t="s">
        <v>65</v>
      </c>
      <c r="CP169" s="525"/>
    </row>
    <row r="170" spans="2:94" s="40" customFormat="1" ht="30.75" customHeight="1" x14ac:dyDescent="0.2">
      <c r="B170" s="465" t="s">
        <v>154</v>
      </c>
      <c r="C170" s="466" t="s">
        <v>596</v>
      </c>
      <c r="D170" s="467" t="s">
        <v>257</v>
      </c>
      <c r="E170" s="466" t="s">
        <v>167</v>
      </c>
      <c r="F170" s="467">
        <v>97.437568999999996</v>
      </c>
      <c r="G170" s="467">
        <v>25.346004000000001</v>
      </c>
      <c r="H170" s="467" t="s">
        <v>448</v>
      </c>
      <c r="I170" s="467" t="s">
        <v>213</v>
      </c>
      <c r="J170" s="467"/>
      <c r="K170" s="467"/>
      <c r="L170" s="468">
        <v>31</v>
      </c>
      <c r="M170" s="468">
        <v>170</v>
      </c>
      <c r="N170" s="468"/>
      <c r="O170" s="468">
        <v>170</v>
      </c>
      <c r="P170" s="376" t="str">
        <f t="shared" si="185"/>
        <v>1. Small</v>
      </c>
      <c r="Q170" s="717" t="s">
        <v>804</v>
      </c>
      <c r="R170" s="469" t="s">
        <v>275</v>
      </c>
      <c r="S170" s="477" t="s">
        <v>275</v>
      </c>
      <c r="T170" s="398" t="str">
        <f t="shared" si="186"/>
        <v>Covered</v>
      </c>
      <c r="U170" s="478">
        <v>42521</v>
      </c>
      <c r="V170" s="469" t="s">
        <v>252</v>
      </c>
      <c r="W170" s="395" t="str">
        <f t="shared" si="187"/>
        <v>Documented</v>
      </c>
      <c r="X170" s="484">
        <v>0</v>
      </c>
      <c r="Y170" s="468">
        <v>0</v>
      </c>
      <c r="Z170" s="801"/>
      <c r="AA170" s="485" t="s">
        <v>19</v>
      </c>
      <c r="AB170" s="484">
        <v>2</v>
      </c>
      <c r="AC170" s="490">
        <v>0</v>
      </c>
      <c r="AD170" s="491">
        <v>3000</v>
      </c>
      <c r="AE170" s="497">
        <v>0</v>
      </c>
      <c r="AF170" s="498">
        <v>0</v>
      </c>
      <c r="AG170" s="797"/>
      <c r="AH170" s="401">
        <f t="shared" si="188"/>
        <v>1</v>
      </c>
      <c r="AI170" s="378">
        <f t="shared" si="189"/>
        <v>170</v>
      </c>
      <c r="AJ170" s="379">
        <f t="shared" si="190"/>
        <v>1</v>
      </c>
      <c r="AK170" s="380">
        <f t="shared" si="191"/>
        <v>170</v>
      </c>
      <c r="AL170" s="377">
        <f t="shared" si="192"/>
        <v>1</v>
      </c>
      <c r="AM170" s="380">
        <f t="shared" si="193"/>
        <v>170</v>
      </c>
      <c r="AN170" s="381" t="str">
        <f t="shared" si="194"/>
        <v>80-100%</v>
      </c>
      <c r="AO170" s="377">
        <f t="shared" si="195"/>
        <v>0</v>
      </c>
      <c r="AP170" s="382">
        <f t="shared" si="196"/>
        <v>0</v>
      </c>
      <c r="AQ170" s="380">
        <f t="shared" si="197"/>
        <v>0</v>
      </c>
      <c r="AR170" s="380">
        <f t="shared" si="198"/>
        <v>0</v>
      </c>
      <c r="AS170" s="380">
        <f t="shared" si="199"/>
        <v>0</v>
      </c>
      <c r="AT170" s="501">
        <v>1</v>
      </c>
      <c r="AU170" s="502">
        <f t="shared" si="200"/>
        <v>170</v>
      </c>
      <c r="AV170" s="491"/>
      <c r="AW170" s="747">
        <v>29</v>
      </c>
      <c r="AX170" s="468">
        <v>2</v>
      </c>
      <c r="AY170" s="468"/>
      <c r="AZ170" s="468">
        <v>6</v>
      </c>
      <c r="BA170" s="468"/>
      <c r="BB170" s="468" t="s">
        <v>289</v>
      </c>
      <c r="BC170" s="383">
        <f t="shared" si="201"/>
        <v>0.94117647058823528</v>
      </c>
      <c r="BD170" s="380">
        <f t="shared" si="202"/>
        <v>160</v>
      </c>
      <c r="BE170" s="383">
        <f t="shared" si="203"/>
        <v>0.23529411764705876</v>
      </c>
      <c r="BF170" s="380">
        <f t="shared" si="204"/>
        <v>39.999999999999993</v>
      </c>
      <c r="BG170" s="383">
        <f t="shared" si="205"/>
        <v>0.70588235294117652</v>
      </c>
      <c r="BH170" s="380">
        <f t="shared" si="206"/>
        <v>120.00000000000001</v>
      </c>
      <c r="BI170" s="490">
        <v>0</v>
      </c>
      <c r="BJ170" s="506">
        <v>0.94</v>
      </c>
      <c r="BK170" s="384">
        <f t="shared" si="219"/>
        <v>159.79999999999998</v>
      </c>
      <c r="BL170" s="385">
        <f t="shared" si="220"/>
        <v>2.5</v>
      </c>
      <c r="BM170" s="468">
        <v>3</v>
      </c>
      <c r="BN170" s="468" t="s">
        <v>290</v>
      </c>
      <c r="BO170" s="383">
        <f t="shared" si="207"/>
        <v>1</v>
      </c>
      <c r="BP170" s="380">
        <f t="shared" si="208"/>
        <v>170</v>
      </c>
      <c r="BQ170" s="385">
        <f t="shared" si="209"/>
        <v>0</v>
      </c>
      <c r="BR170" s="506">
        <v>1</v>
      </c>
      <c r="BS170" s="380">
        <f t="shared" si="210"/>
        <v>170</v>
      </c>
      <c r="BT170" s="468">
        <v>2</v>
      </c>
      <c r="BU170" s="383">
        <f t="shared" si="211"/>
        <v>1</v>
      </c>
      <c r="BV170" s="385">
        <f t="shared" si="212"/>
        <v>0</v>
      </c>
      <c r="BW170" s="494">
        <v>1</v>
      </c>
      <c r="BX170" s="516"/>
      <c r="BY170" s="518">
        <v>42048</v>
      </c>
      <c r="BZ170" s="804"/>
      <c r="CA170" s="807"/>
      <c r="CB170" s="386">
        <f t="shared" si="213"/>
        <v>42413</v>
      </c>
      <c r="CC170" s="468">
        <v>31</v>
      </c>
      <c r="CD170" s="468">
        <v>5</v>
      </c>
      <c r="CE170" s="387">
        <f t="shared" si="214"/>
        <v>0</v>
      </c>
      <c r="CF170" s="388">
        <f t="shared" si="215"/>
        <v>1</v>
      </c>
      <c r="CG170" s="380">
        <f t="shared" si="216"/>
        <v>170</v>
      </c>
      <c r="CH170" s="722">
        <f t="shared" si="217"/>
        <v>2</v>
      </c>
      <c r="CI170" s="484"/>
      <c r="CJ170" s="494">
        <v>1</v>
      </c>
      <c r="CK170" s="405">
        <f t="shared" si="221"/>
        <v>170</v>
      </c>
      <c r="CL170" s="484">
        <v>2</v>
      </c>
      <c r="CM170" s="389" t="str">
        <f t="shared" si="218"/>
        <v>Excellent coverage</v>
      </c>
      <c r="CN170" s="490">
        <v>0</v>
      </c>
      <c r="CO170" s="485" t="s">
        <v>65</v>
      </c>
      <c r="CP170" s="516" t="s">
        <v>907</v>
      </c>
    </row>
    <row r="171" spans="2:94" ht="30.75" customHeight="1" x14ac:dyDescent="0.2">
      <c r="B171" s="465" t="s">
        <v>154</v>
      </c>
      <c r="C171" s="466" t="s">
        <v>597</v>
      </c>
      <c r="D171" s="467" t="s">
        <v>257</v>
      </c>
      <c r="E171" s="466" t="s">
        <v>168</v>
      </c>
      <c r="F171" s="467">
        <v>97.432495000000003</v>
      </c>
      <c r="G171" s="467">
        <v>25.350809000000002</v>
      </c>
      <c r="H171" s="467" t="s">
        <v>448</v>
      </c>
      <c r="I171" s="467" t="s">
        <v>213</v>
      </c>
      <c r="J171" s="467"/>
      <c r="K171" s="467"/>
      <c r="L171" s="468">
        <v>89</v>
      </c>
      <c r="M171" s="468">
        <v>473</v>
      </c>
      <c r="N171" s="468"/>
      <c r="O171" s="468">
        <v>473</v>
      </c>
      <c r="P171" s="376" t="str">
        <f t="shared" si="185"/>
        <v>2. Medium</v>
      </c>
      <c r="Q171" s="717" t="s">
        <v>804</v>
      </c>
      <c r="R171" s="469" t="s">
        <v>275</v>
      </c>
      <c r="S171" s="477" t="s">
        <v>275</v>
      </c>
      <c r="T171" s="398" t="str">
        <f t="shared" si="186"/>
        <v>Covered</v>
      </c>
      <c r="U171" s="478">
        <v>42429</v>
      </c>
      <c r="V171" s="469" t="s">
        <v>252</v>
      </c>
      <c r="W171" s="395" t="str">
        <f t="shared" si="187"/>
        <v>Documented</v>
      </c>
      <c r="X171" s="484">
        <v>0</v>
      </c>
      <c r="Y171" s="468">
        <v>0</v>
      </c>
      <c r="Z171" s="801"/>
      <c r="AA171" s="485" t="s">
        <v>19</v>
      </c>
      <c r="AB171" s="484">
        <v>3</v>
      </c>
      <c r="AC171" s="490">
        <v>0</v>
      </c>
      <c r="AD171" s="491">
        <v>3600</v>
      </c>
      <c r="AE171" s="497">
        <v>0</v>
      </c>
      <c r="AF171" s="498">
        <v>0</v>
      </c>
      <c r="AG171" s="797"/>
      <c r="AH171" s="401">
        <f t="shared" si="188"/>
        <v>1</v>
      </c>
      <c r="AI171" s="378">
        <f t="shared" si="189"/>
        <v>473</v>
      </c>
      <c r="AJ171" s="379">
        <f t="shared" si="190"/>
        <v>1</v>
      </c>
      <c r="AK171" s="380">
        <f t="shared" si="191"/>
        <v>473</v>
      </c>
      <c r="AL171" s="377">
        <f t="shared" si="192"/>
        <v>1</v>
      </c>
      <c r="AM171" s="380">
        <f t="shared" si="193"/>
        <v>473</v>
      </c>
      <c r="AN171" s="381" t="str">
        <f t="shared" si="194"/>
        <v>80-100%</v>
      </c>
      <c r="AO171" s="377">
        <f t="shared" si="195"/>
        <v>0</v>
      </c>
      <c r="AP171" s="382">
        <f t="shared" si="196"/>
        <v>0</v>
      </c>
      <c r="AQ171" s="380">
        <f t="shared" si="197"/>
        <v>0</v>
      </c>
      <c r="AR171" s="380">
        <f t="shared" si="198"/>
        <v>0</v>
      </c>
      <c r="AS171" s="380">
        <f t="shared" si="199"/>
        <v>0</v>
      </c>
      <c r="AT171" s="501">
        <v>1</v>
      </c>
      <c r="AU171" s="502">
        <f t="shared" si="200"/>
        <v>473</v>
      </c>
      <c r="AV171" s="491"/>
      <c r="AW171" s="747">
        <v>80</v>
      </c>
      <c r="AX171" s="468">
        <v>8</v>
      </c>
      <c r="AY171" s="468"/>
      <c r="AZ171" s="468">
        <v>19</v>
      </c>
      <c r="BA171" s="468"/>
      <c r="BB171" s="468" t="s">
        <v>289</v>
      </c>
      <c r="BC171" s="383">
        <f t="shared" si="201"/>
        <v>1</v>
      </c>
      <c r="BD171" s="380">
        <f t="shared" si="202"/>
        <v>473</v>
      </c>
      <c r="BE171" s="383">
        <f t="shared" si="203"/>
        <v>0.19661733615221988</v>
      </c>
      <c r="BF171" s="380">
        <f t="shared" si="204"/>
        <v>93</v>
      </c>
      <c r="BG171" s="383">
        <f t="shared" si="205"/>
        <v>0.80338266384778012</v>
      </c>
      <c r="BH171" s="380">
        <f t="shared" si="206"/>
        <v>380</v>
      </c>
      <c r="BI171" s="490">
        <v>0</v>
      </c>
      <c r="BJ171" s="506">
        <v>1</v>
      </c>
      <c r="BK171" s="384">
        <f t="shared" si="219"/>
        <v>473</v>
      </c>
      <c r="BL171" s="385">
        <f t="shared" si="220"/>
        <v>4.6499999999999986</v>
      </c>
      <c r="BM171" s="468">
        <v>3</v>
      </c>
      <c r="BN171" s="468" t="s">
        <v>290</v>
      </c>
      <c r="BO171" s="383">
        <f t="shared" si="207"/>
        <v>0.63424947145877375</v>
      </c>
      <c r="BP171" s="380">
        <f t="shared" si="208"/>
        <v>300</v>
      </c>
      <c r="BQ171" s="385">
        <f t="shared" si="209"/>
        <v>1.7300000000000004</v>
      </c>
      <c r="BR171" s="506">
        <v>1</v>
      </c>
      <c r="BS171" s="380">
        <f t="shared" si="210"/>
        <v>473</v>
      </c>
      <c r="BT171" s="468">
        <v>2</v>
      </c>
      <c r="BU171" s="383">
        <f t="shared" si="211"/>
        <v>0.42283298097251587</v>
      </c>
      <c r="BV171" s="385">
        <f t="shared" si="212"/>
        <v>2.7300000000000004</v>
      </c>
      <c r="BW171" s="494">
        <v>1</v>
      </c>
      <c r="BX171" s="516" t="s">
        <v>873</v>
      </c>
      <c r="BY171" s="518">
        <v>42048</v>
      </c>
      <c r="BZ171" s="804"/>
      <c r="CA171" s="807"/>
      <c r="CB171" s="386">
        <f t="shared" si="213"/>
        <v>42413</v>
      </c>
      <c r="CC171" s="468">
        <v>91</v>
      </c>
      <c r="CD171" s="468">
        <v>5</v>
      </c>
      <c r="CE171" s="387">
        <f t="shared" si="214"/>
        <v>0</v>
      </c>
      <c r="CF171" s="388">
        <f t="shared" si="215"/>
        <v>1</v>
      </c>
      <c r="CG171" s="380">
        <f t="shared" si="216"/>
        <v>473</v>
      </c>
      <c r="CH171" s="722">
        <f t="shared" si="217"/>
        <v>2</v>
      </c>
      <c r="CI171" s="484"/>
      <c r="CJ171" s="494">
        <v>1</v>
      </c>
      <c r="CK171" s="405">
        <f t="shared" si="221"/>
        <v>473</v>
      </c>
      <c r="CL171" s="484">
        <v>2</v>
      </c>
      <c r="CM171" s="389" t="str">
        <f t="shared" si="218"/>
        <v>Excellent coverage</v>
      </c>
      <c r="CN171" s="490">
        <v>0</v>
      </c>
      <c r="CO171" s="485" t="s">
        <v>292</v>
      </c>
      <c r="CP171" s="516"/>
    </row>
    <row r="172" spans="2:94" ht="30.75" customHeight="1" x14ac:dyDescent="0.2">
      <c r="B172" s="465" t="s">
        <v>154</v>
      </c>
      <c r="C172" s="466" t="s">
        <v>598</v>
      </c>
      <c r="D172" s="467" t="s">
        <v>260</v>
      </c>
      <c r="E172" s="466" t="s">
        <v>169</v>
      </c>
      <c r="F172" s="467">
        <v>98.025662999999994</v>
      </c>
      <c r="G172" s="467">
        <v>25.418084</v>
      </c>
      <c r="H172" s="467" t="s">
        <v>448</v>
      </c>
      <c r="I172" s="467" t="s">
        <v>221</v>
      </c>
      <c r="J172" s="467"/>
      <c r="K172" s="467"/>
      <c r="L172" s="468">
        <v>188</v>
      </c>
      <c r="M172" s="468">
        <v>1011</v>
      </c>
      <c r="N172" s="468"/>
      <c r="O172" s="468">
        <v>1011</v>
      </c>
      <c r="P172" s="376" t="str">
        <f t="shared" si="185"/>
        <v>2. Medium</v>
      </c>
      <c r="Q172" s="717" t="s">
        <v>805</v>
      </c>
      <c r="R172" s="469" t="s">
        <v>234</v>
      </c>
      <c r="S172" s="477" t="s">
        <v>234</v>
      </c>
      <c r="T172" s="398" t="str">
        <f t="shared" si="186"/>
        <v>Covered</v>
      </c>
      <c r="U172" s="478">
        <v>42369</v>
      </c>
      <c r="V172" s="469" t="s">
        <v>252</v>
      </c>
      <c r="W172" s="395" t="str">
        <f t="shared" si="187"/>
        <v>Documented</v>
      </c>
      <c r="X172" s="484">
        <v>0</v>
      </c>
      <c r="Y172" s="468">
        <v>0</v>
      </c>
      <c r="Z172" s="801"/>
      <c r="AA172" s="485" t="s">
        <v>19</v>
      </c>
      <c r="AB172" s="484">
        <v>0</v>
      </c>
      <c r="AC172" s="490">
        <v>0</v>
      </c>
      <c r="AD172" s="491">
        <v>18000</v>
      </c>
      <c r="AE172" s="497">
        <v>0</v>
      </c>
      <c r="AF172" s="498">
        <v>0</v>
      </c>
      <c r="AG172" s="797"/>
      <c r="AH172" s="401">
        <f t="shared" si="188"/>
        <v>1</v>
      </c>
      <c r="AI172" s="378">
        <f t="shared" si="189"/>
        <v>1011</v>
      </c>
      <c r="AJ172" s="379">
        <f t="shared" si="190"/>
        <v>1</v>
      </c>
      <c r="AK172" s="380">
        <f t="shared" si="191"/>
        <v>1011</v>
      </c>
      <c r="AL172" s="377">
        <f t="shared" si="192"/>
        <v>1</v>
      </c>
      <c r="AM172" s="380">
        <f t="shared" si="193"/>
        <v>1011</v>
      </c>
      <c r="AN172" s="381" t="str">
        <f t="shared" si="194"/>
        <v>80-100%</v>
      </c>
      <c r="AO172" s="377">
        <f t="shared" si="195"/>
        <v>0</v>
      </c>
      <c r="AP172" s="382">
        <f t="shared" si="196"/>
        <v>0</v>
      </c>
      <c r="AQ172" s="380">
        <f t="shared" si="197"/>
        <v>2.5274999999999999</v>
      </c>
      <c r="AR172" s="380">
        <f t="shared" si="198"/>
        <v>0</v>
      </c>
      <c r="AS172" s="380">
        <f t="shared" si="199"/>
        <v>0</v>
      </c>
      <c r="AT172" s="501">
        <v>1</v>
      </c>
      <c r="AU172" s="502">
        <f t="shared" si="200"/>
        <v>1011</v>
      </c>
      <c r="AV172" s="491"/>
      <c r="AW172" s="747">
        <v>4</v>
      </c>
      <c r="AX172" s="468">
        <v>44</v>
      </c>
      <c r="AY172" s="468"/>
      <c r="AZ172" s="468">
        <v>0</v>
      </c>
      <c r="BA172" s="468"/>
      <c r="BB172" s="468" t="s">
        <v>289</v>
      </c>
      <c r="BC172" s="383">
        <f t="shared" si="201"/>
        <v>0.87042532146389717</v>
      </c>
      <c r="BD172" s="380">
        <f t="shared" si="202"/>
        <v>880</v>
      </c>
      <c r="BE172" s="383">
        <f t="shared" si="203"/>
        <v>0.87042532146389717</v>
      </c>
      <c r="BF172" s="380">
        <f t="shared" si="204"/>
        <v>880</v>
      </c>
      <c r="BG172" s="383">
        <f t="shared" si="205"/>
        <v>0</v>
      </c>
      <c r="BH172" s="380">
        <f t="shared" si="206"/>
        <v>0</v>
      </c>
      <c r="BI172" s="490">
        <v>0</v>
      </c>
      <c r="BJ172" s="506">
        <v>0.87</v>
      </c>
      <c r="BK172" s="384">
        <f t="shared" si="219"/>
        <v>879.57</v>
      </c>
      <c r="BL172" s="385">
        <f t="shared" si="220"/>
        <v>50.55</v>
      </c>
      <c r="BM172" s="468">
        <v>6</v>
      </c>
      <c r="BN172" s="468" t="s">
        <v>290</v>
      </c>
      <c r="BO172" s="383">
        <f t="shared" si="207"/>
        <v>0.59347181008902072</v>
      </c>
      <c r="BP172" s="380">
        <f t="shared" si="208"/>
        <v>600</v>
      </c>
      <c r="BQ172" s="385">
        <f t="shared" si="209"/>
        <v>4.1099999999999994</v>
      </c>
      <c r="BR172" s="506">
        <v>0.59</v>
      </c>
      <c r="BS172" s="380">
        <f t="shared" si="210"/>
        <v>596.49</v>
      </c>
      <c r="BT172" s="468">
        <v>0</v>
      </c>
      <c r="BU172" s="383">
        <f t="shared" si="211"/>
        <v>0</v>
      </c>
      <c r="BV172" s="385">
        <f t="shared" si="212"/>
        <v>10.11</v>
      </c>
      <c r="BW172" s="494">
        <v>0</v>
      </c>
      <c r="BX172" s="516" t="s">
        <v>874</v>
      </c>
      <c r="BY172" s="518">
        <v>42053</v>
      </c>
      <c r="BZ172" s="804"/>
      <c r="CA172" s="807"/>
      <c r="CB172" s="386">
        <f t="shared" si="213"/>
        <v>42418</v>
      </c>
      <c r="CC172" s="468">
        <v>198</v>
      </c>
      <c r="CD172" s="468">
        <v>4</v>
      </c>
      <c r="CE172" s="387">
        <f t="shared" si="214"/>
        <v>0</v>
      </c>
      <c r="CF172" s="388">
        <f t="shared" si="215"/>
        <v>1</v>
      </c>
      <c r="CG172" s="380">
        <f t="shared" si="216"/>
        <v>1011</v>
      </c>
      <c r="CH172" s="722">
        <f t="shared" si="217"/>
        <v>2</v>
      </c>
      <c r="CI172" s="484" t="s">
        <v>896</v>
      </c>
      <c r="CJ172" s="494">
        <v>1</v>
      </c>
      <c r="CK172" s="405">
        <f t="shared" si="221"/>
        <v>1011</v>
      </c>
      <c r="CL172" s="484">
        <v>2</v>
      </c>
      <c r="CM172" s="389" t="str">
        <f t="shared" si="218"/>
        <v>Good coverage</v>
      </c>
      <c r="CN172" s="490">
        <v>0</v>
      </c>
      <c r="CO172" s="485" t="s">
        <v>65</v>
      </c>
      <c r="CP172" s="516"/>
    </row>
    <row r="173" spans="2:94" ht="30.75" customHeight="1" thickBot="1" x14ac:dyDescent="0.25">
      <c r="B173" s="465" t="s">
        <v>154</v>
      </c>
      <c r="C173" s="466" t="s">
        <v>599</v>
      </c>
      <c r="D173" s="467" t="s">
        <v>257</v>
      </c>
      <c r="E173" s="466" t="s">
        <v>170</v>
      </c>
      <c r="F173" s="467">
        <v>97.427959999999999</v>
      </c>
      <c r="G173" s="467">
        <v>25.33351</v>
      </c>
      <c r="H173" s="467" t="s">
        <v>448</v>
      </c>
      <c r="I173" s="467" t="s">
        <v>213</v>
      </c>
      <c r="J173" s="467"/>
      <c r="K173" s="467"/>
      <c r="L173" s="468">
        <v>42</v>
      </c>
      <c r="M173" s="468">
        <v>175</v>
      </c>
      <c r="N173" s="468"/>
      <c r="O173" s="468">
        <v>175</v>
      </c>
      <c r="P173" s="376" t="str">
        <f t="shared" si="185"/>
        <v>1. Small</v>
      </c>
      <c r="Q173" s="717" t="s">
        <v>804</v>
      </c>
      <c r="R173" s="469" t="s">
        <v>275</v>
      </c>
      <c r="S173" s="477" t="s">
        <v>275</v>
      </c>
      <c r="T173" s="398" t="str">
        <f t="shared" si="186"/>
        <v>Covered</v>
      </c>
      <c r="U173" s="478">
        <v>42521</v>
      </c>
      <c r="V173" s="469" t="s">
        <v>252</v>
      </c>
      <c r="W173" s="396" t="str">
        <f t="shared" si="187"/>
        <v>Documented</v>
      </c>
      <c r="X173" s="484">
        <v>0</v>
      </c>
      <c r="Y173" s="468">
        <v>0</v>
      </c>
      <c r="Z173" s="801"/>
      <c r="AA173" s="485" t="s">
        <v>19</v>
      </c>
      <c r="AB173" s="484">
        <v>2</v>
      </c>
      <c r="AC173" s="490">
        <v>0</v>
      </c>
      <c r="AD173" s="491">
        <v>0</v>
      </c>
      <c r="AE173" s="497">
        <v>0</v>
      </c>
      <c r="AF173" s="498">
        <v>0</v>
      </c>
      <c r="AG173" s="797"/>
      <c r="AH173" s="401">
        <f t="shared" si="188"/>
        <v>1</v>
      </c>
      <c r="AI173" s="378">
        <f t="shared" si="189"/>
        <v>175</v>
      </c>
      <c r="AJ173" s="379">
        <f t="shared" si="190"/>
        <v>1</v>
      </c>
      <c r="AK173" s="380">
        <f t="shared" si="191"/>
        <v>175</v>
      </c>
      <c r="AL173" s="377">
        <f t="shared" si="192"/>
        <v>1</v>
      </c>
      <c r="AM173" s="380">
        <f t="shared" si="193"/>
        <v>175</v>
      </c>
      <c r="AN173" s="381" t="str">
        <f t="shared" si="194"/>
        <v>80-100%</v>
      </c>
      <c r="AO173" s="377">
        <f t="shared" si="195"/>
        <v>0</v>
      </c>
      <c r="AP173" s="382">
        <f t="shared" si="196"/>
        <v>0</v>
      </c>
      <c r="AQ173" s="380">
        <f t="shared" si="197"/>
        <v>0</v>
      </c>
      <c r="AR173" s="380">
        <f t="shared" si="198"/>
        <v>0</v>
      </c>
      <c r="AS173" s="380">
        <f t="shared" si="199"/>
        <v>0</v>
      </c>
      <c r="AT173" s="501">
        <v>1</v>
      </c>
      <c r="AU173" s="502">
        <f t="shared" si="200"/>
        <v>175</v>
      </c>
      <c r="AV173" s="491"/>
      <c r="AW173" s="747">
        <v>8</v>
      </c>
      <c r="AX173" s="468">
        <v>0</v>
      </c>
      <c r="AY173" s="468"/>
      <c r="AZ173" s="468">
        <v>10</v>
      </c>
      <c r="BA173" s="468"/>
      <c r="BB173" s="468" t="s">
        <v>289</v>
      </c>
      <c r="BC173" s="383">
        <f t="shared" si="201"/>
        <v>1</v>
      </c>
      <c r="BD173" s="380">
        <f t="shared" si="202"/>
        <v>175</v>
      </c>
      <c r="BE173" s="383">
        <f t="shared" si="203"/>
        <v>0</v>
      </c>
      <c r="BF173" s="380">
        <f t="shared" si="204"/>
        <v>0</v>
      </c>
      <c r="BG173" s="383">
        <f t="shared" si="205"/>
        <v>1</v>
      </c>
      <c r="BH173" s="380">
        <f t="shared" si="206"/>
        <v>175</v>
      </c>
      <c r="BI173" s="490">
        <v>0</v>
      </c>
      <c r="BJ173" s="506">
        <v>1</v>
      </c>
      <c r="BK173" s="384">
        <f t="shared" si="219"/>
        <v>175</v>
      </c>
      <c r="BL173" s="385">
        <f t="shared" si="220"/>
        <v>0</v>
      </c>
      <c r="BM173" s="468">
        <v>4</v>
      </c>
      <c r="BN173" s="468" t="s">
        <v>290</v>
      </c>
      <c r="BO173" s="383">
        <f t="shared" si="207"/>
        <v>1</v>
      </c>
      <c r="BP173" s="380">
        <f t="shared" si="208"/>
        <v>175</v>
      </c>
      <c r="BQ173" s="385">
        <f t="shared" si="209"/>
        <v>0</v>
      </c>
      <c r="BR173" s="506">
        <v>1</v>
      </c>
      <c r="BS173" s="380">
        <f t="shared" si="210"/>
        <v>175</v>
      </c>
      <c r="BT173" s="468">
        <v>2</v>
      </c>
      <c r="BU173" s="383">
        <f t="shared" si="211"/>
        <v>1</v>
      </c>
      <c r="BV173" s="385">
        <f t="shared" si="212"/>
        <v>0</v>
      </c>
      <c r="BW173" s="494">
        <v>1</v>
      </c>
      <c r="BX173" s="516"/>
      <c r="BY173" s="518">
        <v>42048</v>
      </c>
      <c r="BZ173" s="804"/>
      <c r="CA173" s="807"/>
      <c r="CB173" s="386">
        <f t="shared" si="213"/>
        <v>42413</v>
      </c>
      <c r="CC173" s="468">
        <v>67</v>
      </c>
      <c r="CD173" s="468">
        <v>5</v>
      </c>
      <c r="CE173" s="387">
        <f t="shared" si="214"/>
        <v>0</v>
      </c>
      <c r="CF173" s="388">
        <f t="shared" si="215"/>
        <v>1</v>
      </c>
      <c r="CG173" s="380">
        <f t="shared" si="216"/>
        <v>175</v>
      </c>
      <c r="CH173" s="722">
        <f t="shared" si="217"/>
        <v>2</v>
      </c>
      <c r="CI173" s="492"/>
      <c r="CJ173" s="494">
        <v>1</v>
      </c>
      <c r="CK173" s="405">
        <f t="shared" si="221"/>
        <v>175</v>
      </c>
      <c r="CL173" s="484">
        <v>2</v>
      </c>
      <c r="CM173" s="389" t="str">
        <f t="shared" si="218"/>
        <v>Excellent coverage</v>
      </c>
      <c r="CN173" s="490">
        <v>0</v>
      </c>
      <c r="CO173" s="485" t="s">
        <v>65</v>
      </c>
      <c r="CP173" s="516"/>
    </row>
    <row r="174" spans="2:94" ht="30.75" customHeight="1" thickBot="1" x14ac:dyDescent="0.25">
      <c r="B174" s="465" t="s">
        <v>154</v>
      </c>
      <c r="C174" s="466" t="s">
        <v>600</v>
      </c>
      <c r="D174" s="467" t="s">
        <v>257</v>
      </c>
      <c r="E174" s="466" t="s">
        <v>171</v>
      </c>
      <c r="F174" s="467">
        <v>97.443702000000002</v>
      </c>
      <c r="G174" s="467">
        <v>25.351241999999999</v>
      </c>
      <c r="H174" s="467" t="s">
        <v>448</v>
      </c>
      <c r="I174" s="467" t="s">
        <v>213</v>
      </c>
      <c r="J174" s="467"/>
      <c r="K174" s="467"/>
      <c r="L174" s="468">
        <v>85</v>
      </c>
      <c r="M174" s="468">
        <v>367</v>
      </c>
      <c r="N174" s="468"/>
      <c r="O174" s="468">
        <v>367</v>
      </c>
      <c r="P174" s="376" t="str">
        <f t="shared" si="185"/>
        <v>2. Medium</v>
      </c>
      <c r="Q174" s="717" t="s">
        <v>804</v>
      </c>
      <c r="R174" s="469" t="s">
        <v>275</v>
      </c>
      <c r="S174" s="477" t="s">
        <v>275</v>
      </c>
      <c r="T174" s="398" t="str">
        <f t="shared" si="186"/>
        <v>Covered</v>
      </c>
      <c r="U174" s="478">
        <v>42521</v>
      </c>
      <c r="V174" s="469" t="s">
        <v>252</v>
      </c>
      <c r="W174" s="396" t="str">
        <f t="shared" si="187"/>
        <v>Documented</v>
      </c>
      <c r="X174" s="484">
        <v>0</v>
      </c>
      <c r="Y174" s="468">
        <v>0</v>
      </c>
      <c r="Z174" s="801"/>
      <c r="AA174" s="485" t="s">
        <v>19</v>
      </c>
      <c r="AB174" s="484">
        <v>4</v>
      </c>
      <c r="AC174" s="490">
        <v>0</v>
      </c>
      <c r="AD174" s="491">
        <v>3000</v>
      </c>
      <c r="AE174" s="497">
        <v>0</v>
      </c>
      <c r="AF174" s="498">
        <v>0</v>
      </c>
      <c r="AG174" s="797"/>
      <c r="AH174" s="401">
        <f t="shared" si="188"/>
        <v>1</v>
      </c>
      <c r="AI174" s="378">
        <f t="shared" si="189"/>
        <v>367</v>
      </c>
      <c r="AJ174" s="379">
        <f t="shared" si="190"/>
        <v>1</v>
      </c>
      <c r="AK174" s="380">
        <f t="shared" si="191"/>
        <v>367</v>
      </c>
      <c r="AL174" s="377">
        <f t="shared" si="192"/>
        <v>1</v>
      </c>
      <c r="AM174" s="380">
        <f t="shared" si="193"/>
        <v>367</v>
      </c>
      <c r="AN174" s="381" t="str">
        <f t="shared" si="194"/>
        <v>80-100%</v>
      </c>
      <c r="AO174" s="377">
        <f t="shared" si="195"/>
        <v>0</v>
      </c>
      <c r="AP174" s="382">
        <f t="shared" si="196"/>
        <v>0</v>
      </c>
      <c r="AQ174" s="380">
        <f t="shared" si="197"/>
        <v>0</v>
      </c>
      <c r="AR174" s="380">
        <f t="shared" si="198"/>
        <v>0</v>
      </c>
      <c r="AS174" s="380">
        <f t="shared" si="199"/>
        <v>0</v>
      </c>
      <c r="AT174" s="501">
        <v>1</v>
      </c>
      <c r="AU174" s="502">
        <f t="shared" si="200"/>
        <v>367</v>
      </c>
      <c r="AV174" s="491"/>
      <c r="AW174" s="747">
        <v>7</v>
      </c>
      <c r="AX174" s="468">
        <v>0</v>
      </c>
      <c r="AY174" s="468"/>
      <c r="AZ174" s="468">
        <v>11</v>
      </c>
      <c r="BA174" s="468"/>
      <c r="BB174" s="468" t="s">
        <v>289</v>
      </c>
      <c r="BC174" s="383">
        <f t="shared" si="201"/>
        <v>0.59945504087193457</v>
      </c>
      <c r="BD174" s="380">
        <f t="shared" si="202"/>
        <v>220</v>
      </c>
      <c r="BE174" s="383">
        <f t="shared" si="203"/>
        <v>0</v>
      </c>
      <c r="BF174" s="380">
        <f t="shared" si="204"/>
        <v>0</v>
      </c>
      <c r="BG174" s="383">
        <f t="shared" si="205"/>
        <v>0.59945504087193457</v>
      </c>
      <c r="BH174" s="380">
        <f t="shared" si="206"/>
        <v>220</v>
      </c>
      <c r="BI174" s="490">
        <v>0</v>
      </c>
      <c r="BJ174" s="506">
        <v>1</v>
      </c>
      <c r="BK174" s="384">
        <f t="shared" si="219"/>
        <v>367</v>
      </c>
      <c r="BL174" s="385">
        <f t="shared" si="220"/>
        <v>7.3500000000000014</v>
      </c>
      <c r="BM174" s="468">
        <v>6</v>
      </c>
      <c r="BN174" s="468" t="s">
        <v>290</v>
      </c>
      <c r="BO174" s="383">
        <f t="shared" si="207"/>
        <v>1</v>
      </c>
      <c r="BP174" s="380">
        <f t="shared" si="208"/>
        <v>367</v>
      </c>
      <c r="BQ174" s="385">
        <f t="shared" si="209"/>
        <v>0</v>
      </c>
      <c r="BR174" s="506">
        <v>1</v>
      </c>
      <c r="BS174" s="380">
        <f t="shared" si="210"/>
        <v>367</v>
      </c>
      <c r="BT174" s="468">
        <v>2</v>
      </c>
      <c r="BU174" s="383">
        <f t="shared" si="211"/>
        <v>0.54495912806539515</v>
      </c>
      <c r="BV174" s="385">
        <f t="shared" si="212"/>
        <v>1.67</v>
      </c>
      <c r="BW174" s="494">
        <v>1</v>
      </c>
      <c r="BX174" s="516" t="s">
        <v>875</v>
      </c>
      <c r="BY174" s="518">
        <v>42048</v>
      </c>
      <c r="BZ174" s="804"/>
      <c r="CA174" s="807"/>
      <c r="CB174" s="386">
        <f t="shared" si="213"/>
        <v>42413</v>
      </c>
      <c r="CC174" s="468">
        <v>91</v>
      </c>
      <c r="CD174" s="468">
        <v>5</v>
      </c>
      <c r="CE174" s="387">
        <f t="shared" si="214"/>
        <v>0</v>
      </c>
      <c r="CF174" s="388">
        <f t="shared" si="215"/>
        <v>1</v>
      </c>
      <c r="CG174" s="380">
        <f t="shared" si="216"/>
        <v>367</v>
      </c>
      <c r="CH174" s="722">
        <f t="shared" si="217"/>
        <v>2</v>
      </c>
      <c r="CI174" s="492"/>
      <c r="CJ174" s="494">
        <v>1</v>
      </c>
      <c r="CK174" s="405">
        <f t="shared" si="221"/>
        <v>367</v>
      </c>
      <c r="CL174" s="484">
        <v>2</v>
      </c>
      <c r="CM174" s="389" t="str">
        <f t="shared" si="218"/>
        <v>Excellent coverage</v>
      </c>
      <c r="CN174" s="490">
        <v>0</v>
      </c>
      <c r="CO174" s="485" t="s">
        <v>292</v>
      </c>
      <c r="CP174" s="516"/>
    </row>
    <row r="175" spans="2:94" ht="30.75" customHeight="1" thickBot="1" x14ac:dyDescent="0.25">
      <c r="B175" s="465" t="s">
        <v>154</v>
      </c>
      <c r="C175" s="466" t="s">
        <v>601</v>
      </c>
      <c r="D175" s="467" t="s">
        <v>257</v>
      </c>
      <c r="E175" s="466" t="s">
        <v>172</v>
      </c>
      <c r="F175" s="467">
        <v>97.438259000000002</v>
      </c>
      <c r="G175" s="467">
        <v>25.355841999999999</v>
      </c>
      <c r="H175" s="467" t="s">
        <v>449</v>
      </c>
      <c r="I175" s="467" t="s">
        <v>213</v>
      </c>
      <c r="J175" s="467"/>
      <c r="K175" s="467"/>
      <c r="L175" s="468"/>
      <c r="M175" s="468">
        <v>105</v>
      </c>
      <c r="N175" s="468"/>
      <c r="O175" s="468">
        <v>105</v>
      </c>
      <c r="P175" s="376" t="str">
        <f t="shared" si="185"/>
        <v>1. Small</v>
      </c>
      <c r="Q175" s="717" t="s">
        <v>805</v>
      </c>
      <c r="R175" s="469" t="s">
        <v>234</v>
      </c>
      <c r="S175" s="477" t="s">
        <v>234</v>
      </c>
      <c r="T175" s="723" t="str">
        <f t="shared" si="186"/>
        <v>Covered</v>
      </c>
      <c r="U175" s="478" t="s">
        <v>626</v>
      </c>
      <c r="V175" s="469" t="s">
        <v>252</v>
      </c>
      <c r="W175" s="396" t="str">
        <f t="shared" si="187"/>
        <v>Documented</v>
      </c>
      <c r="X175" s="484">
        <v>0</v>
      </c>
      <c r="Y175" s="468">
        <v>0</v>
      </c>
      <c r="Z175" s="801"/>
      <c r="AA175" s="485" t="s">
        <v>19</v>
      </c>
      <c r="AB175" s="484">
        <v>2</v>
      </c>
      <c r="AC175" s="490">
        <v>0</v>
      </c>
      <c r="AD175" s="491">
        <v>6000</v>
      </c>
      <c r="AE175" s="497">
        <v>0</v>
      </c>
      <c r="AF175" s="498">
        <v>1</v>
      </c>
      <c r="AG175" s="797"/>
      <c r="AH175" s="401">
        <f t="shared" si="188"/>
        <v>1</v>
      </c>
      <c r="AI175" s="378">
        <f t="shared" si="189"/>
        <v>105</v>
      </c>
      <c r="AJ175" s="379">
        <f t="shared" si="190"/>
        <v>1</v>
      </c>
      <c r="AK175" s="380">
        <f t="shared" si="191"/>
        <v>105</v>
      </c>
      <c r="AL175" s="377">
        <f t="shared" si="192"/>
        <v>1</v>
      </c>
      <c r="AM175" s="380">
        <f t="shared" si="193"/>
        <v>105</v>
      </c>
      <c r="AN175" s="381" t="str">
        <f t="shared" si="194"/>
        <v>80-100%</v>
      </c>
      <c r="AO175" s="377">
        <f t="shared" si="195"/>
        <v>0</v>
      </c>
      <c r="AP175" s="382">
        <f t="shared" si="196"/>
        <v>0</v>
      </c>
      <c r="AQ175" s="380">
        <f t="shared" si="197"/>
        <v>0</v>
      </c>
      <c r="AR175" s="380">
        <f t="shared" si="198"/>
        <v>0</v>
      </c>
      <c r="AS175" s="380">
        <f t="shared" si="199"/>
        <v>0</v>
      </c>
      <c r="AT175" s="501">
        <v>1</v>
      </c>
      <c r="AU175" s="502">
        <f t="shared" si="200"/>
        <v>105</v>
      </c>
      <c r="AV175" s="491"/>
      <c r="AW175" s="747">
        <v>10</v>
      </c>
      <c r="AX175" s="468">
        <v>0</v>
      </c>
      <c r="AY175" s="468"/>
      <c r="AZ175" s="468">
        <v>16</v>
      </c>
      <c r="BA175" s="468"/>
      <c r="BB175" s="468" t="s">
        <v>290</v>
      </c>
      <c r="BC175" s="383">
        <f t="shared" si="201"/>
        <v>1</v>
      </c>
      <c r="BD175" s="380">
        <f t="shared" si="202"/>
        <v>105</v>
      </c>
      <c r="BE175" s="383">
        <f t="shared" si="203"/>
        <v>0</v>
      </c>
      <c r="BF175" s="380">
        <f t="shared" si="204"/>
        <v>0</v>
      </c>
      <c r="BG175" s="383">
        <f t="shared" si="205"/>
        <v>1</v>
      </c>
      <c r="BH175" s="380">
        <f t="shared" si="206"/>
        <v>105</v>
      </c>
      <c r="BI175" s="490">
        <v>0</v>
      </c>
      <c r="BJ175" s="506">
        <v>1</v>
      </c>
      <c r="BK175" s="384">
        <f t="shared" si="219"/>
        <v>105</v>
      </c>
      <c r="BL175" s="385">
        <f t="shared" si="220"/>
        <v>0</v>
      </c>
      <c r="BM175" s="468">
        <v>1</v>
      </c>
      <c r="BN175" s="468" t="s">
        <v>89</v>
      </c>
      <c r="BO175" s="383">
        <f t="shared" si="207"/>
        <v>0.95238095238095233</v>
      </c>
      <c r="BP175" s="380">
        <f t="shared" si="208"/>
        <v>100</v>
      </c>
      <c r="BQ175" s="385">
        <f t="shared" si="209"/>
        <v>5.0000000000000044E-2</v>
      </c>
      <c r="BR175" s="506">
        <v>0.95</v>
      </c>
      <c r="BS175" s="380">
        <f t="shared" si="210"/>
        <v>99.75</v>
      </c>
      <c r="BT175" s="468">
        <v>0</v>
      </c>
      <c r="BU175" s="383">
        <f t="shared" si="211"/>
        <v>0</v>
      </c>
      <c r="BV175" s="385">
        <f t="shared" si="212"/>
        <v>1.05</v>
      </c>
      <c r="BW175" s="494">
        <v>0</v>
      </c>
      <c r="BX175" s="516" t="s">
        <v>866</v>
      </c>
      <c r="BY175" s="518">
        <v>42053</v>
      </c>
      <c r="BZ175" s="804"/>
      <c r="CA175" s="807"/>
      <c r="CB175" s="386">
        <f t="shared" si="213"/>
        <v>42418</v>
      </c>
      <c r="CC175" s="468">
        <v>33</v>
      </c>
      <c r="CD175" s="468">
        <v>4</v>
      </c>
      <c r="CE175" s="387">
        <f t="shared" si="214"/>
        <v>0</v>
      </c>
      <c r="CF175" s="388">
        <f t="shared" si="215"/>
        <v>1</v>
      </c>
      <c r="CG175" s="380">
        <f t="shared" si="216"/>
        <v>105</v>
      </c>
      <c r="CH175" s="722">
        <f t="shared" si="217"/>
        <v>2</v>
      </c>
      <c r="CI175" s="484" t="s">
        <v>896</v>
      </c>
      <c r="CJ175" s="494"/>
      <c r="CK175" s="405">
        <f t="shared" si="221"/>
        <v>0</v>
      </c>
      <c r="CL175" s="484">
        <v>1</v>
      </c>
      <c r="CM175" s="389" t="str">
        <f t="shared" si="218"/>
        <v>Excellent coverage</v>
      </c>
      <c r="CN175" s="490">
        <v>0</v>
      </c>
      <c r="CO175" s="485" t="s">
        <v>65</v>
      </c>
      <c r="CP175" s="516"/>
    </row>
    <row r="176" spans="2:94" ht="30.75" customHeight="1" thickBot="1" x14ac:dyDescent="0.25">
      <c r="B176" s="465" t="s">
        <v>154</v>
      </c>
      <c r="C176" s="466" t="s">
        <v>602</v>
      </c>
      <c r="D176" s="467" t="s">
        <v>260</v>
      </c>
      <c r="E176" s="466" t="s">
        <v>173</v>
      </c>
      <c r="F176" s="467">
        <v>97.567116999999996</v>
      </c>
      <c r="G176" s="467">
        <v>24.768383</v>
      </c>
      <c r="H176" s="467" t="s">
        <v>448</v>
      </c>
      <c r="I176" s="467" t="s">
        <v>221</v>
      </c>
      <c r="J176" s="467"/>
      <c r="K176" s="467"/>
      <c r="L176" s="468">
        <v>281</v>
      </c>
      <c r="M176" s="468">
        <v>1534</v>
      </c>
      <c r="N176" s="468"/>
      <c r="O176" s="468">
        <v>1534</v>
      </c>
      <c r="P176" s="376" t="str">
        <f t="shared" si="185"/>
        <v>3. Large</v>
      </c>
      <c r="Q176" s="717" t="s">
        <v>807</v>
      </c>
      <c r="R176" s="469" t="s">
        <v>276</v>
      </c>
      <c r="S176" s="477" t="s">
        <v>299</v>
      </c>
      <c r="T176" s="398" t="str">
        <f t="shared" si="186"/>
        <v>Not covered</v>
      </c>
      <c r="U176" s="478" t="s">
        <v>626</v>
      </c>
      <c r="V176" s="469" t="s">
        <v>252</v>
      </c>
      <c r="W176" s="396" t="str">
        <f t="shared" si="187"/>
        <v>Documented</v>
      </c>
      <c r="X176" s="484">
        <v>0</v>
      </c>
      <c r="Y176" s="468">
        <v>0</v>
      </c>
      <c r="Z176" s="801"/>
      <c r="AA176" s="485" t="s">
        <v>19</v>
      </c>
      <c r="AB176" s="484">
        <v>0</v>
      </c>
      <c r="AC176" s="490">
        <v>0</v>
      </c>
      <c r="AD176" s="491">
        <v>53805</v>
      </c>
      <c r="AE176" s="497">
        <v>0</v>
      </c>
      <c r="AF176" s="498">
        <v>1</v>
      </c>
      <c r="AG176" s="797"/>
      <c r="AH176" s="401">
        <f t="shared" si="188"/>
        <v>1</v>
      </c>
      <c r="AI176" s="378">
        <f t="shared" si="189"/>
        <v>1534</v>
      </c>
      <c r="AJ176" s="379">
        <f t="shared" si="190"/>
        <v>1</v>
      </c>
      <c r="AK176" s="380">
        <f t="shared" si="191"/>
        <v>1534</v>
      </c>
      <c r="AL176" s="377">
        <f t="shared" si="192"/>
        <v>1</v>
      </c>
      <c r="AM176" s="380">
        <f t="shared" si="193"/>
        <v>1534</v>
      </c>
      <c r="AN176" s="381" t="str">
        <f t="shared" si="194"/>
        <v>80-100%</v>
      </c>
      <c r="AO176" s="377">
        <f t="shared" si="195"/>
        <v>0</v>
      </c>
      <c r="AP176" s="382">
        <f t="shared" si="196"/>
        <v>0</v>
      </c>
      <c r="AQ176" s="380">
        <f t="shared" si="197"/>
        <v>3.835</v>
      </c>
      <c r="AR176" s="380">
        <f t="shared" si="198"/>
        <v>281</v>
      </c>
      <c r="AS176" s="380">
        <f t="shared" si="199"/>
        <v>0</v>
      </c>
      <c r="AT176" s="501">
        <v>1</v>
      </c>
      <c r="AU176" s="502">
        <f t="shared" si="200"/>
        <v>1534</v>
      </c>
      <c r="AV176" s="491"/>
      <c r="AW176" s="747">
        <v>0</v>
      </c>
      <c r="AX176" s="468">
        <v>29</v>
      </c>
      <c r="AY176" s="468"/>
      <c r="AZ176" s="468">
        <v>53</v>
      </c>
      <c r="BA176" s="468"/>
      <c r="BB176" s="468" t="s">
        <v>89</v>
      </c>
      <c r="BC176" s="383">
        <f t="shared" si="201"/>
        <v>1</v>
      </c>
      <c r="BD176" s="380">
        <f t="shared" si="202"/>
        <v>1534</v>
      </c>
      <c r="BE176" s="383">
        <f t="shared" si="203"/>
        <v>0.30899608865710559</v>
      </c>
      <c r="BF176" s="380">
        <f t="shared" si="204"/>
        <v>474</v>
      </c>
      <c r="BG176" s="383">
        <f t="shared" si="205"/>
        <v>0.69100391134289441</v>
      </c>
      <c r="BH176" s="380">
        <f t="shared" si="206"/>
        <v>1060</v>
      </c>
      <c r="BI176" s="490">
        <v>0</v>
      </c>
      <c r="BJ176" s="506">
        <v>1</v>
      </c>
      <c r="BK176" s="384">
        <f t="shared" si="219"/>
        <v>1534</v>
      </c>
      <c r="BL176" s="385">
        <f t="shared" si="220"/>
        <v>23.700000000000003</v>
      </c>
      <c r="BM176" s="468">
        <v>16</v>
      </c>
      <c r="BN176" s="468" t="s">
        <v>89</v>
      </c>
      <c r="BO176" s="383">
        <f t="shared" si="207"/>
        <v>1</v>
      </c>
      <c r="BP176" s="380">
        <f t="shared" si="208"/>
        <v>1534</v>
      </c>
      <c r="BQ176" s="385">
        <f t="shared" si="209"/>
        <v>0</v>
      </c>
      <c r="BR176" s="506">
        <v>1</v>
      </c>
      <c r="BS176" s="380">
        <f t="shared" si="210"/>
        <v>1534</v>
      </c>
      <c r="BT176" s="468">
        <v>7</v>
      </c>
      <c r="BU176" s="383">
        <f t="shared" si="211"/>
        <v>0.45632333767926986</v>
      </c>
      <c r="BV176" s="385">
        <f t="shared" si="212"/>
        <v>8.34</v>
      </c>
      <c r="BW176" s="494">
        <v>0.46</v>
      </c>
      <c r="BX176" s="516" t="s">
        <v>816</v>
      </c>
      <c r="BY176" s="518">
        <v>41730</v>
      </c>
      <c r="BZ176" s="804"/>
      <c r="CA176" s="807"/>
      <c r="CB176" s="386" t="str">
        <f t="shared" si="213"/>
        <v>To be realised</v>
      </c>
      <c r="CC176" s="468">
        <v>281</v>
      </c>
      <c r="CD176" s="468">
        <v>13</v>
      </c>
      <c r="CE176" s="387">
        <f t="shared" si="214"/>
        <v>281</v>
      </c>
      <c r="CF176" s="388">
        <f t="shared" si="215"/>
        <v>0</v>
      </c>
      <c r="CG176" s="380">
        <f t="shared" si="216"/>
        <v>0</v>
      </c>
      <c r="CH176" s="722">
        <f t="shared" si="217"/>
        <v>4</v>
      </c>
      <c r="CI176" s="484" t="s">
        <v>898</v>
      </c>
      <c r="CJ176" s="494"/>
      <c r="CK176" s="405">
        <f t="shared" si="221"/>
        <v>0</v>
      </c>
      <c r="CL176" s="484">
        <v>5</v>
      </c>
      <c r="CM176" s="389" t="str">
        <f t="shared" si="218"/>
        <v>Excellent coverage</v>
      </c>
      <c r="CN176" s="490">
        <v>0</v>
      </c>
      <c r="CO176" s="485" t="s">
        <v>292</v>
      </c>
      <c r="CP176" s="516"/>
    </row>
    <row r="177" spans="2:94" ht="30.75" customHeight="1" thickBot="1" x14ac:dyDescent="0.3">
      <c r="B177" s="465" t="s">
        <v>154</v>
      </c>
      <c r="C177" s="470" t="s">
        <v>602</v>
      </c>
      <c r="D177" s="467" t="s">
        <v>260</v>
      </c>
      <c r="E177" s="470" t="s">
        <v>687</v>
      </c>
      <c r="F177" s="467">
        <v>97.567116999999996</v>
      </c>
      <c r="G177" s="467">
        <v>24.768383</v>
      </c>
      <c r="H177" s="467" t="s">
        <v>459</v>
      </c>
      <c r="I177" s="467" t="s">
        <v>221</v>
      </c>
      <c r="J177" s="467"/>
      <c r="K177" s="467"/>
      <c r="L177" s="471">
        <v>659</v>
      </c>
      <c r="M177" s="471">
        <v>3541</v>
      </c>
      <c r="N177" s="471"/>
      <c r="O177" s="471">
        <v>3541</v>
      </c>
      <c r="P177" s="376" t="str">
        <f t="shared" si="185"/>
        <v>4. Big</v>
      </c>
      <c r="Q177" s="717" t="s">
        <v>807</v>
      </c>
      <c r="R177" s="472"/>
      <c r="S177" s="479" t="s">
        <v>232</v>
      </c>
      <c r="T177" s="398" t="str">
        <f t="shared" si="186"/>
        <v>Covered</v>
      </c>
      <c r="U177" s="480" t="s">
        <v>626</v>
      </c>
      <c r="V177" s="481" t="s">
        <v>252</v>
      </c>
      <c r="W177" s="396" t="str">
        <f t="shared" si="187"/>
        <v>Documented</v>
      </c>
      <c r="X177" s="486">
        <v>0</v>
      </c>
      <c r="Y177" s="471">
        <v>0</v>
      </c>
      <c r="Z177" s="800"/>
      <c r="AA177" s="487" t="s">
        <v>19</v>
      </c>
      <c r="AB177" s="486">
        <v>3</v>
      </c>
      <c r="AC177" s="471">
        <v>0</v>
      </c>
      <c r="AD177" s="487">
        <v>70000</v>
      </c>
      <c r="AE177" s="495">
        <v>0</v>
      </c>
      <c r="AF177" s="496">
        <v>1</v>
      </c>
      <c r="AG177" s="796"/>
      <c r="AH177" s="401">
        <f t="shared" si="188"/>
        <v>1</v>
      </c>
      <c r="AI177" s="378">
        <f t="shared" si="189"/>
        <v>3541</v>
      </c>
      <c r="AJ177" s="379">
        <f t="shared" si="190"/>
        <v>1</v>
      </c>
      <c r="AK177" s="380">
        <f t="shared" si="191"/>
        <v>3541</v>
      </c>
      <c r="AL177" s="377">
        <f t="shared" si="192"/>
        <v>1</v>
      </c>
      <c r="AM177" s="380">
        <f t="shared" si="193"/>
        <v>3541</v>
      </c>
      <c r="AN177" s="381" t="str">
        <f t="shared" si="194"/>
        <v>80-100%</v>
      </c>
      <c r="AO177" s="377">
        <f t="shared" si="195"/>
        <v>0</v>
      </c>
      <c r="AP177" s="382">
        <f t="shared" si="196"/>
        <v>0</v>
      </c>
      <c r="AQ177" s="380">
        <f t="shared" si="197"/>
        <v>5.8524999999999991</v>
      </c>
      <c r="AR177" s="380">
        <f t="shared" si="198"/>
        <v>659</v>
      </c>
      <c r="AS177" s="380">
        <f t="shared" si="199"/>
        <v>0</v>
      </c>
      <c r="AT177" s="504">
        <v>1</v>
      </c>
      <c r="AU177" s="502">
        <f t="shared" si="200"/>
        <v>3541</v>
      </c>
      <c r="AV177" s="491"/>
      <c r="AW177" s="748">
        <v>0</v>
      </c>
      <c r="AX177" s="471">
        <v>0</v>
      </c>
      <c r="AY177" s="471"/>
      <c r="AZ177" s="471">
        <v>659</v>
      </c>
      <c r="BA177" s="471"/>
      <c r="BB177" s="471" t="s">
        <v>89</v>
      </c>
      <c r="BC177" s="383">
        <f t="shared" si="201"/>
        <v>1</v>
      </c>
      <c r="BD177" s="380">
        <f t="shared" si="202"/>
        <v>3541</v>
      </c>
      <c r="BE177" s="383">
        <f t="shared" si="203"/>
        <v>0</v>
      </c>
      <c r="BF177" s="380">
        <f t="shared" si="204"/>
        <v>0</v>
      </c>
      <c r="BG177" s="383">
        <f t="shared" si="205"/>
        <v>1</v>
      </c>
      <c r="BH177" s="380">
        <f t="shared" si="206"/>
        <v>3541</v>
      </c>
      <c r="BI177" s="509">
        <v>0</v>
      </c>
      <c r="BJ177" s="504">
        <v>1</v>
      </c>
      <c r="BK177" s="384">
        <f t="shared" si="219"/>
        <v>3541</v>
      </c>
      <c r="BL177" s="385">
        <f t="shared" si="220"/>
        <v>0</v>
      </c>
      <c r="BM177" s="471">
        <v>0</v>
      </c>
      <c r="BN177" s="471" t="s">
        <v>89</v>
      </c>
      <c r="BO177" s="383">
        <f t="shared" si="207"/>
        <v>0</v>
      </c>
      <c r="BP177" s="380">
        <f t="shared" si="208"/>
        <v>0</v>
      </c>
      <c r="BQ177" s="385">
        <f t="shared" si="209"/>
        <v>35.409999999999997</v>
      </c>
      <c r="BR177" s="510">
        <v>0</v>
      </c>
      <c r="BS177" s="380">
        <f t="shared" si="210"/>
        <v>0</v>
      </c>
      <c r="BT177" s="471">
        <v>0</v>
      </c>
      <c r="BU177" s="383">
        <f t="shared" si="211"/>
        <v>0</v>
      </c>
      <c r="BV177" s="385">
        <f t="shared" si="212"/>
        <v>35.409999999999997</v>
      </c>
      <c r="BW177" s="496">
        <v>0</v>
      </c>
      <c r="BX177" s="517" t="s">
        <v>739</v>
      </c>
      <c r="BY177" s="519">
        <v>41730</v>
      </c>
      <c r="BZ177" s="803"/>
      <c r="CA177" s="806"/>
      <c r="CB177" s="386" t="str">
        <f t="shared" si="213"/>
        <v>To be realised</v>
      </c>
      <c r="CC177" s="509">
        <v>659</v>
      </c>
      <c r="CD177" s="509">
        <v>13</v>
      </c>
      <c r="CE177" s="387">
        <f t="shared" si="214"/>
        <v>659</v>
      </c>
      <c r="CF177" s="388">
        <f t="shared" si="215"/>
        <v>0</v>
      </c>
      <c r="CG177" s="380">
        <f t="shared" si="216"/>
        <v>0</v>
      </c>
      <c r="CH177" s="722">
        <f t="shared" si="217"/>
        <v>4</v>
      </c>
      <c r="CI177" s="520" t="s">
        <v>898</v>
      </c>
      <c r="CJ177" s="496"/>
      <c r="CK177" s="405">
        <f t="shared" si="221"/>
        <v>0</v>
      </c>
      <c r="CL177" s="521">
        <v>0</v>
      </c>
      <c r="CM177" s="389" t="str">
        <f t="shared" si="218"/>
        <v>No coverage</v>
      </c>
      <c r="CN177" s="490">
        <v>0</v>
      </c>
      <c r="CO177" s="529" t="s">
        <v>66</v>
      </c>
      <c r="CP177" s="720"/>
    </row>
    <row r="178" spans="2:94" s="40" customFormat="1" ht="30.75" customHeight="1" thickBot="1" x14ac:dyDescent="0.25">
      <c r="B178" s="465" t="s">
        <v>154</v>
      </c>
      <c r="C178" s="466" t="s">
        <v>602</v>
      </c>
      <c r="D178" s="467" t="s">
        <v>260</v>
      </c>
      <c r="E178" s="466" t="s">
        <v>686</v>
      </c>
      <c r="F178" s="467"/>
      <c r="G178" s="467"/>
      <c r="H178" s="467" t="s">
        <v>448</v>
      </c>
      <c r="I178" s="467" t="s">
        <v>221</v>
      </c>
      <c r="J178" s="467"/>
      <c r="K178" s="467"/>
      <c r="L178" s="468">
        <v>48</v>
      </c>
      <c r="M178" s="468">
        <v>218</v>
      </c>
      <c r="N178" s="468"/>
      <c r="O178" s="468">
        <v>218</v>
      </c>
      <c r="P178" s="376" t="str">
        <f t="shared" si="185"/>
        <v>1. Small</v>
      </c>
      <c r="Q178" s="717" t="s">
        <v>807</v>
      </c>
      <c r="R178" s="469" t="s">
        <v>276</v>
      </c>
      <c r="S178" s="477" t="s">
        <v>232</v>
      </c>
      <c r="T178" s="398" t="str">
        <f t="shared" si="186"/>
        <v>Covered</v>
      </c>
      <c r="U178" s="478">
        <v>42369</v>
      </c>
      <c r="V178" s="469" t="s">
        <v>252</v>
      </c>
      <c r="W178" s="396" t="str">
        <f t="shared" si="187"/>
        <v>Documented</v>
      </c>
      <c r="X178" s="484">
        <v>0</v>
      </c>
      <c r="Y178" s="468">
        <v>0</v>
      </c>
      <c r="Z178" s="801"/>
      <c r="AA178" s="485" t="s">
        <v>19</v>
      </c>
      <c r="AB178" s="484">
        <v>0</v>
      </c>
      <c r="AC178" s="490">
        <v>0</v>
      </c>
      <c r="AD178" s="491">
        <v>30240</v>
      </c>
      <c r="AE178" s="497">
        <v>0</v>
      </c>
      <c r="AF178" s="498">
        <v>1</v>
      </c>
      <c r="AG178" s="797"/>
      <c r="AH178" s="401">
        <f t="shared" si="188"/>
        <v>1</v>
      </c>
      <c r="AI178" s="378">
        <f t="shared" si="189"/>
        <v>218</v>
      </c>
      <c r="AJ178" s="379">
        <f t="shared" si="190"/>
        <v>1</v>
      </c>
      <c r="AK178" s="380">
        <f t="shared" si="191"/>
        <v>218</v>
      </c>
      <c r="AL178" s="377">
        <f t="shared" si="192"/>
        <v>1</v>
      </c>
      <c r="AM178" s="380">
        <f t="shared" si="193"/>
        <v>218</v>
      </c>
      <c r="AN178" s="381" t="str">
        <f t="shared" si="194"/>
        <v>80-100%</v>
      </c>
      <c r="AO178" s="377">
        <f t="shared" si="195"/>
        <v>0</v>
      </c>
      <c r="AP178" s="382">
        <f t="shared" si="196"/>
        <v>0</v>
      </c>
      <c r="AQ178" s="380">
        <f t="shared" si="197"/>
        <v>0.54500000000000004</v>
      </c>
      <c r="AR178" s="380">
        <f t="shared" si="198"/>
        <v>48</v>
      </c>
      <c r="AS178" s="380">
        <f t="shared" si="199"/>
        <v>0</v>
      </c>
      <c r="AT178" s="501">
        <v>1</v>
      </c>
      <c r="AU178" s="502">
        <f t="shared" si="200"/>
        <v>218</v>
      </c>
      <c r="AV178" s="491"/>
      <c r="AW178" s="747">
        <v>4</v>
      </c>
      <c r="AX178" s="468">
        <v>0</v>
      </c>
      <c r="AY178" s="468"/>
      <c r="AZ178" s="468">
        <v>12</v>
      </c>
      <c r="BA178" s="468"/>
      <c r="BB178" s="468" t="s">
        <v>89</v>
      </c>
      <c r="BC178" s="383">
        <f t="shared" si="201"/>
        <v>1</v>
      </c>
      <c r="BD178" s="380">
        <f t="shared" si="202"/>
        <v>218</v>
      </c>
      <c r="BE178" s="383">
        <f t="shared" si="203"/>
        <v>0</v>
      </c>
      <c r="BF178" s="380">
        <f t="shared" si="204"/>
        <v>0</v>
      </c>
      <c r="BG178" s="383">
        <f t="shared" si="205"/>
        <v>1</v>
      </c>
      <c r="BH178" s="380">
        <f t="shared" si="206"/>
        <v>218</v>
      </c>
      <c r="BI178" s="490">
        <v>0</v>
      </c>
      <c r="BJ178" s="506">
        <v>1</v>
      </c>
      <c r="BK178" s="384">
        <f t="shared" si="219"/>
        <v>218</v>
      </c>
      <c r="BL178" s="385">
        <f t="shared" si="220"/>
        <v>0</v>
      </c>
      <c r="BM178" s="468">
        <v>4</v>
      </c>
      <c r="BN178" s="468" t="s">
        <v>89</v>
      </c>
      <c r="BO178" s="383">
        <f t="shared" si="207"/>
        <v>1</v>
      </c>
      <c r="BP178" s="380">
        <f t="shared" si="208"/>
        <v>218</v>
      </c>
      <c r="BQ178" s="385">
        <f t="shared" si="209"/>
        <v>0</v>
      </c>
      <c r="BR178" s="506">
        <v>1</v>
      </c>
      <c r="BS178" s="380">
        <f t="shared" si="210"/>
        <v>218</v>
      </c>
      <c r="BT178" s="468">
        <v>6</v>
      </c>
      <c r="BU178" s="383">
        <f t="shared" si="211"/>
        <v>1</v>
      </c>
      <c r="BV178" s="385">
        <f t="shared" si="212"/>
        <v>0</v>
      </c>
      <c r="BW178" s="494">
        <v>1</v>
      </c>
      <c r="BX178" s="516"/>
      <c r="BY178" s="518">
        <v>41730</v>
      </c>
      <c r="BZ178" s="804"/>
      <c r="CA178" s="807"/>
      <c r="CB178" s="386" t="str">
        <f t="shared" si="213"/>
        <v>To be realised</v>
      </c>
      <c r="CC178" s="468">
        <v>48</v>
      </c>
      <c r="CD178" s="468">
        <v>13</v>
      </c>
      <c r="CE178" s="387">
        <f t="shared" si="214"/>
        <v>48</v>
      </c>
      <c r="CF178" s="388">
        <f t="shared" si="215"/>
        <v>0</v>
      </c>
      <c r="CG178" s="380">
        <f t="shared" si="216"/>
        <v>0</v>
      </c>
      <c r="CH178" s="722">
        <f t="shared" si="217"/>
        <v>4</v>
      </c>
      <c r="CI178" s="484" t="s">
        <v>898</v>
      </c>
      <c r="CJ178" s="498">
        <v>1</v>
      </c>
      <c r="CK178" s="405">
        <f t="shared" si="221"/>
        <v>218</v>
      </c>
      <c r="CL178" s="492">
        <v>0</v>
      </c>
      <c r="CM178" s="389" t="str">
        <f t="shared" si="218"/>
        <v>No coverage</v>
      </c>
      <c r="CN178" s="468">
        <v>0</v>
      </c>
      <c r="CO178" s="485" t="s">
        <v>292</v>
      </c>
      <c r="CP178" s="516"/>
    </row>
    <row r="179" spans="2:94" s="40" customFormat="1" ht="30.75" customHeight="1" thickBot="1" x14ac:dyDescent="0.25">
      <c r="B179" s="465" t="s">
        <v>154</v>
      </c>
      <c r="C179" s="466" t="s">
        <v>603</v>
      </c>
      <c r="D179" s="467" t="s">
        <v>260</v>
      </c>
      <c r="E179" s="466" t="s">
        <v>174</v>
      </c>
      <c r="F179" s="467">
        <v>97.756789999999995</v>
      </c>
      <c r="G179" s="467">
        <v>25.106670000000001</v>
      </c>
      <c r="H179" s="467" t="s">
        <v>448</v>
      </c>
      <c r="I179" s="467" t="s">
        <v>221</v>
      </c>
      <c r="J179" s="467"/>
      <c r="K179" s="467"/>
      <c r="L179" s="473">
        <v>667</v>
      </c>
      <c r="M179" s="473">
        <v>2586</v>
      </c>
      <c r="N179" s="473"/>
      <c r="O179" s="473">
        <v>2586</v>
      </c>
      <c r="P179" s="376" t="str">
        <f t="shared" si="185"/>
        <v>4. Big</v>
      </c>
      <c r="Q179" s="717" t="s">
        <v>805</v>
      </c>
      <c r="R179" s="469" t="s">
        <v>234</v>
      </c>
      <c r="S179" s="477" t="s">
        <v>234</v>
      </c>
      <c r="T179" s="398" t="str">
        <f t="shared" si="186"/>
        <v>Covered</v>
      </c>
      <c r="U179" s="478" t="s">
        <v>626</v>
      </c>
      <c r="V179" s="469" t="s">
        <v>252</v>
      </c>
      <c r="W179" s="396" t="str">
        <f t="shared" si="187"/>
        <v>Documented</v>
      </c>
      <c r="X179" s="484">
        <v>0</v>
      </c>
      <c r="Y179" s="468">
        <v>0</v>
      </c>
      <c r="Z179" s="801"/>
      <c r="AA179" s="485" t="s">
        <v>19</v>
      </c>
      <c r="AB179" s="484">
        <v>0</v>
      </c>
      <c r="AC179" s="490">
        <v>0</v>
      </c>
      <c r="AD179" s="491">
        <v>40000</v>
      </c>
      <c r="AE179" s="497">
        <v>0</v>
      </c>
      <c r="AF179" s="498">
        <v>0</v>
      </c>
      <c r="AG179" s="797"/>
      <c r="AH179" s="401">
        <f t="shared" si="188"/>
        <v>1</v>
      </c>
      <c r="AI179" s="378">
        <f t="shared" si="189"/>
        <v>2586</v>
      </c>
      <c r="AJ179" s="379">
        <f t="shared" si="190"/>
        <v>1</v>
      </c>
      <c r="AK179" s="380">
        <f t="shared" si="191"/>
        <v>2586</v>
      </c>
      <c r="AL179" s="377">
        <f t="shared" si="192"/>
        <v>1</v>
      </c>
      <c r="AM179" s="380">
        <f t="shared" si="193"/>
        <v>2586</v>
      </c>
      <c r="AN179" s="381" t="str">
        <f t="shared" si="194"/>
        <v>80-100%</v>
      </c>
      <c r="AO179" s="377">
        <f t="shared" si="195"/>
        <v>0</v>
      </c>
      <c r="AP179" s="382">
        <f t="shared" si="196"/>
        <v>0</v>
      </c>
      <c r="AQ179" s="380">
        <f t="shared" si="197"/>
        <v>6.4649999999999999</v>
      </c>
      <c r="AR179" s="380">
        <f t="shared" si="198"/>
        <v>0</v>
      </c>
      <c r="AS179" s="380">
        <f t="shared" si="199"/>
        <v>0</v>
      </c>
      <c r="AT179" s="501">
        <v>1</v>
      </c>
      <c r="AU179" s="502">
        <f t="shared" si="200"/>
        <v>2586</v>
      </c>
      <c r="AV179" s="491"/>
      <c r="AW179" s="747">
        <v>24</v>
      </c>
      <c r="AX179" s="468">
        <v>160</v>
      </c>
      <c r="AY179" s="468"/>
      <c r="AZ179" s="468">
        <v>0</v>
      </c>
      <c r="BA179" s="468"/>
      <c r="BB179" s="468" t="s">
        <v>289</v>
      </c>
      <c r="BC179" s="383">
        <f t="shared" si="201"/>
        <v>1</v>
      </c>
      <c r="BD179" s="380">
        <f t="shared" si="202"/>
        <v>2586</v>
      </c>
      <c r="BE179" s="383">
        <f t="shared" si="203"/>
        <v>1</v>
      </c>
      <c r="BF179" s="380">
        <f t="shared" si="204"/>
        <v>2586</v>
      </c>
      <c r="BG179" s="383">
        <f t="shared" si="205"/>
        <v>0</v>
      </c>
      <c r="BH179" s="380">
        <f t="shared" si="206"/>
        <v>0</v>
      </c>
      <c r="BI179" s="468">
        <v>0</v>
      </c>
      <c r="BJ179" s="506">
        <v>1</v>
      </c>
      <c r="BK179" s="384">
        <f t="shared" si="219"/>
        <v>2586</v>
      </c>
      <c r="BL179" s="385">
        <f t="shared" si="220"/>
        <v>129.30000000000001</v>
      </c>
      <c r="BM179" s="468">
        <v>12</v>
      </c>
      <c r="BN179" s="468" t="s">
        <v>290</v>
      </c>
      <c r="BO179" s="383">
        <f t="shared" si="207"/>
        <v>0.46403712296983757</v>
      </c>
      <c r="BP179" s="380">
        <f t="shared" si="208"/>
        <v>1200</v>
      </c>
      <c r="BQ179" s="385">
        <f t="shared" si="209"/>
        <v>13.86</v>
      </c>
      <c r="BR179" s="506">
        <v>0.46</v>
      </c>
      <c r="BS179" s="380">
        <f t="shared" si="210"/>
        <v>1189.56</v>
      </c>
      <c r="BT179" s="468">
        <v>54</v>
      </c>
      <c r="BU179" s="383">
        <f t="shared" si="211"/>
        <v>1</v>
      </c>
      <c r="BV179" s="385">
        <f t="shared" si="212"/>
        <v>0</v>
      </c>
      <c r="BW179" s="494">
        <v>1</v>
      </c>
      <c r="BX179" s="516" t="s">
        <v>876</v>
      </c>
      <c r="BY179" s="518">
        <v>42053</v>
      </c>
      <c r="BZ179" s="804"/>
      <c r="CA179" s="807"/>
      <c r="CB179" s="386">
        <f t="shared" si="213"/>
        <v>42418</v>
      </c>
      <c r="CC179" s="490">
        <v>646</v>
      </c>
      <c r="CD179" s="490">
        <v>4</v>
      </c>
      <c r="CE179" s="387">
        <f t="shared" si="214"/>
        <v>21</v>
      </c>
      <c r="CF179" s="388">
        <f t="shared" si="215"/>
        <v>0.96851574212893554</v>
      </c>
      <c r="CG179" s="380">
        <f t="shared" si="216"/>
        <v>2504.5817091454273</v>
      </c>
      <c r="CH179" s="722">
        <f t="shared" si="217"/>
        <v>2</v>
      </c>
      <c r="CI179" s="484" t="s">
        <v>896</v>
      </c>
      <c r="CJ179" s="494"/>
      <c r="CK179" s="721">
        <f t="shared" si="221"/>
        <v>0</v>
      </c>
      <c r="CL179" s="484">
        <v>2</v>
      </c>
      <c r="CM179" s="389" t="str">
        <f t="shared" si="218"/>
        <v>Low coverage</v>
      </c>
      <c r="CN179" s="490">
        <v>0</v>
      </c>
      <c r="CO179" s="485" t="s">
        <v>66</v>
      </c>
      <c r="CP179" s="516"/>
    </row>
    <row r="180" spans="2:94" x14ac:dyDescent="0.2">
      <c r="T180" s="24" t="str">
        <f t="shared" ref="T180" si="222">IF(S180="None","Not covered","Covered")</f>
        <v>Covered</v>
      </c>
    </row>
  </sheetData>
  <sheetProtection formatCells="0" formatRows="0" insertRows="0" sort="0" autoFilter="0" pivotTables="0"/>
  <autoFilter ref="B4:CP4"/>
  <sortState ref="B5:CG179">
    <sortCondition ref="B5:B179"/>
    <sortCondition ref="E5:E179"/>
  </sortState>
  <dataConsolidate/>
  <mergeCells count="13">
    <mergeCell ref="BY3:CH3"/>
    <mergeCell ref="CL3:CO3"/>
    <mergeCell ref="F2:O2"/>
    <mergeCell ref="F3:I3"/>
    <mergeCell ref="S3:V3"/>
    <mergeCell ref="X3:AA3"/>
    <mergeCell ref="AB3:AD3"/>
    <mergeCell ref="AW3:BW3"/>
    <mergeCell ref="AH3:AV3"/>
    <mergeCell ref="X2:AV2"/>
    <mergeCell ref="AW2:BX2"/>
    <mergeCell ref="CI3:CK3"/>
    <mergeCell ref="AE3:AG3"/>
  </mergeCells>
  <conditionalFormatting sqref="O5:O179">
    <cfRule type="cellIs" dxfId="1" priority="2" operator="notEqual">
      <formula>$M5</formula>
    </cfRule>
  </conditionalFormatting>
  <conditionalFormatting sqref="BJ5:BJ179">
    <cfRule type="cellIs" dxfId="0" priority="1" operator="lessThan">
      <formula>$BC5</formula>
    </cfRule>
  </conditionalFormatting>
  <dataValidations count="17">
    <dataValidation type="whole" allowBlank="1" showInputMessage="1" showErrorMessage="1" sqref="AW65468:BA65474 LB65468:LD65474 UX65468:UZ65474 AET65468:AEV65474 AOP65468:AOR65474 AYL65468:AYN65474 BIH65468:BIJ65474 BSD65468:BSF65474 CBZ65468:CCB65474 CLV65468:CLX65474 CVR65468:CVT65474 DFN65468:DFP65474 DPJ65468:DPL65474 DZF65468:DZH65474 EJB65468:EJD65474 ESX65468:ESZ65474 FCT65468:FCV65474 FMP65468:FMR65474 FWL65468:FWN65474 GGH65468:GGJ65474 GQD65468:GQF65474 GZZ65468:HAB65474 HJV65468:HJX65474 HTR65468:HTT65474 IDN65468:IDP65474 INJ65468:INL65474 IXF65468:IXH65474 JHB65468:JHD65474 JQX65468:JQZ65474 KAT65468:KAV65474 KKP65468:KKR65474 KUL65468:KUN65474 LEH65468:LEJ65474 LOD65468:LOF65474 LXZ65468:LYB65474 MHV65468:MHX65474 MRR65468:MRT65474 NBN65468:NBP65474 NLJ65468:NLL65474 NVF65468:NVH65474 OFB65468:OFD65474 OOX65468:OOZ65474 OYT65468:OYV65474 PIP65468:PIR65474 PSL65468:PSN65474 QCH65468:QCJ65474 QMD65468:QMF65474 QVZ65468:QWB65474 RFV65468:RFX65474 RPR65468:RPT65474 RZN65468:RZP65474 SJJ65468:SJL65474 STF65468:STH65474 TDB65468:TDD65474 TMX65468:TMZ65474 TWT65468:TWV65474 UGP65468:UGR65474 UQL65468:UQN65474 VAH65468:VAJ65474 VKD65468:VKF65474 VTZ65468:VUB65474 WDV65468:WDX65474 WNR65468:WNT65474 WXN65468:WXP65474 AW131004:BA131010 LB131004:LD131010 UX131004:UZ131010 AET131004:AEV131010 AOP131004:AOR131010 AYL131004:AYN131010 BIH131004:BIJ131010 BSD131004:BSF131010 CBZ131004:CCB131010 CLV131004:CLX131010 CVR131004:CVT131010 DFN131004:DFP131010 DPJ131004:DPL131010 DZF131004:DZH131010 EJB131004:EJD131010 ESX131004:ESZ131010 FCT131004:FCV131010 FMP131004:FMR131010 FWL131004:FWN131010 GGH131004:GGJ131010 GQD131004:GQF131010 GZZ131004:HAB131010 HJV131004:HJX131010 HTR131004:HTT131010 IDN131004:IDP131010 INJ131004:INL131010 IXF131004:IXH131010 JHB131004:JHD131010 JQX131004:JQZ131010 KAT131004:KAV131010 KKP131004:KKR131010 KUL131004:KUN131010 LEH131004:LEJ131010 LOD131004:LOF131010 LXZ131004:LYB131010 MHV131004:MHX131010 MRR131004:MRT131010 NBN131004:NBP131010 NLJ131004:NLL131010 NVF131004:NVH131010 OFB131004:OFD131010 OOX131004:OOZ131010 OYT131004:OYV131010 PIP131004:PIR131010 PSL131004:PSN131010 QCH131004:QCJ131010 QMD131004:QMF131010 QVZ131004:QWB131010 RFV131004:RFX131010 RPR131004:RPT131010 RZN131004:RZP131010 SJJ131004:SJL131010 STF131004:STH131010 TDB131004:TDD131010 TMX131004:TMZ131010 TWT131004:TWV131010 UGP131004:UGR131010 UQL131004:UQN131010 VAH131004:VAJ131010 VKD131004:VKF131010 VTZ131004:VUB131010 WDV131004:WDX131010 WNR131004:WNT131010 WXN131004:WXP131010 AW196540:BA196546 LB196540:LD196546 UX196540:UZ196546 AET196540:AEV196546 AOP196540:AOR196546 AYL196540:AYN196546 BIH196540:BIJ196546 BSD196540:BSF196546 CBZ196540:CCB196546 CLV196540:CLX196546 CVR196540:CVT196546 DFN196540:DFP196546 DPJ196540:DPL196546 DZF196540:DZH196546 EJB196540:EJD196546 ESX196540:ESZ196546 FCT196540:FCV196546 FMP196540:FMR196546 FWL196540:FWN196546 GGH196540:GGJ196546 GQD196540:GQF196546 GZZ196540:HAB196546 HJV196540:HJX196546 HTR196540:HTT196546 IDN196540:IDP196546 INJ196540:INL196546 IXF196540:IXH196546 JHB196540:JHD196546 JQX196540:JQZ196546 KAT196540:KAV196546 KKP196540:KKR196546 KUL196540:KUN196546 LEH196540:LEJ196546 LOD196540:LOF196546 LXZ196540:LYB196546 MHV196540:MHX196546 MRR196540:MRT196546 NBN196540:NBP196546 NLJ196540:NLL196546 NVF196540:NVH196546 OFB196540:OFD196546 OOX196540:OOZ196546 OYT196540:OYV196546 PIP196540:PIR196546 PSL196540:PSN196546 QCH196540:QCJ196546 QMD196540:QMF196546 QVZ196540:QWB196546 RFV196540:RFX196546 RPR196540:RPT196546 RZN196540:RZP196546 SJJ196540:SJL196546 STF196540:STH196546 TDB196540:TDD196546 TMX196540:TMZ196546 TWT196540:TWV196546 UGP196540:UGR196546 UQL196540:UQN196546 VAH196540:VAJ196546 VKD196540:VKF196546 VTZ196540:VUB196546 WDV196540:WDX196546 WNR196540:WNT196546 WXN196540:WXP196546 AW262076:BA262082 LB262076:LD262082 UX262076:UZ262082 AET262076:AEV262082 AOP262076:AOR262082 AYL262076:AYN262082 BIH262076:BIJ262082 BSD262076:BSF262082 CBZ262076:CCB262082 CLV262076:CLX262082 CVR262076:CVT262082 DFN262076:DFP262082 DPJ262076:DPL262082 DZF262076:DZH262082 EJB262076:EJD262082 ESX262076:ESZ262082 FCT262076:FCV262082 FMP262076:FMR262082 FWL262076:FWN262082 GGH262076:GGJ262082 GQD262076:GQF262082 GZZ262076:HAB262082 HJV262076:HJX262082 HTR262076:HTT262082 IDN262076:IDP262082 INJ262076:INL262082 IXF262076:IXH262082 JHB262076:JHD262082 JQX262076:JQZ262082 KAT262076:KAV262082 KKP262076:KKR262082 KUL262076:KUN262082 LEH262076:LEJ262082 LOD262076:LOF262082 LXZ262076:LYB262082 MHV262076:MHX262082 MRR262076:MRT262082 NBN262076:NBP262082 NLJ262076:NLL262082 NVF262076:NVH262082 OFB262076:OFD262082 OOX262076:OOZ262082 OYT262076:OYV262082 PIP262076:PIR262082 PSL262076:PSN262082 QCH262076:QCJ262082 QMD262076:QMF262082 QVZ262076:QWB262082 RFV262076:RFX262082 RPR262076:RPT262082 RZN262076:RZP262082 SJJ262076:SJL262082 STF262076:STH262082 TDB262076:TDD262082 TMX262076:TMZ262082 TWT262076:TWV262082 UGP262076:UGR262082 UQL262076:UQN262082 VAH262076:VAJ262082 VKD262076:VKF262082 VTZ262076:VUB262082 WDV262076:WDX262082 WNR262076:WNT262082 WXN262076:WXP262082 AW327612:BA327618 LB327612:LD327618 UX327612:UZ327618 AET327612:AEV327618 AOP327612:AOR327618 AYL327612:AYN327618 BIH327612:BIJ327618 BSD327612:BSF327618 CBZ327612:CCB327618 CLV327612:CLX327618 CVR327612:CVT327618 DFN327612:DFP327618 DPJ327612:DPL327618 DZF327612:DZH327618 EJB327612:EJD327618 ESX327612:ESZ327618 FCT327612:FCV327618 FMP327612:FMR327618 FWL327612:FWN327618 GGH327612:GGJ327618 GQD327612:GQF327618 GZZ327612:HAB327618 HJV327612:HJX327618 HTR327612:HTT327618 IDN327612:IDP327618 INJ327612:INL327618 IXF327612:IXH327618 JHB327612:JHD327618 JQX327612:JQZ327618 KAT327612:KAV327618 KKP327612:KKR327618 KUL327612:KUN327618 LEH327612:LEJ327618 LOD327612:LOF327618 LXZ327612:LYB327618 MHV327612:MHX327618 MRR327612:MRT327618 NBN327612:NBP327618 NLJ327612:NLL327618 NVF327612:NVH327618 OFB327612:OFD327618 OOX327612:OOZ327618 OYT327612:OYV327618 PIP327612:PIR327618 PSL327612:PSN327618 QCH327612:QCJ327618 QMD327612:QMF327618 QVZ327612:QWB327618 RFV327612:RFX327618 RPR327612:RPT327618 RZN327612:RZP327618 SJJ327612:SJL327618 STF327612:STH327618 TDB327612:TDD327618 TMX327612:TMZ327618 TWT327612:TWV327618 UGP327612:UGR327618 UQL327612:UQN327618 VAH327612:VAJ327618 VKD327612:VKF327618 VTZ327612:VUB327618 WDV327612:WDX327618 WNR327612:WNT327618 WXN327612:WXP327618 AW393148:BA393154 LB393148:LD393154 UX393148:UZ393154 AET393148:AEV393154 AOP393148:AOR393154 AYL393148:AYN393154 BIH393148:BIJ393154 BSD393148:BSF393154 CBZ393148:CCB393154 CLV393148:CLX393154 CVR393148:CVT393154 DFN393148:DFP393154 DPJ393148:DPL393154 DZF393148:DZH393154 EJB393148:EJD393154 ESX393148:ESZ393154 FCT393148:FCV393154 FMP393148:FMR393154 FWL393148:FWN393154 GGH393148:GGJ393154 GQD393148:GQF393154 GZZ393148:HAB393154 HJV393148:HJX393154 HTR393148:HTT393154 IDN393148:IDP393154 INJ393148:INL393154 IXF393148:IXH393154 JHB393148:JHD393154 JQX393148:JQZ393154 KAT393148:KAV393154 KKP393148:KKR393154 KUL393148:KUN393154 LEH393148:LEJ393154 LOD393148:LOF393154 LXZ393148:LYB393154 MHV393148:MHX393154 MRR393148:MRT393154 NBN393148:NBP393154 NLJ393148:NLL393154 NVF393148:NVH393154 OFB393148:OFD393154 OOX393148:OOZ393154 OYT393148:OYV393154 PIP393148:PIR393154 PSL393148:PSN393154 QCH393148:QCJ393154 QMD393148:QMF393154 QVZ393148:QWB393154 RFV393148:RFX393154 RPR393148:RPT393154 RZN393148:RZP393154 SJJ393148:SJL393154 STF393148:STH393154 TDB393148:TDD393154 TMX393148:TMZ393154 TWT393148:TWV393154 UGP393148:UGR393154 UQL393148:UQN393154 VAH393148:VAJ393154 VKD393148:VKF393154 VTZ393148:VUB393154 WDV393148:WDX393154 WNR393148:WNT393154 WXN393148:WXP393154 AW458684:BA458690 LB458684:LD458690 UX458684:UZ458690 AET458684:AEV458690 AOP458684:AOR458690 AYL458684:AYN458690 BIH458684:BIJ458690 BSD458684:BSF458690 CBZ458684:CCB458690 CLV458684:CLX458690 CVR458684:CVT458690 DFN458684:DFP458690 DPJ458684:DPL458690 DZF458684:DZH458690 EJB458684:EJD458690 ESX458684:ESZ458690 FCT458684:FCV458690 FMP458684:FMR458690 FWL458684:FWN458690 GGH458684:GGJ458690 GQD458684:GQF458690 GZZ458684:HAB458690 HJV458684:HJX458690 HTR458684:HTT458690 IDN458684:IDP458690 INJ458684:INL458690 IXF458684:IXH458690 JHB458684:JHD458690 JQX458684:JQZ458690 KAT458684:KAV458690 KKP458684:KKR458690 KUL458684:KUN458690 LEH458684:LEJ458690 LOD458684:LOF458690 LXZ458684:LYB458690 MHV458684:MHX458690 MRR458684:MRT458690 NBN458684:NBP458690 NLJ458684:NLL458690 NVF458684:NVH458690 OFB458684:OFD458690 OOX458684:OOZ458690 OYT458684:OYV458690 PIP458684:PIR458690 PSL458684:PSN458690 QCH458684:QCJ458690 QMD458684:QMF458690 QVZ458684:QWB458690 RFV458684:RFX458690 RPR458684:RPT458690 RZN458684:RZP458690 SJJ458684:SJL458690 STF458684:STH458690 TDB458684:TDD458690 TMX458684:TMZ458690 TWT458684:TWV458690 UGP458684:UGR458690 UQL458684:UQN458690 VAH458684:VAJ458690 VKD458684:VKF458690 VTZ458684:VUB458690 WDV458684:WDX458690 WNR458684:WNT458690 WXN458684:WXP458690 AW524220:BA524226 LB524220:LD524226 UX524220:UZ524226 AET524220:AEV524226 AOP524220:AOR524226 AYL524220:AYN524226 BIH524220:BIJ524226 BSD524220:BSF524226 CBZ524220:CCB524226 CLV524220:CLX524226 CVR524220:CVT524226 DFN524220:DFP524226 DPJ524220:DPL524226 DZF524220:DZH524226 EJB524220:EJD524226 ESX524220:ESZ524226 FCT524220:FCV524226 FMP524220:FMR524226 FWL524220:FWN524226 GGH524220:GGJ524226 GQD524220:GQF524226 GZZ524220:HAB524226 HJV524220:HJX524226 HTR524220:HTT524226 IDN524220:IDP524226 INJ524220:INL524226 IXF524220:IXH524226 JHB524220:JHD524226 JQX524220:JQZ524226 KAT524220:KAV524226 KKP524220:KKR524226 KUL524220:KUN524226 LEH524220:LEJ524226 LOD524220:LOF524226 LXZ524220:LYB524226 MHV524220:MHX524226 MRR524220:MRT524226 NBN524220:NBP524226 NLJ524220:NLL524226 NVF524220:NVH524226 OFB524220:OFD524226 OOX524220:OOZ524226 OYT524220:OYV524226 PIP524220:PIR524226 PSL524220:PSN524226 QCH524220:QCJ524226 QMD524220:QMF524226 QVZ524220:QWB524226 RFV524220:RFX524226 RPR524220:RPT524226 RZN524220:RZP524226 SJJ524220:SJL524226 STF524220:STH524226 TDB524220:TDD524226 TMX524220:TMZ524226 TWT524220:TWV524226 UGP524220:UGR524226 UQL524220:UQN524226 VAH524220:VAJ524226 VKD524220:VKF524226 VTZ524220:VUB524226 WDV524220:WDX524226 WNR524220:WNT524226 WXN524220:WXP524226 AW589756:BA589762 LB589756:LD589762 UX589756:UZ589762 AET589756:AEV589762 AOP589756:AOR589762 AYL589756:AYN589762 BIH589756:BIJ589762 BSD589756:BSF589762 CBZ589756:CCB589762 CLV589756:CLX589762 CVR589756:CVT589762 DFN589756:DFP589762 DPJ589756:DPL589762 DZF589756:DZH589762 EJB589756:EJD589762 ESX589756:ESZ589762 FCT589756:FCV589762 FMP589756:FMR589762 FWL589756:FWN589762 GGH589756:GGJ589762 GQD589756:GQF589762 GZZ589756:HAB589762 HJV589756:HJX589762 HTR589756:HTT589762 IDN589756:IDP589762 INJ589756:INL589762 IXF589756:IXH589762 JHB589756:JHD589762 JQX589756:JQZ589762 KAT589756:KAV589762 KKP589756:KKR589762 KUL589756:KUN589762 LEH589756:LEJ589762 LOD589756:LOF589762 LXZ589756:LYB589762 MHV589756:MHX589762 MRR589756:MRT589762 NBN589756:NBP589762 NLJ589756:NLL589762 NVF589756:NVH589762 OFB589756:OFD589762 OOX589756:OOZ589762 OYT589756:OYV589762 PIP589756:PIR589762 PSL589756:PSN589762 QCH589756:QCJ589762 QMD589756:QMF589762 QVZ589756:QWB589762 RFV589756:RFX589762 RPR589756:RPT589762 RZN589756:RZP589762 SJJ589756:SJL589762 STF589756:STH589762 TDB589756:TDD589762 TMX589756:TMZ589762 TWT589756:TWV589762 UGP589756:UGR589762 UQL589756:UQN589762 VAH589756:VAJ589762 VKD589756:VKF589762 VTZ589756:VUB589762 WDV589756:WDX589762 WNR589756:WNT589762 WXN589756:WXP589762 AW655292:BA655298 LB655292:LD655298 UX655292:UZ655298 AET655292:AEV655298 AOP655292:AOR655298 AYL655292:AYN655298 BIH655292:BIJ655298 BSD655292:BSF655298 CBZ655292:CCB655298 CLV655292:CLX655298 CVR655292:CVT655298 DFN655292:DFP655298 DPJ655292:DPL655298 DZF655292:DZH655298 EJB655292:EJD655298 ESX655292:ESZ655298 FCT655292:FCV655298 FMP655292:FMR655298 FWL655292:FWN655298 GGH655292:GGJ655298 GQD655292:GQF655298 GZZ655292:HAB655298 HJV655292:HJX655298 HTR655292:HTT655298 IDN655292:IDP655298 INJ655292:INL655298 IXF655292:IXH655298 JHB655292:JHD655298 JQX655292:JQZ655298 KAT655292:KAV655298 KKP655292:KKR655298 KUL655292:KUN655298 LEH655292:LEJ655298 LOD655292:LOF655298 LXZ655292:LYB655298 MHV655292:MHX655298 MRR655292:MRT655298 NBN655292:NBP655298 NLJ655292:NLL655298 NVF655292:NVH655298 OFB655292:OFD655298 OOX655292:OOZ655298 OYT655292:OYV655298 PIP655292:PIR655298 PSL655292:PSN655298 QCH655292:QCJ655298 QMD655292:QMF655298 QVZ655292:QWB655298 RFV655292:RFX655298 RPR655292:RPT655298 RZN655292:RZP655298 SJJ655292:SJL655298 STF655292:STH655298 TDB655292:TDD655298 TMX655292:TMZ655298 TWT655292:TWV655298 UGP655292:UGR655298 UQL655292:UQN655298 VAH655292:VAJ655298 VKD655292:VKF655298 VTZ655292:VUB655298 WDV655292:WDX655298 WNR655292:WNT655298 WXN655292:WXP655298 AW720828:BA720834 LB720828:LD720834 UX720828:UZ720834 AET720828:AEV720834 AOP720828:AOR720834 AYL720828:AYN720834 BIH720828:BIJ720834 BSD720828:BSF720834 CBZ720828:CCB720834 CLV720828:CLX720834 CVR720828:CVT720834 DFN720828:DFP720834 DPJ720828:DPL720834 DZF720828:DZH720834 EJB720828:EJD720834 ESX720828:ESZ720834 FCT720828:FCV720834 FMP720828:FMR720834 FWL720828:FWN720834 GGH720828:GGJ720834 GQD720828:GQF720834 GZZ720828:HAB720834 HJV720828:HJX720834 HTR720828:HTT720834 IDN720828:IDP720834 INJ720828:INL720834 IXF720828:IXH720834 JHB720828:JHD720834 JQX720828:JQZ720834 KAT720828:KAV720834 KKP720828:KKR720834 KUL720828:KUN720834 LEH720828:LEJ720834 LOD720828:LOF720834 LXZ720828:LYB720834 MHV720828:MHX720834 MRR720828:MRT720834 NBN720828:NBP720834 NLJ720828:NLL720834 NVF720828:NVH720834 OFB720828:OFD720834 OOX720828:OOZ720834 OYT720828:OYV720834 PIP720828:PIR720834 PSL720828:PSN720834 QCH720828:QCJ720834 QMD720828:QMF720834 QVZ720828:QWB720834 RFV720828:RFX720834 RPR720828:RPT720834 RZN720828:RZP720834 SJJ720828:SJL720834 STF720828:STH720834 TDB720828:TDD720834 TMX720828:TMZ720834 TWT720828:TWV720834 UGP720828:UGR720834 UQL720828:UQN720834 VAH720828:VAJ720834 VKD720828:VKF720834 VTZ720828:VUB720834 WDV720828:WDX720834 WNR720828:WNT720834 WXN720828:WXP720834 AW786364:BA786370 LB786364:LD786370 UX786364:UZ786370 AET786364:AEV786370 AOP786364:AOR786370 AYL786364:AYN786370 BIH786364:BIJ786370 BSD786364:BSF786370 CBZ786364:CCB786370 CLV786364:CLX786370 CVR786364:CVT786370 DFN786364:DFP786370 DPJ786364:DPL786370 DZF786364:DZH786370 EJB786364:EJD786370 ESX786364:ESZ786370 FCT786364:FCV786370 FMP786364:FMR786370 FWL786364:FWN786370 GGH786364:GGJ786370 GQD786364:GQF786370 GZZ786364:HAB786370 HJV786364:HJX786370 HTR786364:HTT786370 IDN786364:IDP786370 INJ786364:INL786370 IXF786364:IXH786370 JHB786364:JHD786370 JQX786364:JQZ786370 KAT786364:KAV786370 KKP786364:KKR786370 KUL786364:KUN786370 LEH786364:LEJ786370 LOD786364:LOF786370 LXZ786364:LYB786370 MHV786364:MHX786370 MRR786364:MRT786370 NBN786364:NBP786370 NLJ786364:NLL786370 NVF786364:NVH786370 OFB786364:OFD786370 OOX786364:OOZ786370 OYT786364:OYV786370 PIP786364:PIR786370 PSL786364:PSN786370 QCH786364:QCJ786370 QMD786364:QMF786370 QVZ786364:QWB786370 RFV786364:RFX786370 RPR786364:RPT786370 RZN786364:RZP786370 SJJ786364:SJL786370 STF786364:STH786370 TDB786364:TDD786370 TMX786364:TMZ786370 TWT786364:TWV786370 UGP786364:UGR786370 UQL786364:UQN786370 VAH786364:VAJ786370 VKD786364:VKF786370 VTZ786364:VUB786370 WDV786364:WDX786370 WNR786364:WNT786370 WXN786364:WXP786370 AW851900:BA851906 LB851900:LD851906 UX851900:UZ851906 AET851900:AEV851906 AOP851900:AOR851906 AYL851900:AYN851906 BIH851900:BIJ851906 BSD851900:BSF851906 CBZ851900:CCB851906 CLV851900:CLX851906 CVR851900:CVT851906 DFN851900:DFP851906 DPJ851900:DPL851906 DZF851900:DZH851906 EJB851900:EJD851906 ESX851900:ESZ851906 FCT851900:FCV851906 FMP851900:FMR851906 FWL851900:FWN851906 GGH851900:GGJ851906 GQD851900:GQF851906 GZZ851900:HAB851906 HJV851900:HJX851906 HTR851900:HTT851906 IDN851900:IDP851906 INJ851900:INL851906 IXF851900:IXH851906 JHB851900:JHD851906 JQX851900:JQZ851906 KAT851900:KAV851906 KKP851900:KKR851906 KUL851900:KUN851906 LEH851900:LEJ851906 LOD851900:LOF851906 LXZ851900:LYB851906 MHV851900:MHX851906 MRR851900:MRT851906 NBN851900:NBP851906 NLJ851900:NLL851906 NVF851900:NVH851906 OFB851900:OFD851906 OOX851900:OOZ851906 OYT851900:OYV851906 PIP851900:PIR851906 PSL851900:PSN851906 QCH851900:QCJ851906 QMD851900:QMF851906 QVZ851900:QWB851906 RFV851900:RFX851906 RPR851900:RPT851906 RZN851900:RZP851906 SJJ851900:SJL851906 STF851900:STH851906 TDB851900:TDD851906 TMX851900:TMZ851906 TWT851900:TWV851906 UGP851900:UGR851906 UQL851900:UQN851906 VAH851900:VAJ851906 VKD851900:VKF851906 VTZ851900:VUB851906 WDV851900:WDX851906 WNR851900:WNT851906 WXN851900:WXP851906 AW917436:BA917442 LB917436:LD917442 UX917436:UZ917442 AET917436:AEV917442 AOP917436:AOR917442 AYL917436:AYN917442 BIH917436:BIJ917442 BSD917436:BSF917442 CBZ917436:CCB917442 CLV917436:CLX917442 CVR917436:CVT917442 DFN917436:DFP917442 DPJ917436:DPL917442 DZF917436:DZH917442 EJB917436:EJD917442 ESX917436:ESZ917442 FCT917436:FCV917442 FMP917436:FMR917442 FWL917436:FWN917442 GGH917436:GGJ917442 GQD917436:GQF917442 GZZ917436:HAB917442 HJV917436:HJX917442 HTR917436:HTT917442 IDN917436:IDP917442 INJ917436:INL917442 IXF917436:IXH917442 JHB917436:JHD917442 JQX917436:JQZ917442 KAT917436:KAV917442 KKP917436:KKR917442 KUL917436:KUN917442 LEH917436:LEJ917442 LOD917436:LOF917442 LXZ917436:LYB917442 MHV917436:MHX917442 MRR917436:MRT917442 NBN917436:NBP917442 NLJ917436:NLL917442 NVF917436:NVH917442 OFB917436:OFD917442 OOX917436:OOZ917442 OYT917436:OYV917442 PIP917436:PIR917442 PSL917436:PSN917442 QCH917436:QCJ917442 QMD917436:QMF917442 QVZ917436:QWB917442 RFV917436:RFX917442 RPR917436:RPT917442 RZN917436:RZP917442 SJJ917436:SJL917442 STF917436:STH917442 TDB917436:TDD917442 TMX917436:TMZ917442 TWT917436:TWV917442 UGP917436:UGR917442 UQL917436:UQN917442 VAH917436:VAJ917442 VKD917436:VKF917442 VTZ917436:VUB917442 WDV917436:WDX917442 WNR917436:WNT917442 WXN917436:WXP917442 AW982972:BA982978 LB982972:LD982978 UX982972:UZ982978 AET982972:AEV982978 AOP982972:AOR982978 AYL982972:AYN982978 BIH982972:BIJ982978 BSD982972:BSF982978 CBZ982972:CCB982978 CLV982972:CLX982978 CVR982972:CVT982978 DFN982972:DFP982978 DPJ982972:DPL982978 DZF982972:DZH982978 EJB982972:EJD982978 ESX982972:ESZ982978 FCT982972:FCV982978 FMP982972:FMR982978 FWL982972:FWN982978 GGH982972:GGJ982978 GQD982972:GQF982978 GZZ982972:HAB982978 HJV982972:HJX982978 HTR982972:HTT982978 IDN982972:IDP982978 INJ982972:INL982978 IXF982972:IXH982978 JHB982972:JHD982978 JQX982972:JQZ982978 KAT982972:KAV982978 KKP982972:KKR982978 KUL982972:KUN982978 LEH982972:LEJ982978 LOD982972:LOF982978 LXZ982972:LYB982978 MHV982972:MHX982978 MRR982972:MRT982978 NBN982972:NBP982978 NLJ982972:NLL982978 NVF982972:NVH982978 OFB982972:OFD982978 OOX982972:OOZ982978 OYT982972:OYV982978 PIP982972:PIR982978 PSL982972:PSN982978 QCH982972:QCJ982978 QMD982972:QMF982978 QVZ982972:QWB982978 RFV982972:RFX982978 RPR982972:RPT982978 RZN982972:RZP982978 SJJ982972:SJL982978 STF982972:STH982978 TDB982972:TDD982978 TMX982972:TMZ982978 TWT982972:TWV982978 UGP982972:UGR982978 UQL982972:UQN982978 VAH982972:VAJ982978 VKD982972:VKF982978 VTZ982972:VUB982978 WDV982972:WDX982978 WNR982972:WNT982978 WXN982972:WXP982978 AW65450:BA65451 LB65450:LD65451 UX65450:UZ65451 AET65450:AEV65451 AOP65450:AOR65451 AYL65450:AYN65451 BIH65450:BIJ65451 BSD65450:BSF65451 CBZ65450:CCB65451 CLV65450:CLX65451 CVR65450:CVT65451 DFN65450:DFP65451 DPJ65450:DPL65451 DZF65450:DZH65451 EJB65450:EJD65451 ESX65450:ESZ65451 FCT65450:FCV65451 FMP65450:FMR65451 FWL65450:FWN65451 GGH65450:GGJ65451 GQD65450:GQF65451 GZZ65450:HAB65451 HJV65450:HJX65451 HTR65450:HTT65451 IDN65450:IDP65451 INJ65450:INL65451 IXF65450:IXH65451 JHB65450:JHD65451 JQX65450:JQZ65451 KAT65450:KAV65451 KKP65450:KKR65451 KUL65450:KUN65451 LEH65450:LEJ65451 LOD65450:LOF65451 LXZ65450:LYB65451 MHV65450:MHX65451 MRR65450:MRT65451 NBN65450:NBP65451 NLJ65450:NLL65451 NVF65450:NVH65451 OFB65450:OFD65451 OOX65450:OOZ65451 OYT65450:OYV65451 PIP65450:PIR65451 PSL65450:PSN65451 QCH65450:QCJ65451 QMD65450:QMF65451 QVZ65450:QWB65451 RFV65450:RFX65451 RPR65450:RPT65451 RZN65450:RZP65451 SJJ65450:SJL65451 STF65450:STH65451 TDB65450:TDD65451 TMX65450:TMZ65451 TWT65450:TWV65451 UGP65450:UGR65451 UQL65450:UQN65451 VAH65450:VAJ65451 VKD65450:VKF65451 VTZ65450:VUB65451 WDV65450:WDX65451 WNR65450:WNT65451 WXN65450:WXP65451 AW130986:BA130987 LB130986:LD130987 UX130986:UZ130987 AET130986:AEV130987 AOP130986:AOR130987 AYL130986:AYN130987 BIH130986:BIJ130987 BSD130986:BSF130987 CBZ130986:CCB130987 CLV130986:CLX130987 CVR130986:CVT130987 DFN130986:DFP130987 DPJ130986:DPL130987 DZF130986:DZH130987 EJB130986:EJD130987 ESX130986:ESZ130987 FCT130986:FCV130987 FMP130986:FMR130987 FWL130986:FWN130987 GGH130986:GGJ130987 GQD130986:GQF130987 GZZ130986:HAB130987 HJV130986:HJX130987 HTR130986:HTT130987 IDN130986:IDP130987 INJ130986:INL130987 IXF130986:IXH130987 JHB130986:JHD130987 JQX130986:JQZ130987 KAT130986:KAV130987 KKP130986:KKR130987 KUL130986:KUN130987 LEH130986:LEJ130987 LOD130986:LOF130987 LXZ130986:LYB130987 MHV130986:MHX130987 MRR130986:MRT130987 NBN130986:NBP130987 NLJ130986:NLL130987 NVF130986:NVH130987 OFB130986:OFD130987 OOX130986:OOZ130987 OYT130986:OYV130987 PIP130986:PIR130987 PSL130986:PSN130987 QCH130986:QCJ130987 QMD130986:QMF130987 QVZ130986:QWB130987 RFV130986:RFX130987 RPR130986:RPT130987 RZN130986:RZP130987 SJJ130986:SJL130987 STF130986:STH130987 TDB130986:TDD130987 TMX130986:TMZ130987 TWT130986:TWV130987 UGP130986:UGR130987 UQL130986:UQN130987 VAH130986:VAJ130987 VKD130986:VKF130987 VTZ130986:VUB130987 WDV130986:WDX130987 WNR130986:WNT130987 WXN130986:WXP130987 AW196522:BA196523 LB196522:LD196523 UX196522:UZ196523 AET196522:AEV196523 AOP196522:AOR196523 AYL196522:AYN196523 BIH196522:BIJ196523 BSD196522:BSF196523 CBZ196522:CCB196523 CLV196522:CLX196523 CVR196522:CVT196523 DFN196522:DFP196523 DPJ196522:DPL196523 DZF196522:DZH196523 EJB196522:EJD196523 ESX196522:ESZ196523 FCT196522:FCV196523 FMP196522:FMR196523 FWL196522:FWN196523 GGH196522:GGJ196523 GQD196522:GQF196523 GZZ196522:HAB196523 HJV196522:HJX196523 HTR196522:HTT196523 IDN196522:IDP196523 INJ196522:INL196523 IXF196522:IXH196523 JHB196522:JHD196523 JQX196522:JQZ196523 KAT196522:KAV196523 KKP196522:KKR196523 KUL196522:KUN196523 LEH196522:LEJ196523 LOD196522:LOF196523 LXZ196522:LYB196523 MHV196522:MHX196523 MRR196522:MRT196523 NBN196522:NBP196523 NLJ196522:NLL196523 NVF196522:NVH196523 OFB196522:OFD196523 OOX196522:OOZ196523 OYT196522:OYV196523 PIP196522:PIR196523 PSL196522:PSN196523 QCH196522:QCJ196523 QMD196522:QMF196523 QVZ196522:QWB196523 RFV196522:RFX196523 RPR196522:RPT196523 RZN196522:RZP196523 SJJ196522:SJL196523 STF196522:STH196523 TDB196522:TDD196523 TMX196522:TMZ196523 TWT196522:TWV196523 UGP196522:UGR196523 UQL196522:UQN196523 VAH196522:VAJ196523 VKD196522:VKF196523 VTZ196522:VUB196523 WDV196522:WDX196523 WNR196522:WNT196523 WXN196522:WXP196523 AW262058:BA262059 LB262058:LD262059 UX262058:UZ262059 AET262058:AEV262059 AOP262058:AOR262059 AYL262058:AYN262059 BIH262058:BIJ262059 BSD262058:BSF262059 CBZ262058:CCB262059 CLV262058:CLX262059 CVR262058:CVT262059 DFN262058:DFP262059 DPJ262058:DPL262059 DZF262058:DZH262059 EJB262058:EJD262059 ESX262058:ESZ262059 FCT262058:FCV262059 FMP262058:FMR262059 FWL262058:FWN262059 GGH262058:GGJ262059 GQD262058:GQF262059 GZZ262058:HAB262059 HJV262058:HJX262059 HTR262058:HTT262059 IDN262058:IDP262059 INJ262058:INL262059 IXF262058:IXH262059 JHB262058:JHD262059 JQX262058:JQZ262059 KAT262058:KAV262059 KKP262058:KKR262059 KUL262058:KUN262059 LEH262058:LEJ262059 LOD262058:LOF262059 LXZ262058:LYB262059 MHV262058:MHX262059 MRR262058:MRT262059 NBN262058:NBP262059 NLJ262058:NLL262059 NVF262058:NVH262059 OFB262058:OFD262059 OOX262058:OOZ262059 OYT262058:OYV262059 PIP262058:PIR262059 PSL262058:PSN262059 QCH262058:QCJ262059 QMD262058:QMF262059 QVZ262058:QWB262059 RFV262058:RFX262059 RPR262058:RPT262059 RZN262058:RZP262059 SJJ262058:SJL262059 STF262058:STH262059 TDB262058:TDD262059 TMX262058:TMZ262059 TWT262058:TWV262059 UGP262058:UGR262059 UQL262058:UQN262059 VAH262058:VAJ262059 VKD262058:VKF262059 VTZ262058:VUB262059 WDV262058:WDX262059 WNR262058:WNT262059 WXN262058:WXP262059 AW327594:BA327595 LB327594:LD327595 UX327594:UZ327595 AET327594:AEV327595 AOP327594:AOR327595 AYL327594:AYN327595 BIH327594:BIJ327595 BSD327594:BSF327595 CBZ327594:CCB327595 CLV327594:CLX327595 CVR327594:CVT327595 DFN327594:DFP327595 DPJ327594:DPL327595 DZF327594:DZH327595 EJB327594:EJD327595 ESX327594:ESZ327595 FCT327594:FCV327595 FMP327594:FMR327595 FWL327594:FWN327595 GGH327594:GGJ327595 GQD327594:GQF327595 GZZ327594:HAB327595 HJV327594:HJX327595 HTR327594:HTT327595 IDN327594:IDP327595 INJ327594:INL327595 IXF327594:IXH327595 JHB327594:JHD327595 JQX327594:JQZ327595 KAT327594:KAV327595 KKP327594:KKR327595 KUL327594:KUN327595 LEH327594:LEJ327595 LOD327594:LOF327595 LXZ327594:LYB327595 MHV327594:MHX327595 MRR327594:MRT327595 NBN327594:NBP327595 NLJ327594:NLL327595 NVF327594:NVH327595 OFB327594:OFD327595 OOX327594:OOZ327595 OYT327594:OYV327595 PIP327594:PIR327595 PSL327594:PSN327595 QCH327594:QCJ327595 QMD327594:QMF327595 QVZ327594:QWB327595 RFV327594:RFX327595 RPR327594:RPT327595 RZN327594:RZP327595 SJJ327594:SJL327595 STF327594:STH327595 TDB327594:TDD327595 TMX327594:TMZ327595 TWT327594:TWV327595 UGP327594:UGR327595 UQL327594:UQN327595 VAH327594:VAJ327595 VKD327594:VKF327595 VTZ327594:VUB327595 WDV327594:WDX327595 WNR327594:WNT327595 WXN327594:WXP327595 AW393130:BA393131 LB393130:LD393131 UX393130:UZ393131 AET393130:AEV393131 AOP393130:AOR393131 AYL393130:AYN393131 BIH393130:BIJ393131 BSD393130:BSF393131 CBZ393130:CCB393131 CLV393130:CLX393131 CVR393130:CVT393131 DFN393130:DFP393131 DPJ393130:DPL393131 DZF393130:DZH393131 EJB393130:EJD393131 ESX393130:ESZ393131 FCT393130:FCV393131 FMP393130:FMR393131 FWL393130:FWN393131 GGH393130:GGJ393131 GQD393130:GQF393131 GZZ393130:HAB393131 HJV393130:HJX393131 HTR393130:HTT393131 IDN393130:IDP393131 INJ393130:INL393131 IXF393130:IXH393131 JHB393130:JHD393131 JQX393130:JQZ393131 KAT393130:KAV393131 KKP393130:KKR393131 KUL393130:KUN393131 LEH393130:LEJ393131 LOD393130:LOF393131 LXZ393130:LYB393131 MHV393130:MHX393131 MRR393130:MRT393131 NBN393130:NBP393131 NLJ393130:NLL393131 NVF393130:NVH393131 OFB393130:OFD393131 OOX393130:OOZ393131 OYT393130:OYV393131 PIP393130:PIR393131 PSL393130:PSN393131 QCH393130:QCJ393131 QMD393130:QMF393131 QVZ393130:QWB393131 RFV393130:RFX393131 RPR393130:RPT393131 RZN393130:RZP393131 SJJ393130:SJL393131 STF393130:STH393131 TDB393130:TDD393131 TMX393130:TMZ393131 TWT393130:TWV393131 UGP393130:UGR393131 UQL393130:UQN393131 VAH393130:VAJ393131 VKD393130:VKF393131 VTZ393130:VUB393131 WDV393130:WDX393131 WNR393130:WNT393131 WXN393130:WXP393131 AW458666:BA458667 LB458666:LD458667 UX458666:UZ458667 AET458666:AEV458667 AOP458666:AOR458667 AYL458666:AYN458667 BIH458666:BIJ458667 BSD458666:BSF458667 CBZ458666:CCB458667 CLV458666:CLX458667 CVR458666:CVT458667 DFN458666:DFP458667 DPJ458666:DPL458667 DZF458666:DZH458667 EJB458666:EJD458667 ESX458666:ESZ458667 FCT458666:FCV458667 FMP458666:FMR458667 FWL458666:FWN458667 GGH458666:GGJ458667 GQD458666:GQF458667 GZZ458666:HAB458667 HJV458666:HJX458667 HTR458666:HTT458667 IDN458666:IDP458667 INJ458666:INL458667 IXF458666:IXH458667 JHB458666:JHD458667 JQX458666:JQZ458667 KAT458666:KAV458667 KKP458666:KKR458667 KUL458666:KUN458667 LEH458666:LEJ458667 LOD458666:LOF458667 LXZ458666:LYB458667 MHV458666:MHX458667 MRR458666:MRT458667 NBN458666:NBP458667 NLJ458666:NLL458667 NVF458666:NVH458667 OFB458666:OFD458667 OOX458666:OOZ458667 OYT458666:OYV458667 PIP458666:PIR458667 PSL458666:PSN458667 QCH458666:QCJ458667 QMD458666:QMF458667 QVZ458666:QWB458667 RFV458666:RFX458667 RPR458666:RPT458667 RZN458666:RZP458667 SJJ458666:SJL458667 STF458666:STH458667 TDB458666:TDD458667 TMX458666:TMZ458667 TWT458666:TWV458667 UGP458666:UGR458667 UQL458666:UQN458667 VAH458666:VAJ458667 VKD458666:VKF458667 VTZ458666:VUB458667 WDV458666:WDX458667 WNR458666:WNT458667 WXN458666:WXP458667 AW524202:BA524203 LB524202:LD524203 UX524202:UZ524203 AET524202:AEV524203 AOP524202:AOR524203 AYL524202:AYN524203 BIH524202:BIJ524203 BSD524202:BSF524203 CBZ524202:CCB524203 CLV524202:CLX524203 CVR524202:CVT524203 DFN524202:DFP524203 DPJ524202:DPL524203 DZF524202:DZH524203 EJB524202:EJD524203 ESX524202:ESZ524203 FCT524202:FCV524203 FMP524202:FMR524203 FWL524202:FWN524203 GGH524202:GGJ524203 GQD524202:GQF524203 GZZ524202:HAB524203 HJV524202:HJX524203 HTR524202:HTT524203 IDN524202:IDP524203 INJ524202:INL524203 IXF524202:IXH524203 JHB524202:JHD524203 JQX524202:JQZ524203 KAT524202:KAV524203 KKP524202:KKR524203 KUL524202:KUN524203 LEH524202:LEJ524203 LOD524202:LOF524203 LXZ524202:LYB524203 MHV524202:MHX524203 MRR524202:MRT524203 NBN524202:NBP524203 NLJ524202:NLL524203 NVF524202:NVH524203 OFB524202:OFD524203 OOX524202:OOZ524203 OYT524202:OYV524203 PIP524202:PIR524203 PSL524202:PSN524203 QCH524202:QCJ524203 QMD524202:QMF524203 QVZ524202:QWB524203 RFV524202:RFX524203 RPR524202:RPT524203 RZN524202:RZP524203 SJJ524202:SJL524203 STF524202:STH524203 TDB524202:TDD524203 TMX524202:TMZ524203 TWT524202:TWV524203 UGP524202:UGR524203 UQL524202:UQN524203 VAH524202:VAJ524203 VKD524202:VKF524203 VTZ524202:VUB524203 WDV524202:WDX524203 WNR524202:WNT524203 WXN524202:WXP524203 AW589738:BA589739 LB589738:LD589739 UX589738:UZ589739 AET589738:AEV589739 AOP589738:AOR589739 AYL589738:AYN589739 BIH589738:BIJ589739 BSD589738:BSF589739 CBZ589738:CCB589739 CLV589738:CLX589739 CVR589738:CVT589739 DFN589738:DFP589739 DPJ589738:DPL589739 DZF589738:DZH589739 EJB589738:EJD589739 ESX589738:ESZ589739 FCT589738:FCV589739 FMP589738:FMR589739 FWL589738:FWN589739 GGH589738:GGJ589739 GQD589738:GQF589739 GZZ589738:HAB589739 HJV589738:HJX589739 HTR589738:HTT589739 IDN589738:IDP589739 INJ589738:INL589739 IXF589738:IXH589739 JHB589738:JHD589739 JQX589738:JQZ589739 KAT589738:KAV589739 KKP589738:KKR589739 KUL589738:KUN589739 LEH589738:LEJ589739 LOD589738:LOF589739 LXZ589738:LYB589739 MHV589738:MHX589739 MRR589738:MRT589739 NBN589738:NBP589739 NLJ589738:NLL589739 NVF589738:NVH589739 OFB589738:OFD589739 OOX589738:OOZ589739 OYT589738:OYV589739 PIP589738:PIR589739 PSL589738:PSN589739 QCH589738:QCJ589739 QMD589738:QMF589739 QVZ589738:QWB589739 RFV589738:RFX589739 RPR589738:RPT589739 RZN589738:RZP589739 SJJ589738:SJL589739 STF589738:STH589739 TDB589738:TDD589739 TMX589738:TMZ589739 TWT589738:TWV589739 UGP589738:UGR589739 UQL589738:UQN589739 VAH589738:VAJ589739 VKD589738:VKF589739 VTZ589738:VUB589739 WDV589738:WDX589739 WNR589738:WNT589739 WXN589738:WXP589739 AW655274:BA655275 LB655274:LD655275 UX655274:UZ655275 AET655274:AEV655275 AOP655274:AOR655275 AYL655274:AYN655275 BIH655274:BIJ655275 BSD655274:BSF655275 CBZ655274:CCB655275 CLV655274:CLX655275 CVR655274:CVT655275 DFN655274:DFP655275 DPJ655274:DPL655275 DZF655274:DZH655275 EJB655274:EJD655275 ESX655274:ESZ655275 FCT655274:FCV655275 FMP655274:FMR655275 FWL655274:FWN655275 GGH655274:GGJ655275 GQD655274:GQF655275 GZZ655274:HAB655275 HJV655274:HJX655275 HTR655274:HTT655275 IDN655274:IDP655275 INJ655274:INL655275 IXF655274:IXH655275 JHB655274:JHD655275 JQX655274:JQZ655275 KAT655274:KAV655275 KKP655274:KKR655275 KUL655274:KUN655275 LEH655274:LEJ655275 LOD655274:LOF655275 LXZ655274:LYB655275 MHV655274:MHX655275 MRR655274:MRT655275 NBN655274:NBP655275 NLJ655274:NLL655275 NVF655274:NVH655275 OFB655274:OFD655275 OOX655274:OOZ655275 OYT655274:OYV655275 PIP655274:PIR655275 PSL655274:PSN655275 QCH655274:QCJ655275 QMD655274:QMF655275 QVZ655274:QWB655275 RFV655274:RFX655275 RPR655274:RPT655275 RZN655274:RZP655275 SJJ655274:SJL655275 STF655274:STH655275 TDB655274:TDD655275 TMX655274:TMZ655275 TWT655274:TWV655275 UGP655274:UGR655275 UQL655274:UQN655275 VAH655274:VAJ655275 VKD655274:VKF655275 VTZ655274:VUB655275 WDV655274:WDX655275 WNR655274:WNT655275 WXN655274:WXP655275 AW720810:BA720811 LB720810:LD720811 UX720810:UZ720811 AET720810:AEV720811 AOP720810:AOR720811 AYL720810:AYN720811 BIH720810:BIJ720811 BSD720810:BSF720811 CBZ720810:CCB720811 CLV720810:CLX720811 CVR720810:CVT720811 DFN720810:DFP720811 DPJ720810:DPL720811 DZF720810:DZH720811 EJB720810:EJD720811 ESX720810:ESZ720811 FCT720810:FCV720811 FMP720810:FMR720811 FWL720810:FWN720811 GGH720810:GGJ720811 GQD720810:GQF720811 GZZ720810:HAB720811 HJV720810:HJX720811 HTR720810:HTT720811 IDN720810:IDP720811 INJ720810:INL720811 IXF720810:IXH720811 JHB720810:JHD720811 JQX720810:JQZ720811 KAT720810:KAV720811 KKP720810:KKR720811 KUL720810:KUN720811 LEH720810:LEJ720811 LOD720810:LOF720811 LXZ720810:LYB720811 MHV720810:MHX720811 MRR720810:MRT720811 NBN720810:NBP720811 NLJ720810:NLL720811 NVF720810:NVH720811 OFB720810:OFD720811 OOX720810:OOZ720811 OYT720810:OYV720811 PIP720810:PIR720811 PSL720810:PSN720811 QCH720810:QCJ720811 QMD720810:QMF720811 QVZ720810:QWB720811 RFV720810:RFX720811 RPR720810:RPT720811 RZN720810:RZP720811 SJJ720810:SJL720811 STF720810:STH720811 TDB720810:TDD720811 TMX720810:TMZ720811 TWT720810:TWV720811 UGP720810:UGR720811 UQL720810:UQN720811 VAH720810:VAJ720811 VKD720810:VKF720811 VTZ720810:VUB720811 WDV720810:WDX720811 WNR720810:WNT720811 WXN720810:WXP720811 AW786346:BA786347 LB786346:LD786347 UX786346:UZ786347 AET786346:AEV786347 AOP786346:AOR786347 AYL786346:AYN786347 BIH786346:BIJ786347 BSD786346:BSF786347 CBZ786346:CCB786347 CLV786346:CLX786347 CVR786346:CVT786347 DFN786346:DFP786347 DPJ786346:DPL786347 DZF786346:DZH786347 EJB786346:EJD786347 ESX786346:ESZ786347 FCT786346:FCV786347 FMP786346:FMR786347 FWL786346:FWN786347 GGH786346:GGJ786347 GQD786346:GQF786347 GZZ786346:HAB786347 HJV786346:HJX786347 HTR786346:HTT786347 IDN786346:IDP786347 INJ786346:INL786347 IXF786346:IXH786347 JHB786346:JHD786347 JQX786346:JQZ786347 KAT786346:KAV786347 KKP786346:KKR786347 KUL786346:KUN786347 LEH786346:LEJ786347 LOD786346:LOF786347 LXZ786346:LYB786347 MHV786346:MHX786347 MRR786346:MRT786347 NBN786346:NBP786347 NLJ786346:NLL786347 NVF786346:NVH786347 OFB786346:OFD786347 OOX786346:OOZ786347 OYT786346:OYV786347 PIP786346:PIR786347 PSL786346:PSN786347 QCH786346:QCJ786347 QMD786346:QMF786347 QVZ786346:QWB786347 RFV786346:RFX786347 RPR786346:RPT786347 RZN786346:RZP786347 SJJ786346:SJL786347 STF786346:STH786347 TDB786346:TDD786347 TMX786346:TMZ786347 TWT786346:TWV786347 UGP786346:UGR786347 UQL786346:UQN786347 VAH786346:VAJ786347 VKD786346:VKF786347 VTZ786346:VUB786347 WDV786346:WDX786347 WNR786346:WNT786347 WXN786346:WXP786347 AW851882:BA851883 LB851882:LD851883 UX851882:UZ851883 AET851882:AEV851883 AOP851882:AOR851883 AYL851882:AYN851883 BIH851882:BIJ851883 BSD851882:BSF851883 CBZ851882:CCB851883 CLV851882:CLX851883 CVR851882:CVT851883 DFN851882:DFP851883 DPJ851882:DPL851883 DZF851882:DZH851883 EJB851882:EJD851883 ESX851882:ESZ851883 FCT851882:FCV851883 FMP851882:FMR851883 FWL851882:FWN851883 GGH851882:GGJ851883 GQD851882:GQF851883 GZZ851882:HAB851883 HJV851882:HJX851883 HTR851882:HTT851883 IDN851882:IDP851883 INJ851882:INL851883 IXF851882:IXH851883 JHB851882:JHD851883 JQX851882:JQZ851883 KAT851882:KAV851883 KKP851882:KKR851883 KUL851882:KUN851883 LEH851882:LEJ851883 LOD851882:LOF851883 LXZ851882:LYB851883 MHV851882:MHX851883 MRR851882:MRT851883 NBN851882:NBP851883 NLJ851882:NLL851883 NVF851882:NVH851883 OFB851882:OFD851883 OOX851882:OOZ851883 OYT851882:OYV851883 PIP851882:PIR851883 PSL851882:PSN851883 QCH851882:QCJ851883 QMD851882:QMF851883 QVZ851882:QWB851883 RFV851882:RFX851883 RPR851882:RPT851883 RZN851882:RZP851883 SJJ851882:SJL851883 STF851882:STH851883 TDB851882:TDD851883 TMX851882:TMZ851883 TWT851882:TWV851883 UGP851882:UGR851883 UQL851882:UQN851883 VAH851882:VAJ851883 VKD851882:VKF851883 VTZ851882:VUB851883 WDV851882:WDX851883 WNR851882:WNT851883 WXN851882:WXP851883 AW917418:BA917419 LB917418:LD917419 UX917418:UZ917419 AET917418:AEV917419 AOP917418:AOR917419 AYL917418:AYN917419 BIH917418:BIJ917419 BSD917418:BSF917419 CBZ917418:CCB917419 CLV917418:CLX917419 CVR917418:CVT917419 DFN917418:DFP917419 DPJ917418:DPL917419 DZF917418:DZH917419 EJB917418:EJD917419 ESX917418:ESZ917419 FCT917418:FCV917419 FMP917418:FMR917419 FWL917418:FWN917419 GGH917418:GGJ917419 GQD917418:GQF917419 GZZ917418:HAB917419 HJV917418:HJX917419 HTR917418:HTT917419 IDN917418:IDP917419 INJ917418:INL917419 IXF917418:IXH917419 JHB917418:JHD917419 JQX917418:JQZ917419 KAT917418:KAV917419 KKP917418:KKR917419 KUL917418:KUN917419 LEH917418:LEJ917419 LOD917418:LOF917419 LXZ917418:LYB917419 MHV917418:MHX917419 MRR917418:MRT917419 NBN917418:NBP917419 NLJ917418:NLL917419 NVF917418:NVH917419 OFB917418:OFD917419 OOX917418:OOZ917419 OYT917418:OYV917419 PIP917418:PIR917419 PSL917418:PSN917419 QCH917418:QCJ917419 QMD917418:QMF917419 QVZ917418:QWB917419 RFV917418:RFX917419 RPR917418:RPT917419 RZN917418:RZP917419 SJJ917418:SJL917419 STF917418:STH917419 TDB917418:TDD917419 TMX917418:TMZ917419 TWT917418:TWV917419 UGP917418:UGR917419 UQL917418:UQN917419 VAH917418:VAJ917419 VKD917418:VKF917419 VTZ917418:VUB917419 WDV917418:WDX917419 WNR917418:WNT917419 WXN917418:WXP917419 AW982954:BA982955 LB982954:LD982955 UX982954:UZ982955 AET982954:AEV982955 AOP982954:AOR982955 AYL982954:AYN982955 BIH982954:BIJ982955 BSD982954:BSF982955 CBZ982954:CCB982955 CLV982954:CLX982955 CVR982954:CVT982955 DFN982954:DFP982955 DPJ982954:DPL982955 DZF982954:DZH982955 EJB982954:EJD982955 ESX982954:ESZ982955 FCT982954:FCV982955 FMP982954:FMR982955 FWL982954:FWN982955 GGH982954:GGJ982955 GQD982954:GQF982955 GZZ982954:HAB982955 HJV982954:HJX982955 HTR982954:HTT982955 IDN982954:IDP982955 INJ982954:INL982955 IXF982954:IXH982955 JHB982954:JHD982955 JQX982954:JQZ982955 KAT982954:KAV982955 KKP982954:KKR982955 KUL982954:KUN982955 LEH982954:LEJ982955 LOD982954:LOF982955 LXZ982954:LYB982955 MHV982954:MHX982955 MRR982954:MRT982955 NBN982954:NBP982955 NLJ982954:NLL982955 NVF982954:NVH982955 OFB982954:OFD982955 OOX982954:OOZ982955 OYT982954:OYV982955 PIP982954:PIR982955 PSL982954:PSN982955 QCH982954:QCJ982955 QMD982954:QMF982955 QVZ982954:QWB982955 RFV982954:RFX982955 RPR982954:RPT982955 RZN982954:RZP982955 SJJ982954:SJL982955 STF982954:STH982955 TDB982954:TDD982955 TMX982954:TMZ982955 TWT982954:TWV982955 UGP982954:UGR982955 UQL982954:UQN982955 VAH982954:VAJ982955 VKD982954:VKF982955 VTZ982954:VUB982955 WDV982954:WDX982955 WNR982954:WNT982955 WXN982954:WXP982955 AW65370:BA65419 LB65370:LD65419 UX65370:UZ65419 AET65370:AEV65419 AOP65370:AOR65419 AYL65370:AYN65419 BIH65370:BIJ65419 BSD65370:BSF65419 CBZ65370:CCB65419 CLV65370:CLX65419 CVR65370:CVT65419 DFN65370:DFP65419 DPJ65370:DPL65419 DZF65370:DZH65419 EJB65370:EJD65419 ESX65370:ESZ65419 FCT65370:FCV65419 FMP65370:FMR65419 FWL65370:FWN65419 GGH65370:GGJ65419 GQD65370:GQF65419 GZZ65370:HAB65419 HJV65370:HJX65419 HTR65370:HTT65419 IDN65370:IDP65419 INJ65370:INL65419 IXF65370:IXH65419 JHB65370:JHD65419 JQX65370:JQZ65419 KAT65370:KAV65419 KKP65370:KKR65419 KUL65370:KUN65419 LEH65370:LEJ65419 LOD65370:LOF65419 LXZ65370:LYB65419 MHV65370:MHX65419 MRR65370:MRT65419 NBN65370:NBP65419 NLJ65370:NLL65419 NVF65370:NVH65419 OFB65370:OFD65419 OOX65370:OOZ65419 OYT65370:OYV65419 PIP65370:PIR65419 PSL65370:PSN65419 QCH65370:QCJ65419 QMD65370:QMF65419 QVZ65370:QWB65419 RFV65370:RFX65419 RPR65370:RPT65419 RZN65370:RZP65419 SJJ65370:SJL65419 STF65370:STH65419 TDB65370:TDD65419 TMX65370:TMZ65419 TWT65370:TWV65419 UGP65370:UGR65419 UQL65370:UQN65419 VAH65370:VAJ65419 VKD65370:VKF65419 VTZ65370:VUB65419 WDV65370:WDX65419 WNR65370:WNT65419 WXN65370:WXP65419 AW130906:BA130955 LB130906:LD130955 UX130906:UZ130955 AET130906:AEV130955 AOP130906:AOR130955 AYL130906:AYN130955 BIH130906:BIJ130955 BSD130906:BSF130955 CBZ130906:CCB130955 CLV130906:CLX130955 CVR130906:CVT130955 DFN130906:DFP130955 DPJ130906:DPL130955 DZF130906:DZH130955 EJB130906:EJD130955 ESX130906:ESZ130955 FCT130906:FCV130955 FMP130906:FMR130955 FWL130906:FWN130955 GGH130906:GGJ130955 GQD130906:GQF130955 GZZ130906:HAB130955 HJV130906:HJX130955 HTR130906:HTT130955 IDN130906:IDP130955 INJ130906:INL130955 IXF130906:IXH130955 JHB130906:JHD130955 JQX130906:JQZ130955 KAT130906:KAV130955 KKP130906:KKR130955 KUL130906:KUN130955 LEH130906:LEJ130955 LOD130906:LOF130955 LXZ130906:LYB130955 MHV130906:MHX130955 MRR130906:MRT130955 NBN130906:NBP130955 NLJ130906:NLL130955 NVF130906:NVH130955 OFB130906:OFD130955 OOX130906:OOZ130955 OYT130906:OYV130955 PIP130906:PIR130955 PSL130906:PSN130955 QCH130906:QCJ130955 QMD130906:QMF130955 QVZ130906:QWB130955 RFV130906:RFX130955 RPR130906:RPT130955 RZN130906:RZP130955 SJJ130906:SJL130955 STF130906:STH130955 TDB130906:TDD130955 TMX130906:TMZ130955 TWT130906:TWV130955 UGP130906:UGR130955 UQL130906:UQN130955 VAH130906:VAJ130955 VKD130906:VKF130955 VTZ130906:VUB130955 WDV130906:WDX130955 WNR130906:WNT130955 WXN130906:WXP130955 AW196442:BA196491 LB196442:LD196491 UX196442:UZ196491 AET196442:AEV196491 AOP196442:AOR196491 AYL196442:AYN196491 BIH196442:BIJ196491 BSD196442:BSF196491 CBZ196442:CCB196491 CLV196442:CLX196491 CVR196442:CVT196491 DFN196442:DFP196491 DPJ196442:DPL196491 DZF196442:DZH196491 EJB196442:EJD196491 ESX196442:ESZ196491 FCT196442:FCV196491 FMP196442:FMR196491 FWL196442:FWN196491 GGH196442:GGJ196491 GQD196442:GQF196491 GZZ196442:HAB196491 HJV196442:HJX196491 HTR196442:HTT196491 IDN196442:IDP196491 INJ196442:INL196491 IXF196442:IXH196491 JHB196442:JHD196491 JQX196442:JQZ196491 KAT196442:KAV196491 KKP196442:KKR196491 KUL196442:KUN196491 LEH196442:LEJ196491 LOD196442:LOF196491 LXZ196442:LYB196491 MHV196442:MHX196491 MRR196442:MRT196491 NBN196442:NBP196491 NLJ196442:NLL196491 NVF196442:NVH196491 OFB196442:OFD196491 OOX196442:OOZ196491 OYT196442:OYV196491 PIP196442:PIR196491 PSL196442:PSN196491 QCH196442:QCJ196491 QMD196442:QMF196491 QVZ196442:QWB196491 RFV196442:RFX196491 RPR196442:RPT196491 RZN196442:RZP196491 SJJ196442:SJL196491 STF196442:STH196491 TDB196442:TDD196491 TMX196442:TMZ196491 TWT196442:TWV196491 UGP196442:UGR196491 UQL196442:UQN196491 VAH196442:VAJ196491 VKD196442:VKF196491 VTZ196442:VUB196491 WDV196442:WDX196491 WNR196442:WNT196491 WXN196442:WXP196491 AW261978:BA262027 LB261978:LD262027 UX261978:UZ262027 AET261978:AEV262027 AOP261978:AOR262027 AYL261978:AYN262027 BIH261978:BIJ262027 BSD261978:BSF262027 CBZ261978:CCB262027 CLV261978:CLX262027 CVR261978:CVT262027 DFN261978:DFP262027 DPJ261978:DPL262027 DZF261978:DZH262027 EJB261978:EJD262027 ESX261978:ESZ262027 FCT261978:FCV262027 FMP261978:FMR262027 FWL261978:FWN262027 GGH261978:GGJ262027 GQD261978:GQF262027 GZZ261978:HAB262027 HJV261978:HJX262027 HTR261978:HTT262027 IDN261978:IDP262027 INJ261978:INL262027 IXF261978:IXH262027 JHB261978:JHD262027 JQX261978:JQZ262027 KAT261978:KAV262027 KKP261978:KKR262027 KUL261978:KUN262027 LEH261978:LEJ262027 LOD261978:LOF262027 LXZ261978:LYB262027 MHV261978:MHX262027 MRR261978:MRT262027 NBN261978:NBP262027 NLJ261978:NLL262027 NVF261978:NVH262027 OFB261978:OFD262027 OOX261978:OOZ262027 OYT261978:OYV262027 PIP261978:PIR262027 PSL261978:PSN262027 QCH261978:QCJ262027 QMD261978:QMF262027 QVZ261978:QWB262027 RFV261978:RFX262027 RPR261978:RPT262027 RZN261978:RZP262027 SJJ261978:SJL262027 STF261978:STH262027 TDB261978:TDD262027 TMX261978:TMZ262027 TWT261978:TWV262027 UGP261978:UGR262027 UQL261978:UQN262027 VAH261978:VAJ262027 VKD261978:VKF262027 VTZ261978:VUB262027 WDV261978:WDX262027 WNR261978:WNT262027 WXN261978:WXP262027 AW327514:BA327563 LB327514:LD327563 UX327514:UZ327563 AET327514:AEV327563 AOP327514:AOR327563 AYL327514:AYN327563 BIH327514:BIJ327563 BSD327514:BSF327563 CBZ327514:CCB327563 CLV327514:CLX327563 CVR327514:CVT327563 DFN327514:DFP327563 DPJ327514:DPL327563 DZF327514:DZH327563 EJB327514:EJD327563 ESX327514:ESZ327563 FCT327514:FCV327563 FMP327514:FMR327563 FWL327514:FWN327563 GGH327514:GGJ327563 GQD327514:GQF327563 GZZ327514:HAB327563 HJV327514:HJX327563 HTR327514:HTT327563 IDN327514:IDP327563 INJ327514:INL327563 IXF327514:IXH327563 JHB327514:JHD327563 JQX327514:JQZ327563 KAT327514:KAV327563 KKP327514:KKR327563 KUL327514:KUN327563 LEH327514:LEJ327563 LOD327514:LOF327563 LXZ327514:LYB327563 MHV327514:MHX327563 MRR327514:MRT327563 NBN327514:NBP327563 NLJ327514:NLL327563 NVF327514:NVH327563 OFB327514:OFD327563 OOX327514:OOZ327563 OYT327514:OYV327563 PIP327514:PIR327563 PSL327514:PSN327563 QCH327514:QCJ327563 QMD327514:QMF327563 QVZ327514:QWB327563 RFV327514:RFX327563 RPR327514:RPT327563 RZN327514:RZP327563 SJJ327514:SJL327563 STF327514:STH327563 TDB327514:TDD327563 TMX327514:TMZ327563 TWT327514:TWV327563 UGP327514:UGR327563 UQL327514:UQN327563 VAH327514:VAJ327563 VKD327514:VKF327563 VTZ327514:VUB327563 WDV327514:WDX327563 WNR327514:WNT327563 WXN327514:WXP327563 AW393050:BA393099 LB393050:LD393099 UX393050:UZ393099 AET393050:AEV393099 AOP393050:AOR393099 AYL393050:AYN393099 BIH393050:BIJ393099 BSD393050:BSF393099 CBZ393050:CCB393099 CLV393050:CLX393099 CVR393050:CVT393099 DFN393050:DFP393099 DPJ393050:DPL393099 DZF393050:DZH393099 EJB393050:EJD393099 ESX393050:ESZ393099 FCT393050:FCV393099 FMP393050:FMR393099 FWL393050:FWN393099 GGH393050:GGJ393099 GQD393050:GQF393099 GZZ393050:HAB393099 HJV393050:HJX393099 HTR393050:HTT393099 IDN393050:IDP393099 INJ393050:INL393099 IXF393050:IXH393099 JHB393050:JHD393099 JQX393050:JQZ393099 KAT393050:KAV393099 KKP393050:KKR393099 KUL393050:KUN393099 LEH393050:LEJ393099 LOD393050:LOF393099 LXZ393050:LYB393099 MHV393050:MHX393099 MRR393050:MRT393099 NBN393050:NBP393099 NLJ393050:NLL393099 NVF393050:NVH393099 OFB393050:OFD393099 OOX393050:OOZ393099 OYT393050:OYV393099 PIP393050:PIR393099 PSL393050:PSN393099 QCH393050:QCJ393099 QMD393050:QMF393099 QVZ393050:QWB393099 RFV393050:RFX393099 RPR393050:RPT393099 RZN393050:RZP393099 SJJ393050:SJL393099 STF393050:STH393099 TDB393050:TDD393099 TMX393050:TMZ393099 TWT393050:TWV393099 UGP393050:UGR393099 UQL393050:UQN393099 VAH393050:VAJ393099 VKD393050:VKF393099 VTZ393050:VUB393099 WDV393050:WDX393099 WNR393050:WNT393099 WXN393050:WXP393099 AW458586:BA458635 LB458586:LD458635 UX458586:UZ458635 AET458586:AEV458635 AOP458586:AOR458635 AYL458586:AYN458635 BIH458586:BIJ458635 BSD458586:BSF458635 CBZ458586:CCB458635 CLV458586:CLX458635 CVR458586:CVT458635 DFN458586:DFP458635 DPJ458586:DPL458635 DZF458586:DZH458635 EJB458586:EJD458635 ESX458586:ESZ458635 FCT458586:FCV458635 FMP458586:FMR458635 FWL458586:FWN458635 GGH458586:GGJ458635 GQD458586:GQF458635 GZZ458586:HAB458635 HJV458586:HJX458635 HTR458586:HTT458635 IDN458586:IDP458635 INJ458586:INL458635 IXF458586:IXH458635 JHB458586:JHD458635 JQX458586:JQZ458635 KAT458586:KAV458635 KKP458586:KKR458635 KUL458586:KUN458635 LEH458586:LEJ458635 LOD458586:LOF458635 LXZ458586:LYB458635 MHV458586:MHX458635 MRR458586:MRT458635 NBN458586:NBP458635 NLJ458586:NLL458635 NVF458586:NVH458635 OFB458586:OFD458635 OOX458586:OOZ458635 OYT458586:OYV458635 PIP458586:PIR458635 PSL458586:PSN458635 QCH458586:QCJ458635 QMD458586:QMF458635 QVZ458586:QWB458635 RFV458586:RFX458635 RPR458586:RPT458635 RZN458586:RZP458635 SJJ458586:SJL458635 STF458586:STH458635 TDB458586:TDD458635 TMX458586:TMZ458635 TWT458586:TWV458635 UGP458586:UGR458635 UQL458586:UQN458635 VAH458586:VAJ458635 VKD458586:VKF458635 VTZ458586:VUB458635 WDV458586:WDX458635 WNR458586:WNT458635 WXN458586:WXP458635 AW524122:BA524171 LB524122:LD524171 UX524122:UZ524171 AET524122:AEV524171 AOP524122:AOR524171 AYL524122:AYN524171 BIH524122:BIJ524171 BSD524122:BSF524171 CBZ524122:CCB524171 CLV524122:CLX524171 CVR524122:CVT524171 DFN524122:DFP524171 DPJ524122:DPL524171 DZF524122:DZH524171 EJB524122:EJD524171 ESX524122:ESZ524171 FCT524122:FCV524171 FMP524122:FMR524171 FWL524122:FWN524171 GGH524122:GGJ524171 GQD524122:GQF524171 GZZ524122:HAB524171 HJV524122:HJX524171 HTR524122:HTT524171 IDN524122:IDP524171 INJ524122:INL524171 IXF524122:IXH524171 JHB524122:JHD524171 JQX524122:JQZ524171 KAT524122:KAV524171 KKP524122:KKR524171 KUL524122:KUN524171 LEH524122:LEJ524171 LOD524122:LOF524171 LXZ524122:LYB524171 MHV524122:MHX524171 MRR524122:MRT524171 NBN524122:NBP524171 NLJ524122:NLL524171 NVF524122:NVH524171 OFB524122:OFD524171 OOX524122:OOZ524171 OYT524122:OYV524171 PIP524122:PIR524171 PSL524122:PSN524171 QCH524122:QCJ524171 QMD524122:QMF524171 QVZ524122:QWB524171 RFV524122:RFX524171 RPR524122:RPT524171 RZN524122:RZP524171 SJJ524122:SJL524171 STF524122:STH524171 TDB524122:TDD524171 TMX524122:TMZ524171 TWT524122:TWV524171 UGP524122:UGR524171 UQL524122:UQN524171 VAH524122:VAJ524171 VKD524122:VKF524171 VTZ524122:VUB524171 WDV524122:WDX524171 WNR524122:WNT524171 WXN524122:WXP524171 AW589658:BA589707 LB589658:LD589707 UX589658:UZ589707 AET589658:AEV589707 AOP589658:AOR589707 AYL589658:AYN589707 BIH589658:BIJ589707 BSD589658:BSF589707 CBZ589658:CCB589707 CLV589658:CLX589707 CVR589658:CVT589707 DFN589658:DFP589707 DPJ589658:DPL589707 DZF589658:DZH589707 EJB589658:EJD589707 ESX589658:ESZ589707 FCT589658:FCV589707 FMP589658:FMR589707 FWL589658:FWN589707 GGH589658:GGJ589707 GQD589658:GQF589707 GZZ589658:HAB589707 HJV589658:HJX589707 HTR589658:HTT589707 IDN589658:IDP589707 INJ589658:INL589707 IXF589658:IXH589707 JHB589658:JHD589707 JQX589658:JQZ589707 KAT589658:KAV589707 KKP589658:KKR589707 KUL589658:KUN589707 LEH589658:LEJ589707 LOD589658:LOF589707 LXZ589658:LYB589707 MHV589658:MHX589707 MRR589658:MRT589707 NBN589658:NBP589707 NLJ589658:NLL589707 NVF589658:NVH589707 OFB589658:OFD589707 OOX589658:OOZ589707 OYT589658:OYV589707 PIP589658:PIR589707 PSL589658:PSN589707 QCH589658:QCJ589707 QMD589658:QMF589707 QVZ589658:QWB589707 RFV589658:RFX589707 RPR589658:RPT589707 RZN589658:RZP589707 SJJ589658:SJL589707 STF589658:STH589707 TDB589658:TDD589707 TMX589658:TMZ589707 TWT589658:TWV589707 UGP589658:UGR589707 UQL589658:UQN589707 VAH589658:VAJ589707 VKD589658:VKF589707 VTZ589658:VUB589707 WDV589658:WDX589707 WNR589658:WNT589707 WXN589658:WXP589707 AW655194:BA655243 LB655194:LD655243 UX655194:UZ655243 AET655194:AEV655243 AOP655194:AOR655243 AYL655194:AYN655243 BIH655194:BIJ655243 BSD655194:BSF655243 CBZ655194:CCB655243 CLV655194:CLX655243 CVR655194:CVT655243 DFN655194:DFP655243 DPJ655194:DPL655243 DZF655194:DZH655243 EJB655194:EJD655243 ESX655194:ESZ655243 FCT655194:FCV655243 FMP655194:FMR655243 FWL655194:FWN655243 GGH655194:GGJ655243 GQD655194:GQF655243 GZZ655194:HAB655243 HJV655194:HJX655243 HTR655194:HTT655243 IDN655194:IDP655243 INJ655194:INL655243 IXF655194:IXH655243 JHB655194:JHD655243 JQX655194:JQZ655243 KAT655194:KAV655243 KKP655194:KKR655243 KUL655194:KUN655243 LEH655194:LEJ655243 LOD655194:LOF655243 LXZ655194:LYB655243 MHV655194:MHX655243 MRR655194:MRT655243 NBN655194:NBP655243 NLJ655194:NLL655243 NVF655194:NVH655243 OFB655194:OFD655243 OOX655194:OOZ655243 OYT655194:OYV655243 PIP655194:PIR655243 PSL655194:PSN655243 QCH655194:QCJ655243 QMD655194:QMF655243 QVZ655194:QWB655243 RFV655194:RFX655243 RPR655194:RPT655243 RZN655194:RZP655243 SJJ655194:SJL655243 STF655194:STH655243 TDB655194:TDD655243 TMX655194:TMZ655243 TWT655194:TWV655243 UGP655194:UGR655243 UQL655194:UQN655243 VAH655194:VAJ655243 VKD655194:VKF655243 VTZ655194:VUB655243 WDV655194:WDX655243 WNR655194:WNT655243 WXN655194:WXP655243 AW720730:BA720779 LB720730:LD720779 UX720730:UZ720779 AET720730:AEV720779 AOP720730:AOR720779 AYL720730:AYN720779 BIH720730:BIJ720779 BSD720730:BSF720779 CBZ720730:CCB720779 CLV720730:CLX720779 CVR720730:CVT720779 DFN720730:DFP720779 DPJ720730:DPL720779 DZF720730:DZH720779 EJB720730:EJD720779 ESX720730:ESZ720779 FCT720730:FCV720779 FMP720730:FMR720779 FWL720730:FWN720779 GGH720730:GGJ720779 GQD720730:GQF720779 GZZ720730:HAB720779 HJV720730:HJX720779 HTR720730:HTT720779 IDN720730:IDP720779 INJ720730:INL720779 IXF720730:IXH720779 JHB720730:JHD720779 JQX720730:JQZ720779 KAT720730:KAV720779 KKP720730:KKR720779 KUL720730:KUN720779 LEH720730:LEJ720779 LOD720730:LOF720779 LXZ720730:LYB720779 MHV720730:MHX720779 MRR720730:MRT720779 NBN720730:NBP720779 NLJ720730:NLL720779 NVF720730:NVH720779 OFB720730:OFD720779 OOX720730:OOZ720779 OYT720730:OYV720779 PIP720730:PIR720779 PSL720730:PSN720779 QCH720730:QCJ720779 QMD720730:QMF720779 QVZ720730:QWB720779 RFV720730:RFX720779 RPR720730:RPT720779 RZN720730:RZP720779 SJJ720730:SJL720779 STF720730:STH720779 TDB720730:TDD720779 TMX720730:TMZ720779 TWT720730:TWV720779 UGP720730:UGR720779 UQL720730:UQN720779 VAH720730:VAJ720779 VKD720730:VKF720779 VTZ720730:VUB720779 WDV720730:WDX720779 WNR720730:WNT720779 WXN720730:WXP720779 AW786266:BA786315 LB786266:LD786315 UX786266:UZ786315 AET786266:AEV786315 AOP786266:AOR786315 AYL786266:AYN786315 BIH786266:BIJ786315 BSD786266:BSF786315 CBZ786266:CCB786315 CLV786266:CLX786315 CVR786266:CVT786315 DFN786266:DFP786315 DPJ786266:DPL786315 DZF786266:DZH786315 EJB786266:EJD786315 ESX786266:ESZ786315 FCT786266:FCV786315 FMP786266:FMR786315 FWL786266:FWN786315 GGH786266:GGJ786315 GQD786266:GQF786315 GZZ786266:HAB786315 HJV786266:HJX786315 HTR786266:HTT786315 IDN786266:IDP786315 INJ786266:INL786315 IXF786266:IXH786315 JHB786266:JHD786315 JQX786266:JQZ786315 KAT786266:KAV786315 KKP786266:KKR786315 KUL786266:KUN786315 LEH786266:LEJ786315 LOD786266:LOF786315 LXZ786266:LYB786315 MHV786266:MHX786315 MRR786266:MRT786315 NBN786266:NBP786315 NLJ786266:NLL786315 NVF786266:NVH786315 OFB786266:OFD786315 OOX786266:OOZ786315 OYT786266:OYV786315 PIP786266:PIR786315 PSL786266:PSN786315 QCH786266:QCJ786315 QMD786266:QMF786315 QVZ786266:QWB786315 RFV786266:RFX786315 RPR786266:RPT786315 RZN786266:RZP786315 SJJ786266:SJL786315 STF786266:STH786315 TDB786266:TDD786315 TMX786266:TMZ786315 TWT786266:TWV786315 UGP786266:UGR786315 UQL786266:UQN786315 VAH786266:VAJ786315 VKD786266:VKF786315 VTZ786266:VUB786315 WDV786266:WDX786315 WNR786266:WNT786315 WXN786266:WXP786315 AW851802:BA851851 LB851802:LD851851 UX851802:UZ851851 AET851802:AEV851851 AOP851802:AOR851851 AYL851802:AYN851851 BIH851802:BIJ851851 BSD851802:BSF851851 CBZ851802:CCB851851 CLV851802:CLX851851 CVR851802:CVT851851 DFN851802:DFP851851 DPJ851802:DPL851851 DZF851802:DZH851851 EJB851802:EJD851851 ESX851802:ESZ851851 FCT851802:FCV851851 FMP851802:FMR851851 FWL851802:FWN851851 GGH851802:GGJ851851 GQD851802:GQF851851 GZZ851802:HAB851851 HJV851802:HJX851851 HTR851802:HTT851851 IDN851802:IDP851851 INJ851802:INL851851 IXF851802:IXH851851 JHB851802:JHD851851 JQX851802:JQZ851851 KAT851802:KAV851851 KKP851802:KKR851851 KUL851802:KUN851851 LEH851802:LEJ851851 LOD851802:LOF851851 LXZ851802:LYB851851 MHV851802:MHX851851 MRR851802:MRT851851 NBN851802:NBP851851 NLJ851802:NLL851851 NVF851802:NVH851851 OFB851802:OFD851851 OOX851802:OOZ851851 OYT851802:OYV851851 PIP851802:PIR851851 PSL851802:PSN851851 QCH851802:QCJ851851 QMD851802:QMF851851 QVZ851802:QWB851851 RFV851802:RFX851851 RPR851802:RPT851851 RZN851802:RZP851851 SJJ851802:SJL851851 STF851802:STH851851 TDB851802:TDD851851 TMX851802:TMZ851851 TWT851802:TWV851851 UGP851802:UGR851851 UQL851802:UQN851851 VAH851802:VAJ851851 VKD851802:VKF851851 VTZ851802:VUB851851 WDV851802:WDX851851 WNR851802:WNT851851 WXN851802:WXP851851 AW917338:BA917387 LB917338:LD917387 UX917338:UZ917387 AET917338:AEV917387 AOP917338:AOR917387 AYL917338:AYN917387 BIH917338:BIJ917387 BSD917338:BSF917387 CBZ917338:CCB917387 CLV917338:CLX917387 CVR917338:CVT917387 DFN917338:DFP917387 DPJ917338:DPL917387 DZF917338:DZH917387 EJB917338:EJD917387 ESX917338:ESZ917387 FCT917338:FCV917387 FMP917338:FMR917387 FWL917338:FWN917387 GGH917338:GGJ917387 GQD917338:GQF917387 GZZ917338:HAB917387 HJV917338:HJX917387 HTR917338:HTT917387 IDN917338:IDP917387 INJ917338:INL917387 IXF917338:IXH917387 JHB917338:JHD917387 JQX917338:JQZ917387 KAT917338:KAV917387 KKP917338:KKR917387 KUL917338:KUN917387 LEH917338:LEJ917387 LOD917338:LOF917387 LXZ917338:LYB917387 MHV917338:MHX917387 MRR917338:MRT917387 NBN917338:NBP917387 NLJ917338:NLL917387 NVF917338:NVH917387 OFB917338:OFD917387 OOX917338:OOZ917387 OYT917338:OYV917387 PIP917338:PIR917387 PSL917338:PSN917387 QCH917338:QCJ917387 QMD917338:QMF917387 QVZ917338:QWB917387 RFV917338:RFX917387 RPR917338:RPT917387 RZN917338:RZP917387 SJJ917338:SJL917387 STF917338:STH917387 TDB917338:TDD917387 TMX917338:TMZ917387 TWT917338:TWV917387 UGP917338:UGR917387 UQL917338:UQN917387 VAH917338:VAJ917387 VKD917338:VKF917387 VTZ917338:VUB917387 WDV917338:WDX917387 WNR917338:WNT917387 WXN917338:WXP917387 AW982874:BA982923 LB982874:LD982923 UX982874:UZ982923 AET982874:AEV982923 AOP982874:AOR982923 AYL982874:AYN982923 BIH982874:BIJ982923 BSD982874:BSF982923 CBZ982874:CCB982923 CLV982874:CLX982923 CVR982874:CVT982923 DFN982874:DFP982923 DPJ982874:DPL982923 DZF982874:DZH982923 EJB982874:EJD982923 ESX982874:ESZ982923 FCT982874:FCV982923 FMP982874:FMR982923 FWL982874:FWN982923 GGH982874:GGJ982923 GQD982874:GQF982923 GZZ982874:HAB982923 HJV982874:HJX982923 HTR982874:HTT982923 IDN982874:IDP982923 INJ982874:INL982923 IXF982874:IXH982923 JHB982874:JHD982923 JQX982874:JQZ982923 KAT982874:KAV982923 KKP982874:KKR982923 KUL982874:KUN982923 LEH982874:LEJ982923 LOD982874:LOF982923 LXZ982874:LYB982923 MHV982874:MHX982923 MRR982874:MRT982923 NBN982874:NBP982923 NLJ982874:NLL982923 NVF982874:NVH982923 OFB982874:OFD982923 OOX982874:OOZ982923 OYT982874:OYV982923 PIP982874:PIR982923 PSL982874:PSN982923 QCH982874:QCJ982923 QMD982874:QMF982923 QVZ982874:QWB982923 RFV982874:RFX982923 RPR982874:RPT982923 RZN982874:RZP982923 SJJ982874:SJL982923 STF982874:STH982923 TDB982874:TDD982923 TMX982874:TMZ982923 TWT982874:TWV982923 UGP982874:UGR982923 UQL982874:UQN982923 VAH982874:VAJ982923 VKD982874:VKF982923 VTZ982874:VUB982923 WDV982874:WDX982923 WNR982874:WNT982923 WXN982874:WXP982923 WXN7:WXP7 WNR7:WNT7 WDV7:WDX7 VTZ7:VUB7 VKD7:VKF7 VAH7:VAJ7 UQL7:UQN7 UGP7:UGR7 TWT7:TWV7 TMX7:TMZ7 TDB7:TDD7 STF7:STH7 SJJ7:SJL7 RZN7:RZP7 RPR7:RPT7 RFV7:RFX7 QVZ7:QWB7 QMD7:QMF7 QCH7:QCJ7 PSL7:PSN7 PIP7:PIR7 OYT7:OYV7 OOX7:OOZ7 OFB7:OFD7 NVF7:NVH7 NLJ7:NLL7 NBN7:NBP7 MRR7:MRT7 MHV7:MHX7 LXZ7:LYB7 LOD7:LOF7 LEH7:LEJ7 KUL7:KUN7 KKP7:KKR7 KAT7:KAV7 JQX7:JQZ7 JHB7:JHD7 IXF7:IXH7 INJ7:INL7 IDN7:IDP7 HTR7:HTT7 HJV7:HJX7 GZZ7:HAB7 GQD7:GQF7 GGH7:GGJ7 FWL7:FWN7 FMP7:FMR7 FCT7:FCV7 ESX7:ESZ7 EJB7:EJD7 DZF7:DZH7 DPJ7:DPL7 DFN7:DFP7 CVR7:CVT7 CLV7:CLX7 CBZ7:CCB7 BSD7:BSF7 BIH7:BIJ7 AYL7:AYN7 AOP7:AOR7 AET7:AEV7 UX7:UZ7 LB7:LD7">
      <formula1>0</formula1>
      <formula2>10000000000000</formula2>
    </dataValidation>
    <dataValidation type="whole" allowBlank="1" showInputMessage="1" showErrorMessage="1" sqref="KM65268:KO65474 UI65268:UK65474 AEE65268:AEG65474 AOA65268:AOC65474 AXW65268:AXY65474 BHS65268:BHU65474 BRO65268:BRQ65474 CBK65268:CBM65474 CLG65268:CLI65474 CVC65268:CVE65474 DEY65268:DFA65474 DOU65268:DOW65474 DYQ65268:DYS65474 EIM65268:EIO65474 ESI65268:ESK65474 FCE65268:FCG65474 FMA65268:FMC65474 FVW65268:FVY65474 GFS65268:GFU65474 GPO65268:GPQ65474 GZK65268:GZM65474 HJG65268:HJI65474 HTC65268:HTE65474 ICY65268:IDA65474 IMU65268:IMW65474 IWQ65268:IWS65474 JGM65268:JGO65474 JQI65268:JQK65474 KAE65268:KAG65474 KKA65268:KKC65474 KTW65268:KTY65474 LDS65268:LDU65474 LNO65268:LNQ65474 LXK65268:LXM65474 MHG65268:MHI65474 MRC65268:MRE65474 NAY65268:NBA65474 NKU65268:NKW65474 NUQ65268:NUS65474 OEM65268:OEO65474 OOI65268:OOK65474 OYE65268:OYG65474 PIA65268:PIC65474 PRW65268:PRY65474 QBS65268:QBU65474 QLO65268:QLQ65474 QVK65268:QVM65474 RFG65268:RFI65474 RPC65268:RPE65474 RYY65268:RZA65474 SIU65268:SIW65474 SSQ65268:SSS65474 TCM65268:TCO65474 TMI65268:TMK65474 TWE65268:TWG65474 UGA65268:UGC65474 UPW65268:UPY65474 UZS65268:UZU65474 VJO65268:VJQ65474 VTK65268:VTM65474 WDG65268:WDI65474 WNC65268:WNE65474 WWY65268:WXA65474 KM130804:KO131010 UI130804:UK131010 AEE130804:AEG131010 AOA130804:AOC131010 AXW130804:AXY131010 BHS130804:BHU131010 BRO130804:BRQ131010 CBK130804:CBM131010 CLG130804:CLI131010 CVC130804:CVE131010 DEY130804:DFA131010 DOU130804:DOW131010 DYQ130804:DYS131010 EIM130804:EIO131010 ESI130804:ESK131010 FCE130804:FCG131010 FMA130804:FMC131010 FVW130804:FVY131010 GFS130804:GFU131010 GPO130804:GPQ131010 GZK130804:GZM131010 HJG130804:HJI131010 HTC130804:HTE131010 ICY130804:IDA131010 IMU130804:IMW131010 IWQ130804:IWS131010 JGM130804:JGO131010 JQI130804:JQK131010 KAE130804:KAG131010 KKA130804:KKC131010 KTW130804:KTY131010 LDS130804:LDU131010 LNO130804:LNQ131010 LXK130804:LXM131010 MHG130804:MHI131010 MRC130804:MRE131010 NAY130804:NBA131010 NKU130804:NKW131010 NUQ130804:NUS131010 OEM130804:OEO131010 OOI130804:OOK131010 OYE130804:OYG131010 PIA130804:PIC131010 PRW130804:PRY131010 QBS130804:QBU131010 QLO130804:QLQ131010 QVK130804:QVM131010 RFG130804:RFI131010 RPC130804:RPE131010 RYY130804:RZA131010 SIU130804:SIW131010 SSQ130804:SSS131010 TCM130804:TCO131010 TMI130804:TMK131010 TWE130804:TWG131010 UGA130804:UGC131010 UPW130804:UPY131010 UZS130804:UZU131010 VJO130804:VJQ131010 VTK130804:VTM131010 WDG130804:WDI131010 WNC130804:WNE131010 WWY130804:WXA131010 KM196340:KO196546 UI196340:UK196546 AEE196340:AEG196546 AOA196340:AOC196546 AXW196340:AXY196546 BHS196340:BHU196546 BRO196340:BRQ196546 CBK196340:CBM196546 CLG196340:CLI196546 CVC196340:CVE196546 DEY196340:DFA196546 DOU196340:DOW196546 DYQ196340:DYS196546 EIM196340:EIO196546 ESI196340:ESK196546 FCE196340:FCG196546 FMA196340:FMC196546 FVW196340:FVY196546 GFS196340:GFU196546 GPO196340:GPQ196546 GZK196340:GZM196546 HJG196340:HJI196546 HTC196340:HTE196546 ICY196340:IDA196546 IMU196340:IMW196546 IWQ196340:IWS196546 JGM196340:JGO196546 JQI196340:JQK196546 KAE196340:KAG196546 KKA196340:KKC196546 KTW196340:KTY196546 LDS196340:LDU196546 LNO196340:LNQ196546 LXK196340:LXM196546 MHG196340:MHI196546 MRC196340:MRE196546 NAY196340:NBA196546 NKU196340:NKW196546 NUQ196340:NUS196546 OEM196340:OEO196546 OOI196340:OOK196546 OYE196340:OYG196546 PIA196340:PIC196546 PRW196340:PRY196546 QBS196340:QBU196546 QLO196340:QLQ196546 QVK196340:QVM196546 RFG196340:RFI196546 RPC196340:RPE196546 RYY196340:RZA196546 SIU196340:SIW196546 SSQ196340:SSS196546 TCM196340:TCO196546 TMI196340:TMK196546 TWE196340:TWG196546 UGA196340:UGC196546 UPW196340:UPY196546 UZS196340:UZU196546 VJO196340:VJQ196546 VTK196340:VTM196546 WDG196340:WDI196546 WNC196340:WNE196546 WWY196340:WXA196546 KM261876:KO262082 UI261876:UK262082 AEE261876:AEG262082 AOA261876:AOC262082 AXW261876:AXY262082 BHS261876:BHU262082 BRO261876:BRQ262082 CBK261876:CBM262082 CLG261876:CLI262082 CVC261876:CVE262082 DEY261876:DFA262082 DOU261876:DOW262082 DYQ261876:DYS262082 EIM261876:EIO262082 ESI261876:ESK262082 FCE261876:FCG262082 FMA261876:FMC262082 FVW261876:FVY262082 GFS261876:GFU262082 GPO261876:GPQ262082 GZK261876:GZM262082 HJG261876:HJI262082 HTC261876:HTE262082 ICY261876:IDA262082 IMU261876:IMW262082 IWQ261876:IWS262082 JGM261876:JGO262082 JQI261876:JQK262082 KAE261876:KAG262082 KKA261876:KKC262082 KTW261876:KTY262082 LDS261876:LDU262082 LNO261876:LNQ262082 LXK261876:LXM262082 MHG261876:MHI262082 MRC261876:MRE262082 NAY261876:NBA262082 NKU261876:NKW262082 NUQ261876:NUS262082 OEM261876:OEO262082 OOI261876:OOK262082 OYE261876:OYG262082 PIA261876:PIC262082 PRW261876:PRY262082 QBS261876:QBU262082 QLO261876:QLQ262082 QVK261876:QVM262082 RFG261876:RFI262082 RPC261876:RPE262082 RYY261876:RZA262082 SIU261876:SIW262082 SSQ261876:SSS262082 TCM261876:TCO262082 TMI261876:TMK262082 TWE261876:TWG262082 UGA261876:UGC262082 UPW261876:UPY262082 UZS261876:UZU262082 VJO261876:VJQ262082 VTK261876:VTM262082 WDG261876:WDI262082 WNC261876:WNE262082 WWY261876:WXA262082 KM327412:KO327618 UI327412:UK327618 AEE327412:AEG327618 AOA327412:AOC327618 AXW327412:AXY327618 BHS327412:BHU327618 BRO327412:BRQ327618 CBK327412:CBM327618 CLG327412:CLI327618 CVC327412:CVE327618 DEY327412:DFA327618 DOU327412:DOW327618 DYQ327412:DYS327618 EIM327412:EIO327618 ESI327412:ESK327618 FCE327412:FCG327618 FMA327412:FMC327618 FVW327412:FVY327618 GFS327412:GFU327618 GPO327412:GPQ327618 GZK327412:GZM327618 HJG327412:HJI327618 HTC327412:HTE327618 ICY327412:IDA327618 IMU327412:IMW327618 IWQ327412:IWS327618 JGM327412:JGO327618 JQI327412:JQK327618 KAE327412:KAG327618 KKA327412:KKC327618 KTW327412:KTY327618 LDS327412:LDU327618 LNO327412:LNQ327618 LXK327412:LXM327618 MHG327412:MHI327618 MRC327412:MRE327618 NAY327412:NBA327618 NKU327412:NKW327618 NUQ327412:NUS327618 OEM327412:OEO327618 OOI327412:OOK327618 OYE327412:OYG327618 PIA327412:PIC327618 PRW327412:PRY327618 QBS327412:QBU327618 QLO327412:QLQ327618 QVK327412:QVM327618 RFG327412:RFI327618 RPC327412:RPE327618 RYY327412:RZA327618 SIU327412:SIW327618 SSQ327412:SSS327618 TCM327412:TCO327618 TMI327412:TMK327618 TWE327412:TWG327618 UGA327412:UGC327618 UPW327412:UPY327618 UZS327412:UZU327618 VJO327412:VJQ327618 VTK327412:VTM327618 WDG327412:WDI327618 WNC327412:WNE327618 WWY327412:WXA327618 KM392948:KO393154 UI392948:UK393154 AEE392948:AEG393154 AOA392948:AOC393154 AXW392948:AXY393154 BHS392948:BHU393154 BRO392948:BRQ393154 CBK392948:CBM393154 CLG392948:CLI393154 CVC392948:CVE393154 DEY392948:DFA393154 DOU392948:DOW393154 DYQ392948:DYS393154 EIM392948:EIO393154 ESI392948:ESK393154 FCE392948:FCG393154 FMA392948:FMC393154 FVW392948:FVY393154 GFS392948:GFU393154 GPO392948:GPQ393154 GZK392948:GZM393154 HJG392948:HJI393154 HTC392948:HTE393154 ICY392948:IDA393154 IMU392948:IMW393154 IWQ392948:IWS393154 JGM392948:JGO393154 JQI392948:JQK393154 KAE392948:KAG393154 KKA392948:KKC393154 KTW392948:KTY393154 LDS392948:LDU393154 LNO392948:LNQ393154 LXK392948:LXM393154 MHG392948:MHI393154 MRC392948:MRE393154 NAY392948:NBA393154 NKU392948:NKW393154 NUQ392948:NUS393154 OEM392948:OEO393154 OOI392948:OOK393154 OYE392948:OYG393154 PIA392948:PIC393154 PRW392948:PRY393154 QBS392948:QBU393154 QLO392948:QLQ393154 QVK392948:QVM393154 RFG392948:RFI393154 RPC392948:RPE393154 RYY392948:RZA393154 SIU392948:SIW393154 SSQ392948:SSS393154 TCM392948:TCO393154 TMI392948:TMK393154 TWE392948:TWG393154 UGA392948:UGC393154 UPW392948:UPY393154 UZS392948:UZU393154 VJO392948:VJQ393154 VTK392948:VTM393154 WDG392948:WDI393154 WNC392948:WNE393154 WWY392948:WXA393154 KM458484:KO458690 UI458484:UK458690 AEE458484:AEG458690 AOA458484:AOC458690 AXW458484:AXY458690 BHS458484:BHU458690 BRO458484:BRQ458690 CBK458484:CBM458690 CLG458484:CLI458690 CVC458484:CVE458690 DEY458484:DFA458690 DOU458484:DOW458690 DYQ458484:DYS458690 EIM458484:EIO458690 ESI458484:ESK458690 FCE458484:FCG458690 FMA458484:FMC458690 FVW458484:FVY458690 GFS458484:GFU458690 GPO458484:GPQ458690 GZK458484:GZM458690 HJG458484:HJI458690 HTC458484:HTE458690 ICY458484:IDA458690 IMU458484:IMW458690 IWQ458484:IWS458690 JGM458484:JGO458690 JQI458484:JQK458690 KAE458484:KAG458690 KKA458484:KKC458690 KTW458484:KTY458690 LDS458484:LDU458690 LNO458484:LNQ458690 LXK458484:LXM458690 MHG458484:MHI458690 MRC458484:MRE458690 NAY458484:NBA458690 NKU458484:NKW458690 NUQ458484:NUS458690 OEM458484:OEO458690 OOI458484:OOK458690 OYE458484:OYG458690 PIA458484:PIC458690 PRW458484:PRY458690 QBS458484:QBU458690 QLO458484:QLQ458690 QVK458484:QVM458690 RFG458484:RFI458690 RPC458484:RPE458690 RYY458484:RZA458690 SIU458484:SIW458690 SSQ458484:SSS458690 TCM458484:TCO458690 TMI458484:TMK458690 TWE458484:TWG458690 UGA458484:UGC458690 UPW458484:UPY458690 UZS458484:UZU458690 VJO458484:VJQ458690 VTK458484:VTM458690 WDG458484:WDI458690 WNC458484:WNE458690 WWY458484:WXA458690 KM524020:KO524226 UI524020:UK524226 AEE524020:AEG524226 AOA524020:AOC524226 AXW524020:AXY524226 BHS524020:BHU524226 BRO524020:BRQ524226 CBK524020:CBM524226 CLG524020:CLI524226 CVC524020:CVE524226 DEY524020:DFA524226 DOU524020:DOW524226 DYQ524020:DYS524226 EIM524020:EIO524226 ESI524020:ESK524226 FCE524020:FCG524226 FMA524020:FMC524226 FVW524020:FVY524226 GFS524020:GFU524226 GPO524020:GPQ524226 GZK524020:GZM524226 HJG524020:HJI524226 HTC524020:HTE524226 ICY524020:IDA524226 IMU524020:IMW524226 IWQ524020:IWS524226 JGM524020:JGO524226 JQI524020:JQK524226 KAE524020:KAG524226 KKA524020:KKC524226 KTW524020:KTY524226 LDS524020:LDU524226 LNO524020:LNQ524226 LXK524020:LXM524226 MHG524020:MHI524226 MRC524020:MRE524226 NAY524020:NBA524226 NKU524020:NKW524226 NUQ524020:NUS524226 OEM524020:OEO524226 OOI524020:OOK524226 OYE524020:OYG524226 PIA524020:PIC524226 PRW524020:PRY524226 QBS524020:QBU524226 QLO524020:QLQ524226 QVK524020:QVM524226 RFG524020:RFI524226 RPC524020:RPE524226 RYY524020:RZA524226 SIU524020:SIW524226 SSQ524020:SSS524226 TCM524020:TCO524226 TMI524020:TMK524226 TWE524020:TWG524226 UGA524020:UGC524226 UPW524020:UPY524226 UZS524020:UZU524226 VJO524020:VJQ524226 VTK524020:VTM524226 WDG524020:WDI524226 WNC524020:WNE524226 WWY524020:WXA524226 KM589556:KO589762 UI589556:UK589762 AEE589556:AEG589762 AOA589556:AOC589762 AXW589556:AXY589762 BHS589556:BHU589762 BRO589556:BRQ589762 CBK589556:CBM589762 CLG589556:CLI589762 CVC589556:CVE589762 DEY589556:DFA589762 DOU589556:DOW589762 DYQ589556:DYS589762 EIM589556:EIO589762 ESI589556:ESK589762 FCE589556:FCG589762 FMA589556:FMC589762 FVW589556:FVY589762 GFS589556:GFU589762 GPO589556:GPQ589762 GZK589556:GZM589762 HJG589556:HJI589762 HTC589556:HTE589762 ICY589556:IDA589762 IMU589556:IMW589762 IWQ589556:IWS589762 JGM589556:JGO589762 JQI589556:JQK589762 KAE589556:KAG589762 KKA589556:KKC589762 KTW589556:KTY589762 LDS589556:LDU589762 LNO589556:LNQ589762 LXK589556:LXM589762 MHG589556:MHI589762 MRC589556:MRE589762 NAY589556:NBA589762 NKU589556:NKW589762 NUQ589556:NUS589762 OEM589556:OEO589762 OOI589556:OOK589762 OYE589556:OYG589762 PIA589556:PIC589762 PRW589556:PRY589762 QBS589556:QBU589762 QLO589556:QLQ589762 QVK589556:QVM589762 RFG589556:RFI589762 RPC589556:RPE589762 RYY589556:RZA589762 SIU589556:SIW589762 SSQ589556:SSS589762 TCM589556:TCO589762 TMI589556:TMK589762 TWE589556:TWG589762 UGA589556:UGC589762 UPW589556:UPY589762 UZS589556:UZU589762 VJO589556:VJQ589762 VTK589556:VTM589762 WDG589556:WDI589762 WNC589556:WNE589762 WWY589556:WXA589762 KM655092:KO655298 UI655092:UK655298 AEE655092:AEG655298 AOA655092:AOC655298 AXW655092:AXY655298 BHS655092:BHU655298 BRO655092:BRQ655298 CBK655092:CBM655298 CLG655092:CLI655298 CVC655092:CVE655298 DEY655092:DFA655298 DOU655092:DOW655298 DYQ655092:DYS655298 EIM655092:EIO655298 ESI655092:ESK655298 FCE655092:FCG655298 FMA655092:FMC655298 FVW655092:FVY655298 GFS655092:GFU655298 GPO655092:GPQ655298 GZK655092:GZM655298 HJG655092:HJI655298 HTC655092:HTE655298 ICY655092:IDA655298 IMU655092:IMW655298 IWQ655092:IWS655298 JGM655092:JGO655298 JQI655092:JQK655298 KAE655092:KAG655298 KKA655092:KKC655298 KTW655092:KTY655298 LDS655092:LDU655298 LNO655092:LNQ655298 LXK655092:LXM655298 MHG655092:MHI655298 MRC655092:MRE655298 NAY655092:NBA655298 NKU655092:NKW655298 NUQ655092:NUS655298 OEM655092:OEO655298 OOI655092:OOK655298 OYE655092:OYG655298 PIA655092:PIC655298 PRW655092:PRY655298 QBS655092:QBU655298 QLO655092:QLQ655298 QVK655092:QVM655298 RFG655092:RFI655298 RPC655092:RPE655298 RYY655092:RZA655298 SIU655092:SIW655298 SSQ655092:SSS655298 TCM655092:TCO655298 TMI655092:TMK655298 TWE655092:TWG655298 UGA655092:UGC655298 UPW655092:UPY655298 UZS655092:UZU655298 VJO655092:VJQ655298 VTK655092:VTM655298 WDG655092:WDI655298 WNC655092:WNE655298 WWY655092:WXA655298 KM720628:KO720834 UI720628:UK720834 AEE720628:AEG720834 AOA720628:AOC720834 AXW720628:AXY720834 BHS720628:BHU720834 BRO720628:BRQ720834 CBK720628:CBM720834 CLG720628:CLI720834 CVC720628:CVE720834 DEY720628:DFA720834 DOU720628:DOW720834 DYQ720628:DYS720834 EIM720628:EIO720834 ESI720628:ESK720834 FCE720628:FCG720834 FMA720628:FMC720834 FVW720628:FVY720834 GFS720628:GFU720834 GPO720628:GPQ720834 GZK720628:GZM720834 HJG720628:HJI720834 HTC720628:HTE720834 ICY720628:IDA720834 IMU720628:IMW720834 IWQ720628:IWS720834 JGM720628:JGO720834 JQI720628:JQK720834 KAE720628:KAG720834 KKA720628:KKC720834 KTW720628:KTY720834 LDS720628:LDU720834 LNO720628:LNQ720834 LXK720628:LXM720834 MHG720628:MHI720834 MRC720628:MRE720834 NAY720628:NBA720834 NKU720628:NKW720834 NUQ720628:NUS720834 OEM720628:OEO720834 OOI720628:OOK720834 OYE720628:OYG720834 PIA720628:PIC720834 PRW720628:PRY720834 QBS720628:QBU720834 QLO720628:QLQ720834 QVK720628:QVM720834 RFG720628:RFI720834 RPC720628:RPE720834 RYY720628:RZA720834 SIU720628:SIW720834 SSQ720628:SSS720834 TCM720628:TCO720834 TMI720628:TMK720834 TWE720628:TWG720834 UGA720628:UGC720834 UPW720628:UPY720834 UZS720628:UZU720834 VJO720628:VJQ720834 VTK720628:VTM720834 WDG720628:WDI720834 WNC720628:WNE720834 WWY720628:WXA720834 KM786164:KO786370 UI786164:UK786370 AEE786164:AEG786370 AOA786164:AOC786370 AXW786164:AXY786370 BHS786164:BHU786370 BRO786164:BRQ786370 CBK786164:CBM786370 CLG786164:CLI786370 CVC786164:CVE786370 DEY786164:DFA786370 DOU786164:DOW786370 DYQ786164:DYS786370 EIM786164:EIO786370 ESI786164:ESK786370 FCE786164:FCG786370 FMA786164:FMC786370 FVW786164:FVY786370 GFS786164:GFU786370 GPO786164:GPQ786370 GZK786164:GZM786370 HJG786164:HJI786370 HTC786164:HTE786370 ICY786164:IDA786370 IMU786164:IMW786370 IWQ786164:IWS786370 JGM786164:JGO786370 JQI786164:JQK786370 KAE786164:KAG786370 KKA786164:KKC786370 KTW786164:KTY786370 LDS786164:LDU786370 LNO786164:LNQ786370 LXK786164:LXM786370 MHG786164:MHI786370 MRC786164:MRE786370 NAY786164:NBA786370 NKU786164:NKW786370 NUQ786164:NUS786370 OEM786164:OEO786370 OOI786164:OOK786370 OYE786164:OYG786370 PIA786164:PIC786370 PRW786164:PRY786370 QBS786164:QBU786370 QLO786164:QLQ786370 QVK786164:QVM786370 RFG786164:RFI786370 RPC786164:RPE786370 RYY786164:RZA786370 SIU786164:SIW786370 SSQ786164:SSS786370 TCM786164:TCO786370 TMI786164:TMK786370 TWE786164:TWG786370 UGA786164:UGC786370 UPW786164:UPY786370 UZS786164:UZU786370 VJO786164:VJQ786370 VTK786164:VTM786370 WDG786164:WDI786370 WNC786164:WNE786370 WWY786164:WXA786370 KM851700:KO851906 UI851700:UK851906 AEE851700:AEG851906 AOA851700:AOC851906 AXW851700:AXY851906 BHS851700:BHU851906 BRO851700:BRQ851906 CBK851700:CBM851906 CLG851700:CLI851906 CVC851700:CVE851906 DEY851700:DFA851906 DOU851700:DOW851906 DYQ851700:DYS851906 EIM851700:EIO851906 ESI851700:ESK851906 FCE851700:FCG851906 FMA851700:FMC851906 FVW851700:FVY851906 GFS851700:GFU851906 GPO851700:GPQ851906 GZK851700:GZM851906 HJG851700:HJI851906 HTC851700:HTE851906 ICY851700:IDA851906 IMU851700:IMW851906 IWQ851700:IWS851906 JGM851700:JGO851906 JQI851700:JQK851906 KAE851700:KAG851906 KKA851700:KKC851906 KTW851700:KTY851906 LDS851700:LDU851906 LNO851700:LNQ851906 LXK851700:LXM851906 MHG851700:MHI851906 MRC851700:MRE851906 NAY851700:NBA851906 NKU851700:NKW851906 NUQ851700:NUS851906 OEM851700:OEO851906 OOI851700:OOK851906 OYE851700:OYG851906 PIA851700:PIC851906 PRW851700:PRY851906 QBS851700:QBU851906 QLO851700:QLQ851906 QVK851700:QVM851906 RFG851700:RFI851906 RPC851700:RPE851906 RYY851700:RZA851906 SIU851700:SIW851906 SSQ851700:SSS851906 TCM851700:TCO851906 TMI851700:TMK851906 TWE851700:TWG851906 UGA851700:UGC851906 UPW851700:UPY851906 UZS851700:UZU851906 VJO851700:VJQ851906 VTK851700:VTM851906 WDG851700:WDI851906 WNC851700:WNE851906 WWY851700:WXA851906 KM917236:KO917442 UI917236:UK917442 AEE917236:AEG917442 AOA917236:AOC917442 AXW917236:AXY917442 BHS917236:BHU917442 BRO917236:BRQ917442 CBK917236:CBM917442 CLG917236:CLI917442 CVC917236:CVE917442 DEY917236:DFA917442 DOU917236:DOW917442 DYQ917236:DYS917442 EIM917236:EIO917442 ESI917236:ESK917442 FCE917236:FCG917442 FMA917236:FMC917442 FVW917236:FVY917442 GFS917236:GFU917442 GPO917236:GPQ917442 GZK917236:GZM917442 HJG917236:HJI917442 HTC917236:HTE917442 ICY917236:IDA917442 IMU917236:IMW917442 IWQ917236:IWS917442 JGM917236:JGO917442 JQI917236:JQK917442 KAE917236:KAG917442 KKA917236:KKC917442 KTW917236:KTY917442 LDS917236:LDU917442 LNO917236:LNQ917442 LXK917236:LXM917442 MHG917236:MHI917442 MRC917236:MRE917442 NAY917236:NBA917442 NKU917236:NKW917442 NUQ917236:NUS917442 OEM917236:OEO917442 OOI917236:OOK917442 OYE917236:OYG917442 PIA917236:PIC917442 PRW917236:PRY917442 QBS917236:QBU917442 QLO917236:QLQ917442 QVK917236:QVM917442 RFG917236:RFI917442 RPC917236:RPE917442 RYY917236:RZA917442 SIU917236:SIW917442 SSQ917236:SSS917442 TCM917236:TCO917442 TMI917236:TMK917442 TWE917236:TWG917442 UGA917236:UGC917442 UPW917236:UPY917442 UZS917236:UZU917442 VJO917236:VJQ917442 VTK917236:VTM917442 WDG917236:WDI917442 WNC917236:WNE917442 WWY917236:WXA917442 KM982772:KO982978 UI982772:UK982978 AEE982772:AEG982978 AOA982772:AOC982978 AXW982772:AXY982978 BHS982772:BHU982978 BRO982772:BRQ982978 CBK982772:CBM982978 CLG982772:CLI982978 CVC982772:CVE982978 DEY982772:DFA982978 DOU982772:DOW982978 DYQ982772:DYS982978 EIM982772:EIO982978 ESI982772:ESK982978 FCE982772:FCG982978 FMA982772:FMC982978 FVW982772:FVY982978 GFS982772:GFU982978 GPO982772:GPQ982978 GZK982772:GZM982978 HJG982772:HJI982978 HTC982772:HTE982978 ICY982772:IDA982978 IMU982772:IMW982978 IWQ982772:IWS982978 JGM982772:JGO982978 JQI982772:JQK982978 KAE982772:KAG982978 KKA982772:KKC982978 KTW982772:KTY982978 LDS982772:LDU982978 LNO982772:LNQ982978 LXK982772:LXM982978 MHG982772:MHI982978 MRC982772:MRE982978 NAY982772:NBA982978 NKU982772:NKW982978 NUQ982772:NUS982978 OEM982772:OEO982978 OOI982772:OOK982978 OYE982772:OYG982978 PIA982772:PIC982978 PRW982772:PRY982978 QBS982772:QBU982978 QLO982772:QLQ982978 QVK982772:QVM982978 RFG982772:RFI982978 RPC982772:RPE982978 RYY982772:RZA982978 SIU982772:SIW982978 SSQ982772:SSS982978 TCM982772:TCO982978 TMI982772:TMK982978 TWE982772:TWG982978 UGA982772:UGC982978 UPW982772:UPY982978 UZS982772:UZU982978 VJO982772:VJQ982978 VTK982772:VTM982978 WDG982772:WDI982978 WNC982772:WNE982978 WWY982772:WXA982978 AB982772:AD982978 AB917236:AD917442 AB851700:AD851906 AB786164:AD786370 AB720628:AD720834 AB655092:AD655298 AB589556:AD589762 AB524020:AD524226 AB458484:AD458690 AB392948:AD393154 AB327412:AD327618 AB261876:AD262082 AB196340:AD196546 AB130804:AD131010 AB65268:AD65474 WWY5:WXA11 KM5:KO11 UI5:UK11 AEE5:AEG11 AOA5:AOC11 AXW5:AXY11 BHS5:BHU11 BRO5:BRQ11 CBK5:CBM11 CLG5:CLI11 CVC5:CVE11 DEY5:DFA11 DOU5:DOW11 DYQ5:DYS11 EIM5:EIO11 ESI5:ESK11 FCE5:FCG11 FMA5:FMC11 FVW5:FVY11 GFS5:GFU11 GPO5:GPQ11 GZK5:GZM11 HJG5:HJI11 HTC5:HTE11 ICY5:IDA11 IMU5:IMW11 IWQ5:IWS11 JGM5:JGO11 JQI5:JQK11 KAE5:KAG11 KKA5:KKC11 KTW5:KTY11 LDS5:LDU11 LNO5:LNQ11 LXK5:LXM11 MHG5:MHI11 MRC5:MRE11 NAY5:NBA11 NKU5:NKW11 NUQ5:NUS11 OEM5:OEO11 OOI5:OOK11 OYE5:OYG11 PIA5:PIC11 PRW5:PRY11 QBS5:QBU11 QLO5:QLQ11 QVK5:QVM11 RFG5:RFI11 RPC5:RPE11 RYY5:RZA11 SIU5:SIW11 SSQ5:SSS11 TCM5:TCO11 TMI5:TMK11 TWE5:TWG11 UGA5:UGC11 UPW5:UPY11 UZS5:UZU11 VJO5:VJQ11 VTK5:VTM11 WDG5:WDI11 WNC5:WNE11">
      <formula1>0</formula1>
      <formula2>10000000000000000</formula2>
    </dataValidation>
    <dataValidation type="whole" allowBlank="1" showInputMessage="1" showErrorMessage="1" sqref="AE65268:AG65474 KP65268:KQ65474 UL65268:UM65474 AEH65268:AEI65474 AOD65268:AOE65474 AXZ65268:AYA65474 BHV65268:BHW65474 BRR65268:BRS65474 CBN65268:CBO65474 CLJ65268:CLK65474 CVF65268:CVG65474 DFB65268:DFC65474 DOX65268:DOY65474 DYT65268:DYU65474 EIP65268:EIQ65474 ESL65268:ESM65474 FCH65268:FCI65474 FMD65268:FME65474 FVZ65268:FWA65474 GFV65268:GFW65474 GPR65268:GPS65474 GZN65268:GZO65474 HJJ65268:HJK65474 HTF65268:HTG65474 IDB65268:IDC65474 IMX65268:IMY65474 IWT65268:IWU65474 JGP65268:JGQ65474 JQL65268:JQM65474 KAH65268:KAI65474 KKD65268:KKE65474 KTZ65268:KUA65474 LDV65268:LDW65474 LNR65268:LNS65474 LXN65268:LXO65474 MHJ65268:MHK65474 MRF65268:MRG65474 NBB65268:NBC65474 NKX65268:NKY65474 NUT65268:NUU65474 OEP65268:OEQ65474 OOL65268:OOM65474 OYH65268:OYI65474 PID65268:PIE65474 PRZ65268:PSA65474 QBV65268:QBW65474 QLR65268:QLS65474 QVN65268:QVO65474 RFJ65268:RFK65474 RPF65268:RPG65474 RZB65268:RZC65474 SIX65268:SIY65474 SST65268:SSU65474 TCP65268:TCQ65474 TML65268:TMM65474 TWH65268:TWI65474 UGD65268:UGE65474 UPZ65268:UQA65474 UZV65268:UZW65474 VJR65268:VJS65474 VTN65268:VTO65474 WDJ65268:WDK65474 WNF65268:WNG65474 WXB65268:WXC65474 AE130804:AG131010 KP130804:KQ131010 UL130804:UM131010 AEH130804:AEI131010 AOD130804:AOE131010 AXZ130804:AYA131010 BHV130804:BHW131010 BRR130804:BRS131010 CBN130804:CBO131010 CLJ130804:CLK131010 CVF130804:CVG131010 DFB130804:DFC131010 DOX130804:DOY131010 DYT130804:DYU131010 EIP130804:EIQ131010 ESL130804:ESM131010 FCH130804:FCI131010 FMD130804:FME131010 FVZ130804:FWA131010 GFV130804:GFW131010 GPR130804:GPS131010 GZN130804:GZO131010 HJJ130804:HJK131010 HTF130804:HTG131010 IDB130804:IDC131010 IMX130804:IMY131010 IWT130804:IWU131010 JGP130804:JGQ131010 JQL130804:JQM131010 KAH130804:KAI131010 KKD130804:KKE131010 KTZ130804:KUA131010 LDV130804:LDW131010 LNR130804:LNS131010 LXN130804:LXO131010 MHJ130804:MHK131010 MRF130804:MRG131010 NBB130804:NBC131010 NKX130804:NKY131010 NUT130804:NUU131010 OEP130804:OEQ131010 OOL130804:OOM131010 OYH130804:OYI131010 PID130804:PIE131010 PRZ130804:PSA131010 QBV130804:QBW131010 QLR130804:QLS131010 QVN130804:QVO131010 RFJ130804:RFK131010 RPF130804:RPG131010 RZB130804:RZC131010 SIX130804:SIY131010 SST130804:SSU131010 TCP130804:TCQ131010 TML130804:TMM131010 TWH130804:TWI131010 UGD130804:UGE131010 UPZ130804:UQA131010 UZV130804:UZW131010 VJR130804:VJS131010 VTN130804:VTO131010 WDJ130804:WDK131010 WNF130804:WNG131010 WXB130804:WXC131010 AE196340:AG196546 KP196340:KQ196546 UL196340:UM196546 AEH196340:AEI196546 AOD196340:AOE196546 AXZ196340:AYA196546 BHV196340:BHW196546 BRR196340:BRS196546 CBN196340:CBO196546 CLJ196340:CLK196546 CVF196340:CVG196546 DFB196340:DFC196546 DOX196340:DOY196546 DYT196340:DYU196546 EIP196340:EIQ196546 ESL196340:ESM196546 FCH196340:FCI196546 FMD196340:FME196546 FVZ196340:FWA196546 GFV196340:GFW196546 GPR196340:GPS196546 GZN196340:GZO196546 HJJ196340:HJK196546 HTF196340:HTG196546 IDB196340:IDC196546 IMX196340:IMY196546 IWT196340:IWU196546 JGP196340:JGQ196546 JQL196340:JQM196546 KAH196340:KAI196546 KKD196340:KKE196546 KTZ196340:KUA196546 LDV196340:LDW196546 LNR196340:LNS196546 LXN196340:LXO196546 MHJ196340:MHK196546 MRF196340:MRG196546 NBB196340:NBC196546 NKX196340:NKY196546 NUT196340:NUU196546 OEP196340:OEQ196546 OOL196340:OOM196546 OYH196340:OYI196546 PID196340:PIE196546 PRZ196340:PSA196546 QBV196340:QBW196546 QLR196340:QLS196546 QVN196340:QVO196546 RFJ196340:RFK196546 RPF196340:RPG196546 RZB196340:RZC196546 SIX196340:SIY196546 SST196340:SSU196546 TCP196340:TCQ196546 TML196340:TMM196546 TWH196340:TWI196546 UGD196340:UGE196546 UPZ196340:UQA196546 UZV196340:UZW196546 VJR196340:VJS196546 VTN196340:VTO196546 WDJ196340:WDK196546 WNF196340:WNG196546 WXB196340:WXC196546 AE261876:AG262082 KP261876:KQ262082 UL261876:UM262082 AEH261876:AEI262082 AOD261876:AOE262082 AXZ261876:AYA262082 BHV261876:BHW262082 BRR261876:BRS262082 CBN261876:CBO262082 CLJ261876:CLK262082 CVF261876:CVG262082 DFB261876:DFC262082 DOX261876:DOY262082 DYT261876:DYU262082 EIP261876:EIQ262082 ESL261876:ESM262082 FCH261876:FCI262082 FMD261876:FME262082 FVZ261876:FWA262082 GFV261876:GFW262082 GPR261876:GPS262082 GZN261876:GZO262082 HJJ261876:HJK262082 HTF261876:HTG262082 IDB261876:IDC262082 IMX261876:IMY262082 IWT261876:IWU262082 JGP261876:JGQ262082 JQL261876:JQM262082 KAH261876:KAI262082 KKD261876:KKE262082 KTZ261876:KUA262082 LDV261876:LDW262082 LNR261876:LNS262082 LXN261876:LXO262082 MHJ261876:MHK262082 MRF261876:MRG262082 NBB261876:NBC262082 NKX261876:NKY262082 NUT261876:NUU262082 OEP261876:OEQ262082 OOL261876:OOM262082 OYH261876:OYI262082 PID261876:PIE262082 PRZ261876:PSA262082 QBV261876:QBW262082 QLR261876:QLS262082 QVN261876:QVO262082 RFJ261876:RFK262082 RPF261876:RPG262082 RZB261876:RZC262082 SIX261876:SIY262082 SST261876:SSU262082 TCP261876:TCQ262082 TML261876:TMM262082 TWH261876:TWI262082 UGD261876:UGE262082 UPZ261876:UQA262082 UZV261876:UZW262082 VJR261876:VJS262082 VTN261876:VTO262082 WDJ261876:WDK262082 WNF261876:WNG262082 WXB261876:WXC262082 AE327412:AG327618 KP327412:KQ327618 UL327412:UM327618 AEH327412:AEI327618 AOD327412:AOE327618 AXZ327412:AYA327618 BHV327412:BHW327618 BRR327412:BRS327618 CBN327412:CBO327618 CLJ327412:CLK327618 CVF327412:CVG327618 DFB327412:DFC327618 DOX327412:DOY327618 DYT327412:DYU327618 EIP327412:EIQ327618 ESL327412:ESM327618 FCH327412:FCI327618 FMD327412:FME327618 FVZ327412:FWA327618 GFV327412:GFW327618 GPR327412:GPS327618 GZN327412:GZO327618 HJJ327412:HJK327618 HTF327412:HTG327618 IDB327412:IDC327618 IMX327412:IMY327618 IWT327412:IWU327618 JGP327412:JGQ327618 JQL327412:JQM327618 KAH327412:KAI327618 KKD327412:KKE327618 KTZ327412:KUA327618 LDV327412:LDW327618 LNR327412:LNS327618 LXN327412:LXO327618 MHJ327412:MHK327618 MRF327412:MRG327618 NBB327412:NBC327618 NKX327412:NKY327618 NUT327412:NUU327618 OEP327412:OEQ327618 OOL327412:OOM327618 OYH327412:OYI327618 PID327412:PIE327618 PRZ327412:PSA327618 QBV327412:QBW327618 QLR327412:QLS327618 QVN327412:QVO327618 RFJ327412:RFK327618 RPF327412:RPG327618 RZB327412:RZC327618 SIX327412:SIY327618 SST327412:SSU327618 TCP327412:TCQ327618 TML327412:TMM327618 TWH327412:TWI327618 UGD327412:UGE327618 UPZ327412:UQA327618 UZV327412:UZW327618 VJR327412:VJS327618 VTN327412:VTO327618 WDJ327412:WDK327618 WNF327412:WNG327618 WXB327412:WXC327618 AE392948:AG393154 KP392948:KQ393154 UL392948:UM393154 AEH392948:AEI393154 AOD392948:AOE393154 AXZ392948:AYA393154 BHV392948:BHW393154 BRR392948:BRS393154 CBN392948:CBO393154 CLJ392948:CLK393154 CVF392948:CVG393154 DFB392948:DFC393154 DOX392948:DOY393154 DYT392948:DYU393154 EIP392948:EIQ393154 ESL392948:ESM393154 FCH392948:FCI393154 FMD392948:FME393154 FVZ392948:FWA393154 GFV392948:GFW393154 GPR392948:GPS393154 GZN392948:GZO393154 HJJ392948:HJK393154 HTF392948:HTG393154 IDB392948:IDC393154 IMX392948:IMY393154 IWT392948:IWU393154 JGP392948:JGQ393154 JQL392948:JQM393154 KAH392948:KAI393154 KKD392948:KKE393154 KTZ392948:KUA393154 LDV392948:LDW393154 LNR392948:LNS393154 LXN392948:LXO393154 MHJ392948:MHK393154 MRF392948:MRG393154 NBB392948:NBC393154 NKX392948:NKY393154 NUT392948:NUU393154 OEP392948:OEQ393154 OOL392948:OOM393154 OYH392948:OYI393154 PID392948:PIE393154 PRZ392948:PSA393154 QBV392948:QBW393154 QLR392948:QLS393154 QVN392948:QVO393154 RFJ392948:RFK393154 RPF392948:RPG393154 RZB392948:RZC393154 SIX392948:SIY393154 SST392948:SSU393154 TCP392948:TCQ393154 TML392948:TMM393154 TWH392948:TWI393154 UGD392948:UGE393154 UPZ392948:UQA393154 UZV392948:UZW393154 VJR392948:VJS393154 VTN392948:VTO393154 WDJ392948:WDK393154 WNF392948:WNG393154 WXB392948:WXC393154 AE458484:AG458690 KP458484:KQ458690 UL458484:UM458690 AEH458484:AEI458690 AOD458484:AOE458690 AXZ458484:AYA458690 BHV458484:BHW458690 BRR458484:BRS458690 CBN458484:CBO458690 CLJ458484:CLK458690 CVF458484:CVG458690 DFB458484:DFC458690 DOX458484:DOY458690 DYT458484:DYU458690 EIP458484:EIQ458690 ESL458484:ESM458690 FCH458484:FCI458690 FMD458484:FME458690 FVZ458484:FWA458690 GFV458484:GFW458690 GPR458484:GPS458690 GZN458484:GZO458690 HJJ458484:HJK458690 HTF458484:HTG458690 IDB458484:IDC458690 IMX458484:IMY458690 IWT458484:IWU458690 JGP458484:JGQ458690 JQL458484:JQM458690 KAH458484:KAI458690 KKD458484:KKE458690 KTZ458484:KUA458690 LDV458484:LDW458690 LNR458484:LNS458690 LXN458484:LXO458690 MHJ458484:MHK458690 MRF458484:MRG458690 NBB458484:NBC458690 NKX458484:NKY458690 NUT458484:NUU458690 OEP458484:OEQ458690 OOL458484:OOM458690 OYH458484:OYI458690 PID458484:PIE458690 PRZ458484:PSA458690 QBV458484:QBW458690 QLR458484:QLS458690 QVN458484:QVO458690 RFJ458484:RFK458690 RPF458484:RPG458690 RZB458484:RZC458690 SIX458484:SIY458690 SST458484:SSU458690 TCP458484:TCQ458690 TML458484:TMM458690 TWH458484:TWI458690 UGD458484:UGE458690 UPZ458484:UQA458690 UZV458484:UZW458690 VJR458484:VJS458690 VTN458484:VTO458690 WDJ458484:WDK458690 WNF458484:WNG458690 WXB458484:WXC458690 AE524020:AG524226 KP524020:KQ524226 UL524020:UM524226 AEH524020:AEI524226 AOD524020:AOE524226 AXZ524020:AYA524226 BHV524020:BHW524226 BRR524020:BRS524226 CBN524020:CBO524226 CLJ524020:CLK524226 CVF524020:CVG524226 DFB524020:DFC524226 DOX524020:DOY524226 DYT524020:DYU524226 EIP524020:EIQ524226 ESL524020:ESM524226 FCH524020:FCI524226 FMD524020:FME524226 FVZ524020:FWA524226 GFV524020:GFW524226 GPR524020:GPS524226 GZN524020:GZO524226 HJJ524020:HJK524226 HTF524020:HTG524226 IDB524020:IDC524226 IMX524020:IMY524226 IWT524020:IWU524226 JGP524020:JGQ524226 JQL524020:JQM524226 KAH524020:KAI524226 KKD524020:KKE524226 KTZ524020:KUA524226 LDV524020:LDW524226 LNR524020:LNS524226 LXN524020:LXO524226 MHJ524020:MHK524226 MRF524020:MRG524226 NBB524020:NBC524226 NKX524020:NKY524226 NUT524020:NUU524226 OEP524020:OEQ524226 OOL524020:OOM524226 OYH524020:OYI524226 PID524020:PIE524226 PRZ524020:PSA524226 QBV524020:QBW524226 QLR524020:QLS524226 QVN524020:QVO524226 RFJ524020:RFK524226 RPF524020:RPG524226 RZB524020:RZC524226 SIX524020:SIY524226 SST524020:SSU524226 TCP524020:TCQ524226 TML524020:TMM524226 TWH524020:TWI524226 UGD524020:UGE524226 UPZ524020:UQA524226 UZV524020:UZW524226 VJR524020:VJS524226 VTN524020:VTO524226 WDJ524020:WDK524226 WNF524020:WNG524226 WXB524020:WXC524226 AE589556:AG589762 KP589556:KQ589762 UL589556:UM589762 AEH589556:AEI589762 AOD589556:AOE589762 AXZ589556:AYA589762 BHV589556:BHW589762 BRR589556:BRS589762 CBN589556:CBO589762 CLJ589556:CLK589762 CVF589556:CVG589762 DFB589556:DFC589762 DOX589556:DOY589762 DYT589556:DYU589762 EIP589556:EIQ589762 ESL589556:ESM589762 FCH589556:FCI589762 FMD589556:FME589762 FVZ589556:FWA589762 GFV589556:GFW589762 GPR589556:GPS589762 GZN589556:GZO589762 HJJ589556:HJK589762 HTF589556:HTG589762 IDB589556:IDC589762 IMX589556:IMY589762 IWT589556:IWU589762 JGP589556:JGQ589762 JQL589556:JQM589762 KAH589556:KAI589762 KKD589556:KKE589762 KTZ589556:KUA589762 LDV589556:LDW589762 LNR589556:LNS589762 LXN589556:LXO589762 MHJ589556:MHK589762 MRF589556:MRG589762 NBB589556:NBC589762 NKX589556:NKY589762 NUT589556:NUU589762 OEP589556:OEQ589762 OOL589556:OOM589762 OYH589556:OYI589762 PID589556:PIE589762 PRZ589556:PSA589762 QBV589556:QBW589762 QLR589556:QLS589762 QVN589556:QVO589762 RFJ589556:RFK589762 RPF589556:RPG589762 RZB589556:RZC589762 SIX589556:SIY589762 SST589556:SSU589762 TCP589556:TCQ589762 TML589556:TMM589762 TWH589556:TWI589762 UGD589556:UGE589762 UPZ589556:UQA589762 UZV589556:UZW589762 VJR589556:VJS589762 VTN589556:VTO589762 WDJ589556:WDK589762 WNF589556:WNG589762 WXB589556:WXC589762 AE655092:AG655298 KP655092:KQ655298 UL655092:UM655298 AEH655092:AEI655298 AOD655092:AOE655298 AXZ655092:AYA655298 BHV655092:BHW655298 BRR655092:BRS655298 CBN655092:CBO655298 CLJ655092:CLK655298 CVF655092:CVG655298 DFB655092:DFC655298 DOX655092:DOY655298 DYT655092:DYU655298 EIP655092:EIQ655298 ESL655092:ESM655298 FCH655092:FCI655298 FMD655092:FME655298 FVZ655092:FWA655298 GFV655092:GFW655298 GPR655092:GPS655298 GZN655092:GZO655298 HJJ655092:HJK655298 HTF655092:HTG655298 IDB655092:IDC655298 IMX655092:IMY655298 IWT655092:IWU655298 JGP655092:JGQ655298 JQL655092:JQM655298 KAH655092:KAI655298 KKD655092:KKE655298 KTZ655092:KUA655298 LDV655092:LDW655298 LNR655092:LNS655298 LXN655092:LXO655298 MHJ655092:MHK655298 MRF655092:MRG655298 NBB655092:NBC655298 NKX655092:NKY655298 NUT655092:NUU655298 OEP655092:OEQ655298 OOL655092:OOM655298 OYH655092:OYI655298 PID655092:PIE655298 PRZ655092:PSA655298 QBV655092:QBW655298 QLR655092:QLS655298 QVN655092:QVO655298 RFJ655092:RFK655298 RPF655092:RPG655298 RZB655092:RZC655298 SIX655092:SIY655298 SST655092:SSU655298 TCP655092:TCQ655298 TML655092:TMM655298 TWH655092:TWI655298 UGD655092:UGE655298 UPZ655092:UQA655298 UZV655092:UZW655298 VJR655092:VJS655298 VTN655092:VTO655298 WDJ655092:WDK655298 WNF655092:WNG655298 WXB655092:WXC655298 AE720628:AG720834 KP720628:KQ720834 UL720628:UM720834 AEH720628:AEI720834 AOD720628:AOE720834 AXZ720628:AYA720834 BHV720628:BHW720834 BRR720628:BRS720834 CBN720628:CBO720834 CLJ720628:CLK720834 CVF720628:CVG720834 DFB720628:DFC720834 DOX720628:DOY720834 DYT720628:DYU720834 EIP720628:EIQ720834 ESL720628:ESM720834 FCH720628:FCI720834 FMD720628:FME720834 FVZ720628:FWA720834 GFV720628:GFW720834 GPR720628:GPS720834 GZN720628:GZO720834 HJJ720628:HJK720834 HTF720628:HTG720834 IDB720628:IDC720834 IMX720628:IMY720834 IWT720628:IWU720834 JGP720628:JGQ720834 JQL720628:JQM720834 KAH720628:KAI720834 KKD720628:KKE720834 KTZ720628:KUA720834 LDV720628:LDW720834 LNR720628:LNS720834 LXN720628:LXO720834 MHJ720628:MHK720834 MRF720628:MRG720834 NBB720628:NBC720834 NKX720628:NKY720834 NUT720628:NUU720834 OEP720628:OEQ720834 OOL720628:OOM720834 OYH720628:OYI720834 PID720628:PIE720834 PRZ720628:PSA720834 QBV720628:QBW720834 QLR720628:QLS720834 QVN720628:QVO720834 RFJ720628:RFK720834 RPF720628:RPG720834 RZB720628:RZC720834 SIX720628:SIY720834 SST720628:SSU720834 TCP720628:TCQ720834 TML720628:TMM720834 TWH720628:TWI720834 UGD720628:UGE720834 UPZ720628:UQA720834 UZV720628:UZW720834 VJR720628:VJS720834 VTN720628:VTO720834 WDJ720628:WDK720834 WNF720628:WNG720834 WXB720628:WXC720834 AE786164:AG786370 KP786164:KQ786370 UL786164:UM786370 AEH786164:AEI786370 AOD786164:AOE786370 AXZ786164:AYA786370 BHV786164:BHW786370 BRR786164:BRS786370 CBN786164:CBO786370 CLJ786164:CLK786370 CVF786164:CVG786370 DFB786164:DFC786370 DOX786164:DOY786370 DYT786164:DYU786370 EIP786164:EIQ786370 ESL786164:ESM786370 FCH786164:FCI786370 FMD786164:FME786370 FVZ786164:FWA786370 GFV786164:GFW786370 GPR786164:GPS786370 GZN786164:GZO786370 HJJ786164:HJK786370 HTF786164:HTG786370 IDB786164:IDC786370 IMX786164:IMY786370 IWT786164:IWU786370 JGP786164:JGQ786370 JQL786164:JQM786370 KAH786164:KAI786370 KKD786164:KKE786370 KTZ786164:KUA786370 LDV786164:LDW786370 LNR786164:LNS786370 LXN786164:LXO786370 MHJ786164:MHK786370 MRF786164:MRG786370 NBB786164:NBC786370 NKX786164:NKY786370 NUT786164:NUU786370 OEP786164:OEQ786370 OOL786164:OOM786370 OYH786164:OYI786370 PID786164:PIE786370 PRZ786164:PSA786370 QBV786164:QBW786370 QLR786164:QLS786370 QVN786164:QVO786370 RFJ786164:RFK786370 RPF786164:RPG786370 RZB786164:RZC786370 SIX786164:SIY786370 SST786164:SSU786370 TCP786164:TCQ786370 TML786164:TMM786370 TWH786164:TWI786370 UGD786164:UGE786370 UPZ786164:UQA786370 UZV786164:UZW786370 VJR786164:VJS786370 VTN786164:VTO786370 WDJ786164:WDK786370 WNF786164:WNG786370 WXB786164:WXC786370 AE851700:AG851906 KP851700:KQ851906 UL851700:UM851906 AEH851700:AEI851906 AOD851700:AOE851906 AXZ851700:AYA851906 BHV851700:BHW851906 BRR851700:BRS851906 CBN851700:CBO851906 CLJ851700:CLK851906 CVF851700:CVG851906 DFB851700:DFC851906 DOX851700:DOY851906 DYT851700:DYU851906 EIP851700:EIQ851906 ESL851700:ESM851906 FCH851700:FCI851906 FMD851700:FME851906 FVZ851700:FWA851906 GFV851700:GFW851906 GPR851700:GPS851906 GZN851700:GZO851906 HJJ851700:HJK851906 HTF851700:HTG851906 IDB851700:IDC851906 IMX851700:IMY851906 IWT851700:IWU851906 JGP851700:JGQ851906 JQL851700:JQM851906 KAH851700:KAI851906 KKD851700:KKE851906 KTZ851700:KUA851906 LDV851700:LDW851906 LNR851700:LNS851906 LXN851700:LXO851906 MHJ851700:MHK851906 MRF851700:MRG851906 NBB851700:NBC851906 NKX851700:NKY851906 NUT851700:NUU851906 OEP851700:OEQ851906 OOL851700:OOM851906 OYH851700:OYI851906 PID851700:PIE851906 PRZ851700:PSA851906 QBV851700:QBW851906 QLR851700:QLS851906 QVN851700:QVO851906 RFJ851700:RFK851906 RPF851700:RPG851906 RZB851700:RZC851906 SIX851700:SIY851906 SST851700:SSU851906 TCP851700:TCQ851906 TML851700:TMM851906 TWH851700:TWI851906 UGD851700:UGE851906 UPZ851700:UQA851906 UZV851700:UZW851906 VJR851700:VJS851906 VTN851700:VTO851906 WDJ851700:WDK851906 WNF851700:WNG851906 WXB851700:WXC851906 AE917236:AG917442 KP917236:KQ917442 UL917236:UM917442 AEH917236:AEI917442 AOD917236:AOE917442 AXZ917236:AYA917442 BHV917236:BHW917442 BRR917236:BRS917442 CBN917236:CBO917442 CLJ917236:CLK917442 CVF917236:CVG917442 DFB917236:DFC917442 DOX917236:DOY917442 DYT917236:DYU917442 EIP917236:EIQ917442 ESL917236:ESM917442 FCH917236:FCI917442 FMD917236:FME917442 FVZ917236:FWA917442 GFV917236:GFW917442 GPR917236:GPS917442 GZN917236:GZO917442 HJJ917236:HJK917442 HTF917236:HTG917442 IDB917236:IDC917442 IMX917236:IMY917442 IWT917236:IWU917442 JGP917236:JGQ917442 JQL917236:JQM917442 KAH917236:KAI917442 KKD917236:KKE917442 KTZ917236:KUA917442 LDV917236:LDW917442 LNR917236:LNS917442 LXN917236:LXO917442 MHJ917236:MHK917442 MRF917236:MRG917442 NBB917236:NBC917442 NKX917236:NKY917442 NUT917236:NUU917442 OEP917236:OEQ917442 OOL917236:OOM917442 OYH917236:OYI917442 PID917236:PIE917442 PRZ917236:PSA917442 QBV917236:QBW917442 QLR917236:QLS917442 QVN917236:QVO917442 RFJ917236:RFK917442 RPF917236:RPG917442 RZB917236:RZC917442 SIX917236:SIY917442 SST917236:SSU917442 TCP917236:TCQ917442 TML917236:TMM917442 TWH917236:TWI917442 UGD917236:UGE917442 UPZ917236:UQA917442 UZV917236:UZW917442 VJR917236:VJS917442 VTN917236:VTO917442 WDJ917236:WDK917442 WNF917236:WNG917442 WXB917236:WXC917442 AE982772:AG982978 KP982772:KQ982978 UL982772:UM982978 AEH982772:AEI982978 AOD982772:AOE982978 AXZ982772:AYA982978 BHV982772:BHW982978 BRR982772:BRS982978 CBN982772:CBO982978 CLJ982772:CLK982978 CVF982772:CVG982978 DFB982772:DFC982978 DOX982772:DOY982978 DYT982772:DYU982978 EIP982772:EIQ982978 ESL982772:ESM982978 FCH982772:FCI982978 FMD982772:FME982978 FVZ982772:FWA982978 GFV982772:GFW982978 GPR982772:GPS982978 GZN982772:GZO982978 HJJ982772:HJK982978 HTF982772:HTG982978 IDB982772:IDC982978 IMX982772:IMY982978 IWT982772:IWU982978 JGP982772:JGQ982978 JQL982772:JQM982978 KAH982772:KAI982978 KKD982772:KKE982978 KTZ982772:KUA982978 LDV982772:LDW982978 LNR982772:LNS982978 LXN982772:LXO982978 MHJ982772:MHK982978 MRF982772:MRG982978 NBB982772:NBC982978 NKX982772:NKY982978 NUT982772:NUU982978 OEP982772:OEQ982978 OOL982772:OOM982978 OYH982772:OYI982978 PID982772:PIE982978 PRZ982772:PSA982978 QBV982772:QBW982978 QLR982772:QLS982978 QVN982772:QVO982978 RFJ982772:RFK982978 RPF982772:RPG982978 RZB982772:RZC982978 SIX982772:SIY982978 SST982772:SSU982978 TCP982772:TCQ982978 TML982772:TMM982978 TWH982772:TWI982978 UGD982772:UGE982978 UPZ982772:UQA982978 UZV982772:UZW982978 VJR982772:VJS982978 VTN982772:VTO982978 WDJ982772:WDK982978 WNF982772:WNG982978 WXB982772:WXC982978 WXB5:WXC11 KP5:KQ11 UL5:UM11 AEH5:AEI11 AOD5:AOE11 AXZ5:AYA11 BHV5:BHW11 BRR5:BRS11 CBN5:CBO11 CLJ5:CLK11 CVF5:CVG11 DFB5:DFC11 DOX5:DOY11 DYT5:DYU11 EIP5:EIQ11 ESL5:ESM11 FCH5:FCI11 FMD5:FME11 FVZ5:FWA11 GFV5:GFW11 GPR5:GPS11 GZN5:GZO11 HJJ5:HJK11 HTF5:HTG11 IDB5:IDC11 IMX5:IMY11 IWT5:IWU11 JGP5:JGQ11 JQL5:JQM11 KAH5:KAI11 KKD5:KKE11 KTZ5:KUA11 LDV5:LDW11 LNR5:LNS11 LXN5:LXO11 MHJ5:MHK11 MRF5:MRG11 NBB5:NBC11 NKX5:NKY11 NUT5:NUU11 OEP5:OEQ11 OOL5:OOM11 OYH5:OYI11 PID5:PIE11 PRZ5:PSA11 QBV5:QBW11 QLR5:QLS11 QVN5:QVO11 RFJ5:RFK11 RPF5:RPG11 RZB5:RZC11 SIX5:SIY11 SST5:SSU11 TCP5:TCQ11 TML5:TMM11 TWH5:TWI11 UGD5:UGE11 UPZ5:UQA11 UZV5:UZW11 VJR5:VJS11 VTN5:VTO11 WDJ5:WDK11 WNF5:WNG11">
      <formula1>0</formula1>
      <formula2>100</formula2>
    </dataValidation>
    <dataValidation type="whole" allowBlank="1" showInputMessage="1" showErrorMessage="1" sqref="BI65268:BI65474 LH65268:LH65474 VD65268:VD65474 AEZ65268:AEZ65474 AOV65268:AOV65474 AYR65268:AYR65474 BIN65268:BIN65474 BSJ65268:BSJ65474 CCF65268:CCF65474 CMB65268:CMB65474 CVX65268:CVX65474 DFT65268:DFT65474 DPP65268:DPP65474 DZL65268:DZL65474 EJH65268:EJH65474 ETD65268:ETD65474 FCZ65268:FCZ65474 FMV65268:FMV65474 FWR65268:FWR65474 GGN65268:GGN65474 GQJ65268:GQJ65474 HAF65268:HAF65474 HKB65268:HKB65474 HTX65268:HTX65474 IDT65268:IDT65474 INP65268:INP65474 IXL65268:IXL65474 JHH65268:JHH65474 JRD65268:JRD65474 KAZ65268:KAZ65474 KKV65268:KKV65474 KUR65268:KUR65474 LEN65268:LEN65474 LOJ65268:LOJ65474 LYF65268:LYF65474 MIB65268:MIB65474 MRX65268:MRX65474 NBT65268:NBT65474 NLP65268:NLP65474 NVL65268:NVL65474 OFH65268:OFH65474 OPD65268:OPD65474 OYZ65268:OYZ65474 PIV65268:PIV65474 PSR65268:PSR65474 QCN65268:QCN65474 QMJ65268:QMJ65474 QWF65268:QWF65474 RGB65268:RGB65474 RPX65268:RPX65474 RZT65268:RZT65474 SJP65268:SJP65474 STL65268:STL65474 TDH65268:TDH65474 TND65268:TND65474 TWZ65268:TWZ65474 UGV65268:UGV65474 UQR65268:UQR65474 VAN65268:VAN65474 VKJ65268:VKJ65474 VUF65268:VUF65474 WEB65268:WEB65474 WNX65268:WNX65474 WXT65268:WXT65474 BI130804:BI131010 LH130804:LH131010 VD130804:VD131010 AEZ130804:AEZ131010 AOV130804:AOV131010 AYR130804:AYR131010 BIN130804:BIN131010 BSJ130804:BSJ131010 CCF130804:CCF131010 CMB130804:CMB131010 CVX130804:CVX131010 DFT130804:DFT131010 DPP130804:DPP131010 DZL130804:DZL131010 EJH130804:EJH131010 ETD130804:ETD131010 FCZ130804:FCZ131010 FMV130804:FMV131010 FWR130804:FWR131010 GGN130804:GGN131010 GQJ130804:GQJ131010 HAF130804:HAF131010 HKB130804:HKB131010 HTX130804:HTX131010 IDT130804:IDT131010 INP130804:INP131010 IXL130804:IXL131010 JHH130804:JHH131010 JRD130804:JRD131010 KAZ130804:KAZ131010 KKV130804:KKV131010 KUR130804:KUR131010 LEN130804:LEN131010 LOJ130804:LOJ131010 LYF130804:LYF131010 MIB130804:MIB131010 MRX130804:MRX131010 NBT130804:NBT131010 NLP130804:NLP131010 NVL130804:NVL131010 OFH130804:OFH131010 OPD130804:OPD131010 OYZ130804:OYZ131010 PIV130804:PIV131010 PSR130804:PSR131010 QCN130804:QCN131010 QMJ130804:QMJ131010 QWF130804:QWF131010 RGB130804:RGB131010 RPX130804:RPX131010 RZT130804:RZT131010 SJP130804:SJP131010 STL130804:STL131010 TDH130804:TDH131010 TND130804:TND131010 TWZ130804:TWZ131010 UGV130804:UGV131010 UQR130804:UQR131010 VAN130804:VAN131010 VKJ130804:VKJ131010 VUF130804:VUF131010 WEB130804:WEB131010 WNX130804:WNX131010 WXT130804:WXT131010 BI196340:BI196546 LH196340:LH196546 VD196340:VD196546 AEZ196340:AEZ196546 AOV196340:AOV196546 AYR196340:AYR196546 BIN196340:BIN196546 BSJ196340:BSJ196546 CCF196340:CCF196546 CMB196340:CMB196546 CVX196340:CVX196546 DFT196340:DFT196546 DPP196340:DPP196546 DZL196340:DZL196546 EJH196340:EJH196546 ETD196340:ETD196546 FCZ196340:FCZ196546 FMV196340:FMV196546 FWR196340:FWR196546 GGN196340:GGN196546 GQJ196340:GQJ196546 HAF196340:HAF196546 HKB196340:HKB196546 HTX196340:HTX196546 IDT196340:IDT196546 INP196340:INP196546 IXL196340:IXL196546 JHH196340:JHH196546 JRD196340:JRD196546 KAZ196340:KAZ196546 KKV196340:KKV196546 KUR196340:KUR196546 LEN196340:LEN196546 LOJ196340:LOJ196546 LYF196340:LYF196546 MIB196340:MIB196546 MRX196340:MRX196546 NBT196340:NBT196546 NLP196340:NLP196546 NVL196340:NVL196546 OFH196340:OFH196546 OPD196340:OPD196546 OYZ196340:OYZ196546 PIV196340:PIV196546 PSR196340:PSR196546 QCN196340:QCN196546 QMJ196340:QMJ196546 QWF196340:QWF196546 RGB196340:RGB196546 RPX196340:RPX196546 RZT196340:RZT196546 SJP196340:SJP196546 STL196340:STL196546 TDH196340:TDH196546 TND196340:TND196546 TWZ196340:TWZ196546 UGV196340:UGV196546 UQR196340:UQR196546 VAN196340:VAN196546 VKJ196340:VKJ196546 VUF196340:VUF196546 WEB196340:WEB196546 WNX196340:WNX196546 WXT196340:WXT196546 BI261876:BI262082 LH261876:LH262082 VD261876:VD262082 AEZ261876:AEZ262082 AOV261876:AOV262082 AYR261876:AYR262082 BIN261876:BIN262082 BSJ261876:BSJ262082 CCF261876:CCF262082 CMB261876:CMB262082 CVX261876:CVX262082 DFT261876:DFT262082 DPP261876:DPP262082 DZL261876:DZL262082 EJH261876:EJH262082 ETD261876:ETD262082 FCZ261876:FCZ262082 FMV261876:FMV262082 FWR261876:FWR262082 GGN261876:GGN262082 GQJ261876:GQJ262082 HAF261876:HAF262082 HKB261876:HKB262082 HTX261876:HTX262082 IDT261876:IDT262082 INP261876:INP262082 IXL261876:IXL262082 JHH261876:JHH262082 JRD261876:JRD262082 KAZ261876:KAZ262082 KKV261876:KKV262082 KUR261876:KUR262082 LEN261876:LEN262082 LOJ261876:LOJ262082 LYF261876:LYF262082 MIB261876:MIB262082 MRX261876:MRX262082 NBT261876:NBT262082 NLP261876:NLP262082 NVL261876:NVL262082 OFH261876:OFH262082 OPD261876:OPD262082 OYZ261876:OYZ262082 PIV261876:PIV262082 PSR261876:PSR262082 QCN261876:QCN262082 QMJ261876:QMJ262082 QWF261876:QWF262082 RGB261876:RGB262082 RPX261876:RPX262082 RZT261876:RZT262082 SJP261876:SJP262082 STL261876:STL262082 TDH261876:TDH262082 TND261876:TND262082 TWZ261876:TWZ262082 UGV261876:UGV262082 UQR261876:UQR262082 VAN261876:VAN262082 VKJ261876:VKJ262082 VUF261876:VUF262082 WEB261876:WEB262082 WNX261876:WNX262082 WXT261876:WXT262082 BI327412:BI327618 LH327412:LH327618 VD327412:VD327618 AEZ327412:AEZ327618 AOV327412:AOV327618 AYR327412:AYR327618 BIN327412:BIN327618 BSJ327412:BSJ327618 CCF327412:CCF327618 CMB327412:CMB327618 CVX327412:CVX327618 DFT327412:DFT327618 DPP327412:DPP327618 DZL327412:DZL327618 EJH327412:EJH327618 ETD327412:ETD327618 FCZ327412:FCZ327618 FMV327412:FMV327618 FWR327412:FWR327618 GGN327412:GGN327618 GQJ327412:GQJ327618 HAF327412:HAF327618 HKB327412:HKB327618 HTX327412:HTX327618 IDT327412:IDT327618 INP327412:INP327618 IXL327412:IXL327618 JHH327412:JHH327618 JRD327412:JRD327618 KAZ327412:KAZ327618 KKV327412:KKV327618 KUR327412:KUR327618 LEN327412:LEN327618 LOJ327412:LOJ327618 LYF327412:LYF327618 MIB327412:MIB327618 MRX327412:MRX327618 NBT327412:NBT327618 NLP327412:NLP327618 NVL327412:NVL327618 OFH327412:OFH327618 OPD327412:OPD327618 OYZ327412:OYZ327618 PIV327412:PIV327618 PSR327412:PSR327618 QCN327412:QCN327618 QMJ327412:QMJ327618 QWF327412:QWF327618 RGB327412:RGB327618 RPX327412:RPX327618 RZT327412:RZT327618 SJP327412:SJP327618 STL327412:STL327618 TDH327412:TDH327618 TND327412:TND327618 TWZ327412:TWZ327618 UGV327412:UGV327618 UQR327412:UQR327618 VAN327412:VAN327618 VKJ327412:VKJ327618 VUF327412:VUF327618 WEB327412:WEB327618 WNX327412:WNX327618 WXT327412:WXT327618 BI392948:BI393154 LH392948:LH393154 VD392948:VD393154 AEZ392948:AEZ393154 AOV392948:AOV393154 AYR392948:AYR393154 BIN392948:BIN393154 BSJ392948:BSJ393154 CCF392948:CCF393154 CMB392948:CMB393154 CVX392948:CVX393154 DFT392948:DFT393154 DPP392948:DPP393154 DZL392948:DZL393154 EJH392948:EJH393154 ETD392948:ETD393154 FCZ392948:FCZ393154 FMV392948:FMV393154 FWR392948:FWR393154 GGN392948:GGN393154 GQJ392948:GQJ393154 HAF392948:HAF393154 HKB392948:HKB393154 HTX392948:HTX393154 IDT392948:IDT393154 INP392948:INP393154 IXL392948:IXL393154 JHH392948:JHH393154 JRD392948:JRD393154 KAZ392948:KAZ393154 KKV392948:KKV393154 KUR392948:KUR393154 LEN392948:LEN393154 LOJ392948:LOJ393154 LYF392948:LYF393154 MIB392948:MIB393154 MRX392948:MRX393154 NBT392948:NBT393154 NLP392948:NLP393154 NVL392948:NVL393154 OFH392948:OFH393154 OPD392948:OPD393154 OYZ392948:OYZ393154 PIV392948:PIV393154 PSR392948:PSR393154 QCN392948:QCN393154 QMJ392948:QMJ393154 QWF392948:QWF393154 RGB392948:RGB393154 RPX392948:RPX393154 RZT392948:RZT393154 SJP392948:SJP393154 STL392948:STL393154 TDH392948:TDH393154 TND392948:TND393154 TWZ392948:TWZ393154 UGV392948:UGV393154 UQR392948:UQR393154 VAN392948:VAN393154 VKJ392948:VKJ393154 VUF392948:VUF393154 WEB392948:WEB393154 WNX392948:WNX393154 WXT392948:WXT393154 BI458484:BI458690 LH458484:LH458690 VD458484:VD458690 AEZ458484:AEZ458690 AOV458484:AOV458690 AYR458484:AYR458690 BIN458484:BIN458690 BSJ458484:BSJ458690 CCF458484:CCF458690 CMB458484:CMB458690 CVX458484:CVX458690 DFT458484:DFT458690 DPP458484:DPP458690 DZL458484:DZL458690 EJH458484:EJH458690 ETD458484:ETD458690 FCZ458484:FCZ458690 FMV458484:FMV458690 FWR458484:FWR458690 GGN458484:GGN458690 GQJ458484:GQJ458690 HAF458484:HAF458690 HKB458484:HKB458690 HTX458484:HTX458690 IDT458484:IDT458690 INP458484:INP458690 IXL458484:IXL458690 JHH458484:JHH458690 JRD458484:JRD458690 KAZ458484:KAZ458690 KKV458484:KKV458690 KUR458484:KUR458690 LEN458484:LEN458690 LOJ458484:LOJ458690 LYF458484:LYF458690 MIB458484:MIB458690 MRX458484:MRX458690 NBT458484:NBT458690 NLP458484:NLP458690 NVL458484:NVL458690 OFH458484:OFH458690 OPD458484:OPD458690 OYZ458484:OYZ458690 PIV458484:PIV458690 PSR458484:PSR458690 QCN458484:QCN458690 QMJ458484:QMJ458690 QWF458484:QWF458690 RGB458484:RGB458690 RPX458484:RPX458690 RZT458484:RZT458690 SJP458484:SJP458690 STL458484:STL458690 TDH458484:TDH458690 TND458484:TND458690 TWZ458484:TWZ458690 UGV458484:UGV458690 UQR458484:UQR458690 VAN458484:VAN458690 VKJ458484:VKJ458690 VUF458484:VUF458690 WEB458484:WEB458690 WNX458484:WNX458690 WXT458484:WXT458690 BI524020:BI524226 LH524020:LH524226 VD524020:VD524226 AEZ524020:AEZ524226 AOV524020:AOV524226 AYR524020:AYR524226 BIN524020:BIN524226 BSJ524020:BSJ524226 CCF524020:CCF524226 CMB524020:CMB524226 CVX524020:CVX524226 DFT524020:DFT524226 DPP524020:DPP524226 DZL524020:DZL524226 EJH524020:EJH524226 ETD524020:ETD524226 FCZ524020:FCZ524226 FMV524020:FMV524226 FWR524020:FWR524226 GGN524020:GGN524226 GQJ524020:GQJ524226 HAF524020:HAF524226 HKB524020:HKB524226 HTX524020:HTX524226 IDT524020:IDT524226 INP524020:INP524226 IXL524020:IXL524226 JHH524020:JHH524226 JRD524020:JRD524226 KAZ524020:KAZ524226 KKV524020:KKV524226 KUR524020:KUR524226 LEN524020:LEN524226 LOJ524020:LOJ524226 LYF524020:LYF524226 MIB524020:MIB524226 MRX524020:MRX524226 NBT524020:NBT524226 NLP524020:NLP524226 NVL524020:NVL524226 OFH524020:OFH524226 OPD524020:OPD524226 OYZ524020:OYZ524226 PIV524020:PIV524226 PSR524020:PSR524226 QCN524020:QCN524226 QMJ524020:QMJ524226 QWF524020:QWF524226 RGB524020:RGB524226 RPX524020:RPX524226 RZT524020:RZT524226 SJP524020:SJP524226 STL524020:STL524226 TDH524020:TDH524226 TND524020:TND524226 TWZ524020:TWZ524226 UGV524020:UGV524226 UQR524020:UQR524226 VAN524020:VAN524226 VKJ524020:VKJ524226 VUF524020:VUF524226 WEB524020:WEB524226 WNX524020:WNX524226 WXT524020:WXT524226 BI589556:BI589762 LH589556:LH589762 VD589556:VD589762 AEZ589556:AEZ589762 AOV589556:AOV589762 AYR589556:AYR589762 BIN589556:BIN589762 BSJ589556:BSJ589762 CCF589556:CCF589762 CMB589556:CMB589762 CVX589556:CVX589762 DFT589556:DFT589762 DPP589556:DPP589762 DZL589556:DZL589762 EJH589556:EJH589762 ETD589556:ETD589762 FCZ589556:FCZ589762 FMV589556:FMV589762 FWR589556:FWR589762 GGN589556:GGN589762 GQJ589556:GQJ589762 HAF589556:HAF589762 HKB589556:HKB589762 HTX589556:HTX589762 IDT589556:IDT589762 INP589556:INP589762 IXL589556:IXL589762 JHH589556:JHH589762 JRD589556:JRD589762 KAZ589556:KAZ589762 KKV589556:KKV589762 KUR589556:KUR589762 LEN589556:LEN589762 LOJ589556:LOJ589762 LYF589556:LYF589762 MIB589556:MIB589762 MRX589556:MRX589762 NBT589556:NBT589762 NLP589556:NLP589762 NVL589556:NVL589762 OFH589556:OFH589762 OPD589556:OPD589762 OYZ589556:OYZ589762 PIV589556:PIV589762 PSR589556:PSR589762 QCN589556:QCN589762 QMJ589556:QMJ589762 QWF589556:QWF589762 RGB589556:RGB589762 RPX589556:RPX589762 RZT589556:RZT589762 SJP589556:SJP589762 STL589556:STL589762 TDH589556:TDH589762 TND589556:TND589762 TWZ589556:TWZ589762 UGV589556:UGV589762 UQR589556:UQR589762 VAN589556:VAN589762 VKJ589556:VKJ589762 VUF589556:VUF589762 WEB589556:WEB589762 WNX589556:WNX589762 WXT589556:WXT589762 BI655092:BI655298 LH655092:LH655298 VD655092:VD655298 AEZ655092:AEZ655298 AOV655092:AOV655298 AYR655092:AYR655298 BIN655092:BIN655298 BSJ655092:BSJ655298 CCF655092:CCF655298 CMB655092:CMB655298 CVX655092:CVX655298 DFT655092:DFT655298 DPP655092:DPP655298 DZL655092:DZL655298 EJH655092:EJH655298 ETD655092:ETD655298 FCZ655092:FCZ655298 FMV655092:FMV655298 FWR655092:FWR655298 GGN655092:GGN655298 GQJ655092:GQJ655298 HAF655092:HAF655298 HKB655092:HKB655298 HTX655092:HTX655298 IDT655092:IDT655298 INP655092:INP655298 IXL655092:IXL655298 JHH655092:JHH655298 JRD655092:JRD655298 KAZ655092:KAZ655298 KKV655092:KKV655298 KUR655092:KUR655298 LEN655092:LEN655298 LOJ655092:LOJ655298 LYF655092:LYF655298 MIB655092:MIB655298 MRX655092:MRX655298 NBT655092:NBT655298 NLP655092:NLP655298 NVL655092:NVL655298 OFH655092:OFH655298 OPD655092:OPD655298 OYZ655092:OYZ655298 PIV655092:PIV655298 PSR655092:PSR655298 QCN655092:QCN655298 QMJ655092:QMJ655298 QWF655092:QWF655298 RGB655092:RGB655298 RPX655092:RPX655298 RZT655092:RZT655298 SJP655092:SJP655298 STL655092:STL655298 TDH655092:TDH655298 TND655092:TND655298 TWZ655092:TWZ655298 UGV655092:UGV655298 UQR655092:UQR655298 VAN655092:VAN655298 VKJ655092:VKJ655298 VUF655092:VUF655298 WEB655092:WEB655298 WNX655092:WNX655298 WXT655092:WXT655298 BI720628:BI720834 LH720628:LH720834 VD720628:VD720834 AEZ720628:AEZ720834 AOV720628:AOV720834 AYR720628:AYR720834 BIN720628:BIN720834 BSJ720628:BSJ720834 CCF720628:CCF720834 CMB720628:CMB720834 CVX720628:CVX720834 DFT720628:DFT720834 DPP720628:DPP720834 DZL720628:DZL720834 EJH720628:EJH720834 ETD720628:ETD720834 FCZ720628:FCZ720834 FMV720628:FMV720834 FWR720628:FWR720834 GGN720628:GGN720834 GQJ720628:GQJ720834 HAF720628:HAF720834 HKB720628:HKB720834 HTX720628:HTX720834 IDT720628:IDT720834 INP720628:INP720834 IXL720628:IXL720834 JHH720628:JHH720834 JRD720628:JRD720834 KAZ720628:KAZ720834 KKV720628:KKV720834 KUR720628:KUR720834 LEN720628:LEN720834 LOJ720628:LOJ720834 LYF720628:LYF720834 MIB720628:MIB720834 MRX720628:MRX720834 NBT720628:NBT720834 NLP720628:NLP720834 NVL720628:NVL720834 OFH720628:OFH720834 OPD720628:OPD720834 OYZ720628:OYZ720834 PIV720628:PIV720834 PSR720628:PSR720834 QCN720628:QCN720834 QMJ720628:QMJ720834 QWF720628:QWF720834 RGB720628:RGB720834 RPX720628:RPX720834 RZT720628:RZT720834 SJP720628:SJP720834 STL720628:STL720834 TDH720628:TDH720834 TND720628:TND720834 TWZ720628:TWZ720834 UGV720628:UGV720834 UQR720628:UQR720834 VAN720628:VAN720834 VKJ720628:VKJ720834 VUF720628:VUF720834 WEB720628:WEB720834 WNX720628:WNX720834 WXT720628:WXT720834 BI786164:BI786370 LH786164:LH786370 VD786164:VD786370 AEZ786164:AEZ786370 AOV786164:AOV786370 AYR786164:AYR786370 BIN786164:BIN786370 BSJ786164:BSJ786370 CCF786164:CCF786370 CMB786164:CMB786370 CVX786164:CVX786370 DFT786164:DFT786370 DPP786164:DPP786370 DZL786164:DZL786370 EJH786164:EJH786370 ETD786164:ETD786370 FCZ786164:FCZ786370 FMV786164:FMV786370 FWR786164:FWR786370 GGN786164:GGN786370 GQJ786164:GQJ786370 HAF786164:HAF786370 HKB786164:HKB786370 HTX786164:HTX786370 IDT786164:IDT786370 INP786164:INP786370 IXL786164:IXL786370 JHH786164:JHH786370 JRD786164:JRD786370 KAZ786164:KAZ786370 KKV786164:KKV786370 KUR786164:KUR786370 LEN786164:LEN786370 LOJ786164:LOJ786370 LYF786164:LYF786370 MIB786164:MIB786370 MRX786164:MRX786370 NBT786164:NBT786370 NLP786164:NLP786370 NVL786164:NVL786370 OFH786164:OFH786370 OPD786164:OPD786370 OYZ786164:OYZ786370 PIV786164:PIV786370 PSR786164:PSR786370 QCN786164:QCN786370 QMJ786164:QMJ786370 QWF786164:QWF786370 RGB786164:RGB786370 RPX786164:RPX786370 RZT786164:RZT786370 SJP786164:SJP786370 STL786164:STL786370 TDH786164:TDH786370 TND786164:TND786370 TWZ786164:TWZ786370 UGV786164:UGV786370 UQR786164:UQR786370 VAN786164:VAN786370 VKJ786164:VKJ786370 VUF786164:VUF786370 WEB786164:WEB786370 WNX786164:WNX786370 WXT786164:WXT786370 BI851700:BI851906 LH851700:LH851906 VD851700:VD851906 AEZ851700:AEZ851906 AOV851700:AOV851906 AYR851700:AYR851906 BIN851700:BIN851906 BSJ851700:BSJ851906 CCF851700:CCF851906 CMB851700:CMB851906 CVX851700:CVX851906 DFT851700:DFT851906 DPP851700:DPP851906 DZL851700:DZL851906 EJH851700:EJH851906 ETD851700:ETD851906 FCZ851700:FCZ851906 FMV851700:FMV851906 FWR851700:FWR851906 GGN851700:GGN851906 GQJ851700:GQJ851906 HAF851700:HAF851906 HKB851700:HKB851906 HTX851700:HTX851906 IDT851700:IDT851906 INP851700:INP851906 IXL851700:IXL851906 JHH851700:JHH851906 JRD851700:JRD851906 KAZ851700:KAZ851906 KKV851700:KKV851906 KUR851700:KUR851906 LEN851700:LEN851906 LOJ851700:LOJ851906 LYF851700:LYF851906 MIB851700:MIB851906 MRX851700:MRX851906 NBT851700:NBT851906 NLP851700:NLP851906 NVL851700:NVL851906 OFH851700:OFH851906 OPD851700:OPD851906 OYZ851700:OYZ851906 PIV851700:PIV851906 PSR851700:PSR851906 QCN851700:QCN851906 QMJ851700:QMJ851906 QWF851700:QWF851906 RGB851700:RGB851906 RPX851700:RPX851906 RZT851700:RZT851906 SJP851700:SJP851906 STL851700:STL851906 TDH851700:TDH851906 TND851700:TND851906 TWZ851700:TWZ851906 UGV851700:UGV851906 UQR851700:UQR851906 VAN851700:VAN851906 VKJ851700:VKJ851906 VUF851700:VUF851906 WEB851700:WEB851906 WNX851700:WNX851906 WXT851700:WXT851906 BI917236:BI917442 LH917236:LH917442 VD917236:VD917442 AEZ917236:AEZ917442 AOV917236:AOV917442 AYR917236:AYR917442 BIN917236:BIN917442 BSJ917236:BSJ917442 CCF917236:CCF917442 CMB917236:CMB917442 CVX917236:CVX917442 DFT917236:DFT917442 DPP917236:DPP917442 DZL917236:DZL917442 EJH917236:EJH917442 ETD917236:ETD917442 FCZ917236:FCZ917442 FMV917236:FMV917442 FWR917236:FWR917442 GGN917236:GGN917442 GQJ917236:GQJ917442 HAF917236:HAF917442 HKB917236:HKB917442 HTX917236:HTX917442 IDT917236:IDT917442 INP917236:INP917442 IXL917236:IXL917442 JHH917236:JHH917442 JRD917236:JRD917442 KAZ917236:KAZ917442 KKV917236:KKV917442 KUR917236:KUR917442 LEN917236:LEN917442 LOJ917236:LOJ917442 LYF917236:LYF917442 MIB917236:MIB917442 MRX917236:MRX917442 NBT917236:NBT917442 NLP917236:NLP917442 NVL917236:NVL917442 OFH917236:OFH917442 OPD917236:OPD917442 OYZ917236:OYZ917442 PIV917236:PIV917442 PSR917236:PSR917442 QCN917236:QCN917442 QMJ917236:QMJ917442 QWF917236:QWF917442 RGB917236:RGB917442 RPX917236:RPX917442 RZT917236:RZT917442 SJP917236:SJP917442 STL917236:STL917442 TDH917236:TDH917442 TND917236:TND917442 TWZ917236:TWZ917442 UGV917236:UGV917442 UQR917236:UQR917442 VAN917236:VAN917442 VKJ917236:VKJ917442 VUF917236:VUF917442 WEB917236:WEB917442 WNX917236:WNX917442 WXT917236:WXT917442 BI982772:BI982978 LH982772:LH982978 VD982772:VD982978 AEZ982772:AEZ982978 AOV982772:AOV982978 AYR982772:AYR982978 BIN982772:BIN982978 BSJ982772:BSJ982978 CCF982772:CCF982978 CMB982772:CMB982978 CVX982772:CVX982978 DFT982772:DFT982978 DPP982772:DPP982978 DZL982772:DZL982978 EJH982772:EJH982978 ETD982772:ETD982978 FCZ982772:FCZ982978 FMV982772:FMV982978 FWR982772:FWR982978 GGN982772:GGN982978 GQJ982772:GQJ982978 HAF982772:HAF982978 HKB982772:HKB982978 HTX982772:HTX982978 IDT982772:IDT982978 INP982772:INP982978 IXL982772:IXL982978 JHH982772:JHH982978 JRD982772:JRD982978 KAZ982772:KAZ982978 KKV982772:KKV982978 KUR982772:KUR982978 LEN982772:LEN982978 LOJ982772:LOJ982978 LYF982772:LYF982978 MIB982772:MIB982978 MRX982772:MRX982978 NBT982772:NBT982978 NLP982772:NLP982978 NVL982772:NVL982978 OFH982772:OFH982978 OPD982772:OPD982978 OYZ982772:OYZ982978 PIV982772:PIV982978 PSR982772:PSR982978 QCN982772:QCN982978 QMJ982772:QMJ982978 QWF982772:QWF982978 RGB982772:RGB982978 RPX982772:RPX982978 RZT982772:RZT982978 SJP982772:SJP982978 STL982772:STL982978 TDH982772:TDH982978 TND982772:TND982978 TWZ982772:TWZ982978 UGV982772:UGV982978 UQR982772:UQR982978 VAN982772:VAN982978 VKJ982772:VKJ982978 VUF982772:VUF982978 WEB982772:WEB982978 WNX982772:WNX982978 WXT982772:WXT982978 WXT5:WXT11 LH5:LH11 VD5:VD11 AEZ5:AEZ11 AOV5:AOV11 AYR5:AYR11 BIN5:BIN11 BSJ5:BSJ11 CCF5:CCF11 CMB5:CMB11 CVX5:CVX11 DFT5:DFT11 DPP5:DPP11 DZL5:DZL11 EJH5:EJH11 ETD5:ETD11 FCZ5:FCZ11 FMV5:FMV11 FWR5:FWR11 GGN5:GGN11 GQJ5:GQJ11 HAF5:HAF11 HKB5:HKB11 HTX5:HTX11 IDT5:IDT11 INP5:INP11 IXL5:IXL11 JHH5:JHH11 JRD5:JRD11 KAZ5:KAZ11 KKV5:KKV11 KUR5:KUR11 LEN5:LEN11 LOJ5:LOJ11 LYF5:LYF11 MIB5:MIB11 MRX5:MRX11 NBT5:NBT11 NLP5:NLP11 NVL5:NVL11 OFH5:OFH11 OPD5:OPD11 OYZ5:OYZ11 PIV5:PIV11 PSR5:PSR11 QCN5:QCN11 QMJ5:QMJ11 QWF5:QWF11 RGB5:RGB11 RPX5:RPX11 RZT5:RZT11 SJP5:SJP11 STL5:STL11 TDH5:TDH11 TND5:TND11 TWZ5:TWZ11 UGV5:UGV11 UQR5:UQR11 VAN5:VAN11 VKJ5:VKJ11 VUF5:VUF11 WEB5:WEB11 WNX5:WNX11">
      <formula1>0</formula1>
      <formula2>100000</formula2>
    </dataValidation>
    <dataValidation type="list" allowBlank="1" showInputMessage="1" showErrorMessage="1" sqref="AA65268:AA65470 WWX982772:WWX982974 WNB982772:WNB982974 WDF982772:WDF982974 VTJ982772:VTJ982974 VJN982772:VJN982974 UZR982772:UZR982974 UPV982772:UPV982974 UFZ982772:UFZ982974 TWD982772:TWD982974 TMH982772:TMH982974 TCL982772:TCL982974 SSP982772:SSP982974 SIT982772:SIT982974 RYX982772:RYX982974 RPB982772:RPB982974 RFF982772:RFF982974 QVJ982772:QVJ982974 QLN982772:QLN982974 QBR982772:QBR982974 PRV982772:PRV982974 PHZ982772:PHZ982974 OYD982772:OYD982974 OOH982772:OOH982974 OEL982772:OEL982974 NUP982772:NUP982974 NKT982772:NKT982974 NAX982772:NAX982974 MRB982772:MRB982974 MHF982772:MHF982974 LXJ982772:LXJ982974 LNN982772:LNN982974 LDR982772:LDR982974 KTV982772:KTV982974 KJZ982772:KJZ982974 KAD982772:KAD982974 JQH982772:JQH982974 JGL982772:JGL982974 IWP982772:IWP982974 IMT982772:IMT982974 ICX982772:ICX982974 HTB982772:HTB982974 HJF982772:HJF982974 GZJ982772:GZJ982974 GPN982772:GPN982974 GFR982772:GFR982974 FVV982772:FVV982974 FLZ982772:FLZ982974 FCD982772:FCD982974 ESH982772:ESH982974 EIL982772:EIL982974 DYP982772:DYP982974 DOT982772:DOT982974 DEX982772:DEX982974 CVB982772:CVB982974 CLF982772:CLF982974 CBJ982772:CBJ982974 BRN982772:BRN982974 BHR982772:BHR982974 AXV982772:AXV982974 ANZ982772:ANZ982974 AED982772:AED982974 UH982772:UH982974 KL982772:KL982974 AA982772:AA982974 WWX917236:WWX917438 WNB917236:WNB917438 WDF917236:WDF917438 VTJ917236:VTJ917438 VJN917236:VJN917438 UZR917236:UZR917438 UPV917236:UPV917438 UFZ917236:UFZ917438 TWD917236:TWD917438 TMH917236:TMH917438 TCL917236:TCL917438 SSP917236:SSP917438 SIT917236:SIT917438 RYX917236:RYX917438 RPB917236:RPB917438 RFF917236:RFF917438 QVJ917236:QVJ917438 QLN917236:QLN917438 QBR917236:QBR917438 PRV917236:PRV917438 PHZ917236:PHZ917438 OYD917236:OYD917438 OOH917236:OOH917438 OEL917236:OEL917438 NUP917236:NUP917438 NKT917236:NKT917438 NAX917236:NAX917438 MRB917236:MRB917438 MHF917236:MHF917438 LXJ917236:LXJ917438 LNN917236:LNN917438 LDR917236:LDR917438 KTV917236:KTV917438 KJZ917236:KJZ917438 KAD917236:KAD917438 JQH917236:JQH917438 JGL917236:JGL917438 IWP917236:IWP917438 IMT917236:IMT917438 ICX917236:ICX917438 HTB917236:HTB917438 HJF917236:HJF917438 GZJ917236:GZJ917438 GPN917236:GPN917438 GFR917236:GFR917438 FVV917236:FVV917438 FLZ917236:FLZ917438 FCD917236:FCD917438 ESH917236:ESH917438 EIL917236:EIL917438 DYP917236:DYP917438 DOT917236:DOT917438 DEX917236:DEX917438 CVB917236:CVB917438 CLF917236:CLF917438 CBJ917236:CBJ917438 BRN917236:BRN917438 BHR917236:BHR917438 AXV917236:AXV917438 ANZ917236:ANZ917438 AED917236:AED917438 UH917236:UH917438 KL917236:KL917438 AA917236:AA917438 WWX851700:WWX851902 WNB851700:WNB851902 WDF851700:WDF851902 VTJ851700:VTJ851902 VJN851700:VJN851902 UZR851700:UZR851902 UPV851700:UPV851902 UFZ851700:UFZ851902 TWD851700:TWD851902 TMH851700:TMH851902 TCL851700:TCL851902 SSP851700:SSP851902 SIT851700:SIT851902 RYX851700:RYX851902 RPB851700:RPB851902 RFF851700:RFF851902 QVJ851700:QVJ851902 QLN851700:QLN851902 QBR851700:QBR851902 PRV851700:PRV851902 PHZ851700:PHZ851902 OYD851700:OYD851902 OOH851700:OOH851902 OEL851700:OEL851902 NUP851700:NUP851902 NKT851700:NKT851902 NAX851700:NAX851902 MRB851700:MRB851902 MHF851700:MHF851902 LXJ851700:LXJ851902 LNN851700:LNN851902 LDR851700:LDR851902 KTV851700:KTV851902 KJZ851700:KJZ851902 KAD851700:KAD851902 JQH851700:JQH851902 JGL851700:JGL851902 IWP851700:IWP851902 IMT851700:IMT851902 ICX851700:ICX851902 HTB851700:HTB851902 HJF851700:HJF851902 GZJ851700:GZJ851902 GPN851700:GPN851902 GFR851700:GFR851902 FVV851700:FVV851902 FLZ851700:FLZ851902 FCD851700:FCD851902 ESH851700:ESH851902 EIL851700:EIL851902 DYP851700:DYP851902 DOT851700:DOT851902 DEX851700:DEX851902 CVB851700:CVB851902 CLF851700:CLF851902 CBJ851700:CBJ851902 BRN851700:BRN851902 BHR851700:BHR851902 AXV851700:AXV851902 ANZ851700:ANZ851902 AED851700:AED851902 UH851700:UH851902 KL851700:KL851902 AA851700:AA851902 WWX786164:WWX786366 WNB786164:WNB786366 WDF786164:WDF786366 VTJ786164:VTJ786366 VJN786164:VJN786366 UZR786164:UZR786366 UPV786164:UPV786366 UFZ786164:UFZ786366 TWD786164:TWD786366 TMH786164:TMH786366 TCL786164:TCL786366 SSP786164:SSP786366 SIT786164:SIT786366 RYX786164:RYX786366 RPB786164:RPB786366 RFF786164:RFF786366 QVJ786164:QVJ786366 QLN786164:QLN786366 QBR786164:QBR786366 PRV786164:PRV786366 PHZ786164:PHZ786366 OYD786164:OYD786366 OOH786164:OOH786366 OEL786164:OEL786366 NUP786164:NUP786366 NKT786164:NKT786366 NAX786164:NAX786366 MRB786164:MRB786366 MHF786164:MHF786366 LXJ786164:LXJ786366 LNN786164:LNN786366 LDR786164:LDR786366 KTV786164:KTV786366 KJZ786164:KJZ786366 KAD786164:KAD786366 JQH786164:JQH786366 JGL786164:JGL786366 IWP786164:IWP786366 IMT786164:IMT786366 ICX786164:ICX786366 HTB786164:HTB786366 HJF786164:HJF786366 GZJ786164:GZJ786366 GPN786164:GPN786366 GFR786164:GFR786366 FVV786164:FVV786366 FLZ786164:FLZ786366 FCD786164:FCD786366 ESH786164:ESH786366 EIL786164:EIL786366 DYP786164:DYP786366 DOT786164:DOT786366 DEX786164:DEX786366 CVB786164:CVB786366 CLF786164:CLF786366 CBJ786164:CBJ786366 BRN786164:BRN786366 BHR786164:BHR786366 AXV786164:AXV786366 ANZ786164:ANZ786366 AED786164:AED786366 UH786164:UH786366 KL786164:KL786366 AA786164:AA786366 WWX720628:WWX720830 WNB720628:WNB720830 WDF720628:WDF720830 VTJ720628:VTJ720830 VJN720628:VJN720830 UZR720628:UZR720830 UPV720628:UPV720830 UFZ720628:UFZ720830 TWD720628:TWD720830 TMH720628:TMH720830 TCL720628:TCL720830 SSP720628:SSP720830 SIT720628:SIT720830 RYX720628:RYX720830 RPB720628:RPB720830 RFF720628:RFF720830 QVJ720628:QVJ720830 QLN720628:QLN720830 QBR720628:QBR720830 PRV720628:PRV720830 PHZ720628:PHZ720830 OYD720628:OYD720830 OOH720628:OOH720830 OEL720628:OEL720830 NUP720628:NUP720830 NKT720628:NKT720830 NAX720628:NAX720830 MRB720628:MRB720830 MHF720628:MHF720830 LXJ720628:LXJ720830 LNN720628:LNN720830 LDR720628:LDR720830 KTV720628:KTV720830 KJZ720628:KJZ720830 KAD720628:KAD720830 JQH720628:JQH720830 JGL720628:JGL720830 IWP720628:IWP720830 IMT720628:IMT720830 ICX720628:ICX720830 HTB720628:HTB720830 HJF720628:HJF720830 GZJ720628:GZJ720830 GPN720628:GPN720830 GFR720628:GFR720830 FVV720628:FVV720830 FLZ720628:FLZ720830 FCD720628:FCD720830 ESH720628:ESH720830 EIL720628:EIL720830 DYP720628:DYP720830 DOT720628:DOT720830 DEX720628:DEX720830 CVB720628:CVB720830 CLF720628:CLF720830 CBJ720628:CBJ720830 BRN720628:BRN720830 BHR720628:BHR720830 AXV720628:AXV720830 ANZ720628:ANZ720830 AED720628:AED720830 UH720628:UH720830 KL720628:KL720830 AA720628:AA720830 WWX655092:WWX655294 WNB655092:WNB655294 WDF655092:WDF655294 VTJ655092:VTJ655294 VJN655092:VJN655294 UZR655092:UZR655294 UPV655092:UPV655294 UFZ655092:UFZ655294 TWD655092:TWD655294 TMH655092:TMH655294 TCL655092:TCL655294 SSP655092:SSP655294 SIT655092:SIT655294 RYX655092:RYX655294 RPB655092:RPB655294 RFF655092:RFF655294 QVJ655092:QVJ655294 QLN655092:QLN655294 QBR655092:QBR655294 PRV655092:PRV655294 PHZ655092:PHZ655294 OYD655092:OYD655294 OOH655092:OOH655294 OEL655092:OEL655294 NUP655092:NUP655294 NKT655092:NKT655294 NAX655092:NAX655294 MRB655092:MRB655294 MHF655092:MHF655294 LXJ655092:LXJ655294 LNN655092:LNN655294 LDR655092:LDR655294 KTV655092:KTV655294 KJZ655092:KJZ655294 KAD655092:KAD655294 JQH655092:JQH655294 JGL655092:JGL655294 IWP655092:IWP655294 IMT655092:IMT655294 ICX655092:ICX655294 HTB655092:HTB655294 HJF655092:HJF655294 GZJ655092:GZJ655294 GPN655092:GPN655294 GFR655092:GFR655294 FVV655092:FVV655294 FLZ655092:FLZ655294 FCD655092:FCD655294 ESH655092:ESH655294 EIL655092:EIL655294 DYP655092:DYP655294 DOT655092:DOT655294 DEX655092:DEX655294 CVB655092:CVB655294 CLF655092:CLF655294 CBJ655092:CBJ655294 BRN655092:BRN655294 BHR655092:BHR655294 AXV655092:AXV655294 ANZ655092:ANZ655294 AED655092:AED655294 UH655092:UH655294 KL655092:KL655294 AA655092:AA655294 WWX589556:WWX589758 WNB589556:WNB589758 WDF589556:WDF589758 VTJ589556:VTJ589758 VJN589556:VJN589758 UZR589556:UZR589758 UPV589556:UPV589758 UFZ589556:UFZ589758 TWD589556:TWD589758 TMH589556:TMH589758 TCL589556:TCL589758 SSP589556:SSP589758 SIT589556:SIT589758 RYX589556:RYX589758 RPB589556:RPB589758 RFF589556:RFF589758 QVJ589556:QVJ589758 QLN589556:QLN589758 QBR589556:QBR589758 PRV589556:PRV589758 PHZ589556:PHZ589758 OYD589556:OYD589758 OOH589556:OOH589758 OEL589556:OEL589758 NUP589556:NUP589758 NKT589556:NKT589758 NAX589556:NAX589758 MRB589556:MRB589758 MHF589556:MHF589758 LXJ589556:LXJ589758 LNN589556:LNN589758 LDR589556:LDR589758 KTV589556:KTV589758 KJZ589556:KJZ589758 KAD589556:KAD589758 JQH589556:JQH589758 JGL589556:JGL589758 IWP589556:IWP589758 IMT589556:IMT589758 ICX589556:ICX589758 HTB589556:HTB589758 HJF589556:HJF589758 GZJ589556:GZJ589758 GPN589556:GPN589758 GFR589556:GFR589758 FVV589556:FVV589758 FLZ589556:FLZ589758 FCD589556:FCD589758 ESH589556:ESH589758 EIL589556:EIL589758 DYP589556:DYP589758 DOT589556:DOT589758 DEX589556:DEX589758 CVB589556:CVB589758 CLF589556:CLF589758 CBJ589556:CBJ589758 BRN589556:BRN589758 BHR589556:BHR589758 AXV589556:AXV589758 ANZ589556:ANZ589758 AED589556:AED589758 UH589556:UH589758 KL589556:KL589758 AA589556:AA589758 WWX524020:WWX524222 WNB524020:WNB524222 WDF524020:WDF524222 VTJ524020:VTJ524222 VJN524020:VJN524222 UZR524020:UZR524222 UPV524020:UPV524222 UFZ524020:UFZ524222 TWD524020:TWD524222 TMH524020:TMH524222 TCL524020:TCL524222 SSP524020:SSP524222 SIT524020:SIT524222 RYX524020:RYX524222 RPB524020:RPB524222 RFF524020:RFF524222 QVJ524020:QVJ524222 QLN524020:QLN524222 QBR524020:QBR524222 PRV524020:PRV524222 PHZ524020:PHZ524222 OYD524020:OYD524222 OOH524020:OOH524222 OEL524020:OEL524222 NUP524020:NUP524222 NKT524020:NKT524222 NAX524020:NAX524222 MRB524020:MRB524222 MHF524020:MHF524222 LXJ524020:LXJ524222 LNN524020:LNN524222 LDR524020:LDR524222 KTV524020:KTV524222 KJZ524020:KJZ524222 KAD524020:KAD524222 JQH524020:JQH524222 JGL524020:JGL524222 IWP524020:IWP524222 IMT524020:IMT524222 ICX524020:ICX524222 HTB524020:HTB524222 HJF524020:HJF524222 GZJ524020:GZJ524222 GPN524020:GPN524222 GFR524020:GFR524222 FVV524020:FVV524222 FLZ524020:FLZ524222 FCD524020:FCD524222 ESH524020:ESH524222 EIL524020:EIL524222 DYP524020:DYP524222 DOT524020:DOT524222 DEX524020:DEX524222 CVB524020:CVB524222 CLF524020:CLF524222 CBJ524020:CBJ524222 BRN524020:BRN524222 BHR524020:BHR524222 AXV524020:AXV524222 ANZ524020:ANZ524222 AED524020:AED524222 UH524020:UH524222 KL524020:KL524222 AA524020:AA524222 WWX458484:WWX458686 WNB458484:WNB458686 WDF458484:WDF458686 VTJ458484:VTJ458686 VJN458484:VJN458686 UZR458484:UZR458686 UPV458484:UPV458686 UFZ458484:UFZ458686 TWD458484:TWD458686 TMH458484:TMH458686 TCL458484:TCL458686 SSP458484:SSP458686 SIT458484:SIT458686 RYX458484:RYX458686 RPB458484:RPB458686 RFF458484:RFF458686 QVJ458484:QVJ458686 QLN458484:QLN458686 QBR458484:QBR458686 PRV458484:PRV458686 PHZ458484:PHZ458686 OYD458484:OYD458686 OOH458484:OOH458686 OEL458484:OEL458686 NUP458484:NUP458686 NKT458484:NKT458686 NAX458484:NAX458686 MRB458484:MRB458686 MHF458484:MHF458686 LXJ458484:LXJ458686 LNN458484:LNN458686 LDR458484:LDR458686 KTV458484:KTV458686 KJZ458484:KJZ458686 KAD458484:KAD458686 JQH458484:JQH458686 JGL458484:JGL458686 IWP458484:IWP458686 IMT458484:IMT458686 ICX458484:ICX458686 HTB458484:HTB458686 HJF458484:HJF458686 GZJ458484:GZJ458686 GPN458484:GPN458686 GFR458484:GFR458686 FVV458484:FVV458686 FLZ458484:FLZ458686 FCD458484:FCD458686 ESH458484:ESH458686 EIL458484:EIL458686 DYP458484:DYP458686 DOT458484:DOT458686 DEX458484:DEX458686 CVB458484:CVB458686 CLF458484:CLF458686 CBJ458484:CBJ458686 BRN458484:BRN458686 BHR458484:BHR458686 AXV458484:AXV458686 ANZ458484:ANZ458686 AED458484:AED458686 UH458484:UH458686 KL458484:KL458686 AA458484:AA458686 WWX392948:WWX393150 WNB392948:WNB393150 WDF392948:WDF393150 VTJ392948:VTJ393150 VJN392948:VJN393150 UZR392948:UZR393150 UPV392948:UPV393150 UFZ392948:UFZ393150 TWD392948:TWD393150 TMH392948:TMH393150 TCL392948:TCL393150 SSP392948:SSP393150 SIT392948:SIT393150 RYX392948:RYX393150 RPB392948:RPB393150 RFF392948:RFF393150 QVJ392948:QVJ393150 QLN392948:QLN393150 QBR392948:QBR393150 PRV392948:PRV393150 PHZ392948:PHZ393150 OYD392948:OYD393150 OOH392948:OOH393150 OEL392948:OEL393150 NUP392948:NUP393150 NKT392948:NKT393150 NAX392948:NAX393150 MRB392948:MRB393150 MHF392948:MHF393150 LXJ392948:LXJ393150 LNN392948:LNN393150 LDR392948:LDR393150 KTV392948:KTV393150 KJZ392948:KJZ393150 KAD392948:KAD393150 JQH392948:JQH393150 JGL392948:JGL393150 IWP392948:IWP393150 IMT392948:IMT393150 ICX392948:ICX393150 HTB392948:HTB393150 HJF392948:HJF393150 GZJ392948:GZJ393150 GPN392948:GPN393150 GFR392948:GFR393150 FVV392948:FVV393150 FLZ392948:FLZ393150 FCD392948:FCD393150 ESH392948:ESH393150 EIL392948:EIL393150 DYP392948:DYP393150 DOT392948:DOT393150 DEX392948:DEX393150 CVB392948:CVB393150 CLF392948:CLF393150 CBJ392948:CBJ393150 BRN392948:BRN393150 BHR392948:BHR393150 AXV392948:AXV393150 ANZ392948:ANZ393150 AED392948:AED393150 UH392948:UH393150 KL392948:KL393150 AA392948:AA393150 WWX327412:WWX327614 WNB327412:WNB327614 WDF327412:WDF327614 VTJ327412:VTJ327614 VJN327412:VJN327614 UZR327412:UZR327614 UPV327412:UPV327614 UFZ327412:UFZ327614 TWD327412:TWD327614 TMH327412:TMH327614 TCL327412:TCL327614 SSP327412:SSP327614 SIT327412:SIT327614 RYX327412:RYX327614 RPB327412:RPB327614 RFF327412:RFF327614 QVJ327412:QVJ327614 QLN327412:QLN327614 QBR327412:QBR327614 PRV327412:PRV327614 PHZ327412:PHZ327614 OYD327412:OYD327614 OOH327412:OOH327614 OEL327412:OEL327614 NUP327412:NUP327614 NKT327412:NKT327614 NAX327412:NAX327614 MRB327412:MRB327614 MHF327412:MHF327614 LXJ327412:LXJ327614 LNN327412:LNN327614 LDR327412:LDR327614 KTV327412:KTV327614 KJZ327412:KJZ327614 KAD327412:KAD327614 JQH327412:JQH327614 JGL327412:JGL327614 IWP327412:IWP327614 IMT327412:IMT327614 ICX327412:ICX327614 HTB327412:HTB327614 HJF327412:HJF327614 GZJ327412:GZJ327614 GPN327412:GPN327614 GFR327412:GFR327614 FVV327412:FVV327614 FLZ327412:FLZ327614 FCD327412:FCD327614 ESH327412:ESH327614 EIL327412:EIL327614 DYP327412:DYP327614 DOT327412:DOT327614 DEX327412:DEX327614 CVB327412:CVB327614 CLF327412:CLF327614 CBJ327412:CBJ327614 BRN327412:BRN327614 BHR327412:BHR327614 AXV327412:AXV327614 ANZ327412:ANZ327614 AED327412:AED327614 UH327412:UH327614 KL327412:KL327614 AA327412:AA327614 WWX261876:WWX262078 WNB261876:WNB262078 WDF261876:WDF262078 VTJ261876:VTJ262078 VJN261876:VJN262078 UZR261876:UZR262078 UPV261876:UPV262078 UFZ261876:UFZ262078 TWD261876:TWD262078 TMH261876:TMH262078 TCL261876:TCL262078 SSP261876:SSP262078 SIT261876:SIT262078 RYX261876:RYX262078 RPB261876:RPB262078 RFF261876:RFF262078 QVJ261876:QVJ262078 QLN261876:QLN262078 QBR261876:QBR262078 PRV261876:PRV262078 PHZ261876:PHZ262078 OYD261876:OYD262078 OOH261876:OOH262078 OEL261876:OEL262078 NUP261876:NUP262078 NKT261876:NKT262078 NAX261876:NAX262078 MRB261876:MRB262078 MHF261876:MHF262078 LXJ261876:LXJ262078 LNN261876:LNN262078 LDR261876:LDR262078 KTV261876:KTV262078 KJZ261876:KJZ262078 KAD261876:KAD262078 JQH261876:JQH262078 JGL261876:JGL262078 IWP261876:IWP262078 IMT261876:IMT262078 ICX261876:ICX262078 HTB261876:HTB262078 HJF261876:HJF262078 GZJ261876:GZJ262078 GPN261876:GPN262078 GFR261876:GFR262078 FVV261876:FVV262078 FLZ261876:FLZ262078 FCD261876:FCD262078 ESH261876:ESH262078 EIL261876:EIL262078 DYP261876:DYP262078 DOT261876:DOT262078 DEX261876:DEX262078 CVB261876:CVB262078 CLF261876:CLF262078 CBJ261876:CBJ262078 BRN261876:BRN262078 BHR261876:BHR262078 AXV261876:AXV262078 ANZ261876:ANZ262078 AED261876:AED262078 UH261876:UH262078 KL261876:KL262078 AA261876:AA262078 WWX196340:WWX196542 WNB196340:WNB196542 WDF196340:WDF196542 VTJ196340:VTJ196542 VJN196340:VJN196542 UZR196340:UZR196542 UPV196340:UPV196542 UFZ196340:UFZ196542 TWD196340:TWD196542 TMH196340:TMH196542 TCL196340:TCL196542 SSP196340:SSP196542 SIT196340:SIT196542 RYX196340:RYX196542 RPB196340:RPB196542 RFF196340:RFF196542 QVJ196340:QVJ196542 QLN196340:QLN196542 QBR196340:QBR196542 PRV196340:PRV196542 PHZ196340:PHZ196542 OYD196340:OYD196542 OOH196340:OOH196542 OEL196340:OEL196542 NUP196340:NUP196542 NKT196340:NKT196542 NAX196340:NAX196542 MRB196340:MRB196542 MHF196340:MHF196542 LXJ196340:LXJ196542 LNN196340:LNN196542 LDR196340:LDR196542 KTV196340:KTV196542 KJZ196340:KJZ196542 KAD196340:KAD196542 JQH196340:JQH196542 JGL196340:JGL196542 IWP196340:IWP196542 IMT196340:IMT196542 ICX196340:ICX196542 HTB196340:HTB196542 HJF196340:HJF196542 GZJ196340:GZJ196542 GPN196340:GPN196542 GFR196340:GFR196542 FVV196340:FVV196542 FLZ196340:FLZ196542 FCD196340:FCD196542 ESH196340:ESH196542 EIL196340:EIL196542 DYP196340:DYP196542 DOT196340:DOT196542 DEX196340:DEX196542 CVB196340:CVB196542 CLF196340:CLF196542 CBJ196340:CBJ196542 BRN196340:BRN196542 BHR196340:BHR196542 AXV196340:AXV196542 ANZ196340:ANZ196542 AED196340:AED196542 UH196340:UH196542 KL196340:KL196542 AA196340:AA196542 WWX130804:WWX131006 WNB130804:WNB131006 WDF130804:WDF131006 VTJ130804:VTJ131006 VJN130804:VJN131006 UZR130804:UZR131006 UPV130804:UPV131006 UFZ130804:UFZ131006 TWD130804:TWD131006 TMH130804:TMH131006 TCL130804:TCL131006 SSP130804:SSP131006 SIT130804:SIT131006 RYX130804:RYX131006 RPB130804:RPB131006 RFF130804:RFF131006 QVJ130804:QVJ131006 QLN130804:QLN131006 QBR130804:QBR131006 PRV130804:PRV131006 PHZ130804:PHZ131006 OYD130804:OYD131006 OOH130804:OOH131006 OEL130804:OEL131006 NUP130804:NUP131006 NKT130804:NKT131006 NAX130804:NAX131006 MRB130804:MRB131006 MHF130804:MHF131006 LXJ130804:LXJ131006 LNN130804:LNN131006 LDR130804:LDR131006 KTV130804:KTV131006 KJZ130804:KJZ131006 KAD130804:KAD131006 JQH130804:JQH131006 JGL130804:JGL131006 IWP130804:IWP131006 IMT130804:IMT131006 ICX130804:ICX131006 HTB130804:HTB131006 HJF130804:HJF131006 GZJ130804:GZJ131006 GPN130804:GPN131006 GFR130804:GFR131006 FVV130804:FVV131006 FLZ130804:FLZ131006 FCD130804:FCD131006 ESH130804:ESH131006 EIL130804:EIL131006 DYP130804:DYP131006 DOT130804:DOT131006 DEX130804:DEX131006 CVB130804:CVB131006 CLF130804:CLF131006 CBJ130804:CBJ131006 BRN130804:BRN131006 BHR130804:BHR131006 AXV130804:AXV131006 ANZ130804:ANZ131006 AED130804:AED131006 UH130804:UH131006 KL130804:KL131006 AA130804:AA131006 WWX65268:WWX65470 WNB65268:WNB65470 WDF65268:WDF65470 VTJ65268:VTJ65470 VJN65268:VJN65470 UZR65268:UZR65470 UPV65268:UPV65470 UFZ65268:UFZ65470 TWD65268:TWD65470 TMH65268:TMH65470 TCL65268:TCL65470 SSP65268:SSP65470 SIT65268:SIT65470 RYX65268:RYX65470 RPB65268:RPB65470 RFF65268:RFF65470 QVJ65268:QVJ65470 QLN65268:QLN65470 QBR65268:QBR65470 PRV65268:PRV65470 PHZ65268:PHZ65470 OYD65268:OYD65470 OOH65268:OOH65470 OEL65268:OEL65470 NUP65268:NUP65470 NKT65268:NKT65470 NAX65268:NAX65470 MRB65268:MRB65470 MHF65268:MHF65470 LXJ65268:LXJ65470 LNN65268:LNN65470 LDR65268:LDR65470 KTV65268:KTV65470 KJZ65268:KJZ65470 KAD65268:KAD65470 JQH65268:JQH65470 JGL65268:JGL65470 IWP65268:IWP65470 IMT65268:IMT65470 ICX65268:ICX65470 HTB65268:HTB65470 HJF65268:HJF65470 GZJ65268:GZJ65470 GPN65268:GPN65470 GFR65268:GFR65470 FVV65268:FVV65470 FLZ65268:FLZ65470 FCD65268:FCD65470 ESH65268:ESH65470 EIL65268:EIL65470 DYP65268:DYP65470 DOT65268:DOT65470 DEX65268:DEX65470 CVB65268:CVB65470 CLF65268:CLF65470 CBJ65268:CBJ65470 BRN65268:BRN65470 BHR65268:BHR65470 AXV65268:AXV65470 ANZ65268:ANZ65470 AED65268:AED65470 UH65268:UH65470 KL65268:KL65470 WWX5:WWX11 WNB5:WNB11 WDF5:WDF11 VTJ5:VTJ11 VJN5:VJN11 UZR5:UZR11 UPV5:UPV11 UFZ5:UFZ11 TWD5:TWD11 TMH5:TMH11 TCL5:TCL11 SSP5:SSP11 SIT5:SIT11 RYX5:RYX11 RPB5:RPB11 RFF5:RFF11 QVJ5:QVJ11 QLN5:QLN11 QBR5:QBR11 PRV5:PRV11 PHZ5:PHZ11 OYD5:OYD11 OOH5:OOH11 OEL5:OEL11 NUP5:NUP11 NKT5:NKT11 NAX5:NAX11 MRB5:MRB11 MHF5:MHF11 LXJ5:LXJ11 LNN5:LNN11 LDR5:LDR11 KTV5:KTV11 KJZ5:KJZ11 KAD5:KAD11 JQH5:JQH11 JGL5:JGL11 IWP5:IWP11 IMT5:IMT11 ICX5:ICX11 HTB5:HTB11 HJF5:HJF11 GZJ5:GZJ11 GPN5:GPN11 GFR5:GFR11 FVV5:FVV11 FLZ5:FLZ11 FCD5:FCD11 ESH5:ESH11 EIL5:EIL11 DYP5:DYP11 DOT5:DOT11 DEX5:DEX11 CVB5:CVB11 CLF5:CLF11 CBJ5:CBJ11 BRN5:BRN11 BHR5:BHR11 AXV5:AXV11 ANZ5:ANZ11 AED5:AED11 UH5:UH11 KL5:KL11">
      <formula1>$B$12:$B$12</formula1>
    </dataValidation>
    <dataValidation type="whole" allowBlank="1" showInputMessage="1" showErrorMessage="1" sqref="X65268:Z65474 KI65268:KK65474 UE65268:UG65474 AEA65268:AEC65474 ANW65268:ANY65474 AXS65268:AXU65474 BHO65268:BHQ65474 BRK65268:BRM65474 CBG65268:CBI65474 CLC65268:CLE65474 CUY65268:CVA65474 DEU65268:DEW65474 DOQ65268:DOS65474 DYM65268:DYO65474 EII65268:EIK65474 ESE65268:ESG65474 FCA65268:FCC65474 FLW65268:FLY65474 FVS65268:FVU65474 GFO65268:GFQ65474 GPK65268:GPM65474 GZG65268:GZI65474 HJC65268:HJE65474 HSY65268:HTA65474 ICU65268:ICW65474 IMQ65268:IMS65474 IWM65268:IWO65474 JGI65268:JGK65474 JQE65268:JQG65474 KAA65268:KAC65474 KJW65268:KJY65474 KTS65268:KTU65474 LDO65268:LDQ65474 LNK65268:LNM65474 LXG65268:LXI65474 MHC65268:MHE65474 MQY65268:MRA65474 NAU65268:NAW65474 NKQ65268:NKS65474 NUM65268:NUO65474 OEI65268:OEK65474 OOE65268:OOG65474 OYA65268:OYC65474 PHW65268:PHY65474 PRS65268:PRU65474 QBO65268:QBQ65474 QLK65268:QLM65474 QVG65268:QVI65474 RFC65268:RFE65474 ROY65268:RPA65474 RYU65268:RYW65474 SIQ65268:SIS65474 SSM65268:SSO65474 TCI65268:TCK65474 TME65268:TMG65474 TWA65268:TWC65474 UFW65268:UFY65474 UPS65268:UPU65474 UZO65268:UZQ65474 VJK65268:VJM65474 VTG65268:VTI65474 WDC65268:WDE65474 WMY65268:WNA65474 WWU65268:WWW65474 X130804:Z131010 KI130804:KK131010 UE130804:UG131010 AEA130804:AEC131010 ANW130804:ANY131010 AXS130804:AXU131010 BHO130804:BHQ131010 BRK130804:BRM131010 CBG130804:CBI131010 CLC130804:CLE131010 CUY130804:CVA131010 DEU130804:DEW131010 DOQ130804:DOS131010 DYM130804:DYO131010 EII130804:EIK131010 ESE130804:ESG131010 FCA130804:FCC131010 FLW130804:FLY131010 FVS130804:FVU131010 GFO130804:GFQ131010 GPK130804:GPM131010 GZG130804:GZI131010 HJC130804:HJE131010 HSY130804:HTA131010 ICU130804:ICW131010 IMQ130804:IMS131010 IWM130804:IWO131010 JGI130804:JGK131010 JQE130804:JQG131010 KAA130804:KAC131010 KJW130804:KJY131010 KTS130804:KTU131010 LDO130804:LDQ131010 LNK130804:LNM131010 LXG130804:LXI131010 MHC130804:MHE131010 MQY130804:MRA131010 NAU130804:NAW131010 NKQ130804:NKS131010 NUM130804:NUO131010 OEI130804:OEK131010 OOE130804:OOG131010 OYA130804:OYC131010 PHW130804:PHY131010 PRS130804:PRU131010 QBO130804:QBQ131010 QLK130804:QLM131010 QVG130804:QVI131010 RFC130804:RFE131010 ROY130804:RPA131010 RYU130804:RYW131010 SIQ130804:SIS131010 SSM130804:SSO131010 TCI130804:TCK131010 TME130804:TMG131010 TWA130804:TWC131010 UFW130804:UFY131010 UPS130804:UPU131010 UZO130804:UZQ131010 VJK130804:VJM131010 VTG130804:VTI131010 WDC130804:WDE131010 WMY130804:WNA131010 WWU130804:WWW131010 X196340:Z196546 KI196340:KK196546 UE196340:UG196546 AEA196340:AEC196546 ANW196340:ANY196546 AXS196340:AXU196546 BHO196340:BHQ196546 BRK196340:BRM196546 CBG196340:CBI196546 CLC196340:CLE196546 CUY196340:CVA196546 DEU196340:DEW196546 DOQ196340:DOS196546 DYM196340:DYO196546 EII196340:EIK196546 ESE196340:ESG196546 FCA196340:FCC196546 FLW196340:FLY196546 FVS196340:FVU196546 GFO196340:GFQ196546 GPK196340:GPM196546 GZG196340:GZI196546 HJC196340:HJE196546 HSY196340:HTA196546 ICU196340:ICW196546 IMQ196340:IMS196546 IWM196340:IWO196546 JGI196340:JGK196546 JQE196340:JQG196546 KAA196340:KAC196546 KJW196340:KJY196546 KTS196340:KTU196546 LDO196340:LDQ196546 LNK196340:LNM196546 LXG196340:LXI196546 MHC196340:MHE196546 MQY196340:MRA196546 NAU196340:NAW196546 NKQ196340:NKS196546 NUM196340:NUO196546 OEI196340:OEK196546 OOE196340:OOG196546 OYA196340:OYC196546 PHW196340:PHY196546 PRS196340:PRU196546 QBO196340:QBQ196546 QLK196340:QLM196546 QVG196340:QVI196546 RFC196340:RFE196546 ROY196340:RPA196546 RYU196340:RYW196546 SIQ196340:SIS196546 SSM196340:SSO196546 TCI196340:TCK196546 TME196340:TMG196546 TWA196340:TWC196546 UFW196340:UFY196546 UPS196340:UPU196546 UZO196340:UZQ196546 VJK196340:VJM196546 VTG196340:VTI196546 WDC196340:WDE196546 WMY196340:WNA196546 WWU196340:WWW196546 X261876:Z262082 KI261876:KK262082 UE261876:UG262082 AEA261876:AEC262082 ANW261876:ANY262082 AXS261876:AXU262082 BHO261876:BHQ262082 BRK261876:BRM262082 CBG261876:CBI262082 CLC261876:CLE262082 CUY261876:CVA262082 DEU261876:DEW262082 DOQ261876:DOS262082 DYM261876:DYO262082 EII261876:EIK262082 ESE261876:ESG262082 FCA261876:FCC262082 FLW261876:FLY262082 FVS261876:FVU262082 GFO261876:GFQ262082 GPK261876:GPM262082 GZG261876:GZI262082 HJC261876:HJE262082 HSY261876:HTA262082 ICU261876:ICW262082 IMQ261876:IMS262082 IWM261876:IWO262082 JGI261876:JGK262082 JQE261876:JQG262082 KAA261876:KAC262082 KJW261876:KJY262082 KTS261876:KTU262082 LDO261876:LDQ262082 LNK261876:LNM262082 LXG261876:LXI262082 MHC261876:MHE262082 MQY261876:MRA262082 NAU261876:NAW262082 NKQ261876:NKS262082 NUM261876:NUO262082 OEI261876:OEK262082 OOE261876:OOG262082 OYA261876:OYC262082 PHW261876:PHY262082 PRS261876:PRU262082 QBO261876:QBQ262082 QLK261876:QLM262082 QVG261876:QVI262082 RFC261876:RFE262082 ROY261876:RPA262082 RYU261876:RYW262082 SIQ261876:SIS262082 SSM261876:SSO262082 TCI261876:TCK262082 TME261876:TMG262082 TWA261876:TWC262082 UFW261876:UFY262082 UPS261876:UPU262082 UZO261876:UZQ262082 VJK261876:VJM262082 VTG261876:VTI262082 WDC261876:WDE262082 WMY261876:WNA262082 WWU261876:WWW262082 X327412:Z327618 KI327412:KK327618 UE327412:UG327618 AEA327412:AEC327618 ANW327412:ANY327618 AXS327412:AXU327618 BHO327412:BHQ327618 BRK327412:BRM327618 CBG327412:CBI327618 CLC327412:CLE327618 CUY327412:CVA327618 DEU327412:DEW327618 DOQ327412:DOS327618 DYM327412:DYO327618 EII327412:EIK327618 ESE327412:ESG327618 FCA327412:FCC327618 FLW327412:FLY327618 FVS327412:FVU327618 GFO327412:GFQ327618 GPK327412:GPM327618 GZG327412:GZI327618 HJC327412:HJE327618 HSY327412:HTA327618 ICU327412:ICW327618 IMQ327412:IMS327618 IWM327412:IWO327618 JGI327412:JGK327618 JQE327412:JQG327618 KAA327412:KAC327618 KJW327412:KJY327618 KTS327412:KTU327618 LDO327412:LDQ327618 LNK327412:LNM327618 LXG327412:LXI327618 MHC327412:MHE327618 MQY327412:MRA327618 NAU327412:NAW327618 NKQ327412:NKS327618 NUM327412:NUO327618 OEI327412:OEK327618 OOE327412:OOG327618 OYA327412:OYC327618 PHW327412:PHY327618 PRS327412:PRU327618 QBO327412:QBQ327618 QLK327412:QLM327618 QVG327412:QVI327618 RFC327412:RFE327618 ROY327412:RPA327618 RYU327412:RYW327618 SIQ327412:SIS327618 SSM327412:SSO327618 TCI327412:TCK327618 TME327412:TMG327618 TWA327412:TWC327618 UFW327412:UFY327618 UPS327412:UPU327618 UZO327412:UZQ327618 VJK327412:VJM327618 VTG327412:VTI327618 WDC327412:WDE327618 WMY327412:WNA327618 WWU327412:WWW327618 X392948:Z393154 KI392948:KK393154 UE392948:UG393154 AEA392948:AEC393154 ANW392948:ANY393154 AXS392948:AXU393154 BHO392948:BHQ393154 BRK392948:BRM393154 CBG392948:CBI393154 CLC392948:CLE393154 CUY392948:CVA393154 DEU392948:DEW393154 DOQ392948:DOS393154 DYM392948:DYO393154 EII392948:EIK393154 ESE392948:ESG393154 FCA392948:FCC393154 FLW392948:FLY393154 FVS392948:FVU393154 GFO392948:GFQ393154 GPK392948:GPM393154 GZG392948:GZI393154 HJC392948:HJE393154 HSY392948:HTA393154 ICU392948:ICW393154 IMQ392948:IMS393154 IWM392948:IWO393154 JGI392948:JGK393154 JQE392948:JQG393154 KAA392948:KAC393154 KJW392948:KJY393154 KTS392948:KTU393154 LDO392948:LDQ393154 LNK392948:LNM393154 LXG392948:LXI393154 MHC392948:MHE393154 MQY392948:MRA393154 NAU392948:NAW393154 NKQ392948:NKS393154 NUM392948:NUO393154 OEI392948:OEK393154 OOE392948:OOG393154 OYA392948:OYC393154 PHW392948:PHY393154 PRS392948:PRU393154 QBO392948:QBQ393154 QLK392948:QLM393154 QVG392948:QVI393154 RFC392948:RFE393154 ROY392948:RPA393154 RYU392948:RYW393154 SIQ392948:SIS393154 SSM392948:SSO393154 TCI392948:TCK393154 TME392948:TMG393154 TWA392948:TWC393154 UFW392948:UFY393154 UPS392948:UPU393154 UZO392948:UZQ393154 VJK392948:VJM393154 VTG392948:VTI393154 WDC392948:WDE393154 WMY392948:WNA393154 WWU392948:WWW393154 X458484:Z458690 KI458484:KK458690 UE458484:UG458690 AEA458484:AEC458690 ANW458484:ANY458690 AXS458484:AXU458690 BHO458484:BHQ458690 BRK458484:BRM458690 CBG458484:CBI458690 CLC458484:CLE458690 CUY458484:CVA458690 DEU458484:DEW458690 DOQ458484:DOS458690 DYM458484:DYO458690 EII458484:EIK458690 ESE458484:ESG458690 FCA458484:FCC458690 FLW458484:FLY458690 FVS458484:FVU458690 GFO458484:GFQ458690 GPK458484:GPM458690 GZG458484:GZI458690 HJC458484:HJE458690 HSY458484:HTA458690 ICU458484:ICW458690 IMQ458484:IMS458690 IWM458484:IWO458690 JGI458484:JGK458690 JQE458484:JQG458690 KAA458484:KAC458690 KJW458484:KJY458690 KTS458484:KTU458690 LDO458484:LDQ458690 LNK458484:LNM458690 LXG458484:LXI458690 MHC458484:MHE458690 MQY458484:MRA458690 NAU458484:NAW458690 NKQ458484:NKS458690 NUM458484:NUO458690 OEI458484:OEK458690 OOE458484:OOG458690 OYA458484:OYC458690 PHW458484:PHY458690 PRS458484:PRU458690 QBO458484:QBQ458690 QLK458484:QLM458690 QVG458484:QVI458690 RFC458484:RFE458690 ROY458484:RPA458690 RYU458484:RYW458690 SIQ458484:SIS458690 SSM458484:SSO458690 TCI458484:TCK458690 TME458484:TMG458690 TWA458484:TWC458690 UFW458484:UFY458690 UPS458484:UPU458690 UZO458484:UZQ458690 VJK458484:VJM458690 VTG458484:VTI458690 WDC458484:WDE458690 WMY458484:WNA458690 WWU458484:WWW458690 X524020:Z524226 KI524020:KK524226 UE524020:UG524226 AEA524020:AEC524226 ANW524020:ANY524226 AXS524020:AXU524226 BHO524020:BHQ524226 BRK524020:BRM524226 CBG524020:CBI524226 CLC524020:CLE524226 CUY524020:CVA524226 DEU524020:DEW524226 DOQ524020:DOS524226 DYM524020:DYO524226 EII524020:EIK524226 ESE524020:ESG524226 FCA524020:FCC524226 FLW524020:FLY524226 FVS524020:FVU524226 GFO524020:GFQ524226 GPK524020:GPM524226 GZG524020:GZI524226 HJC524020:HJE524226 HSY524020:HTA524226 ICU524020:ICW524226 IMQ524020:IMS524226 IWM524020:IWO524226 JGI524020:JGK524226 JQE524020:JQG524226 KAA524020:KAC524226 KJW524020:KJY524226 KTS524020:KTU524226 LDO524020:LDQ524226 LNK524020:LNM524226 LXG524020:LXI524226 MHC524020:MHE524226 MQY524020:MRA524226 NAU524020:NAW524226 NKQ524020:NKS524226 NUM524020:NUO524226 OEI524020:OEK524226 OOE524020:OOG524226 OYA524020:OYC524226 PHW524020:PHY524226 PRS524020:PRU524226 QBO524020:QBQ524226 QLK524020:QLM524226 QVG524020:QVI524226 RFC524020:RFE524226 ROY524020:RPA524226 RYU524020:RYW524226 SIQ524020:SIS524226 SSM524020:SSO524226 TCI524020:TCK524226 TME524020:TMG524226 TWA524020:TWC524226 UFW524020:UFY524226 UPS524020:UPU524226 UZO524020:UZQ524226 VJK524020:VJM524226 VTG524020:VTI524226 WDC524020:WDE524226 WMY524020:WNA524226 WWU524020:WWW524226 X589556:Z589762 KI589556:KK589762 UE589556:UG589762 AEA589556:AEC589762 ANW589556:ANY589762 AXS589556:AXU589762 BHO589556:BHQ589762 BRK589556:BRM589762 CBG589556:CBI589762 CLC589556:CLE589762 CUY589556:CVA589762 DEU589556:DEW589762 DOQ589556:DOS589762 DYM589556:DYO589762 EII589556:EIK589762 ESE589556:ESG589762 FCA589556:FCC589762 FLW589556:FLY589762 FVS589556:FVU589762 GFO589556:GFQ589762 GPK589556:GPM589762 GZG589556:GZI589762 HJC589556:HJE589762 HSY589556:HTA589762 ICU589556:ICW589762 IMQ589556:IMS589762 IWM589556:IWO589762 JGI589556:JGK589762 JQE589556:JQG589762 KAA589556:KAC589762 KJW589556:KJY589762 KTS589556:KTU589762 LDO589556:LDQ589762 LNK589556:LNM589762 LXG589556:LXI589762 MHC589556:MHE589762 MQY589556:MRA589762 NAU589556:NAW589762 NKQ589556:NKS589762 NUM589556:NUO589762 OEI589556:OEK589762 OOE589556:OOG589762 OYA589556:OYC589762 PHW589556:PHY589762 PRS589556:PRU589762 QBO589556:QBQ589762 QLK589556:QLM589762 QVG589556:QVI589762 RFC589556:RFE589762 ROY589556:RPA589762 RYU589556:RYW589762 SIQ589556:SIS589762 SSM589556:SSO589762 TCI589556:TCK589762 TME589556:TMG589762 TWA589556:TWC589762 UFW589556:UFY589762 UPS589556:UPU589762 UZO589556:UZQ589762 VJK589556:VJM589762 VTG589556:VTI589762 WDC589556:WDE589762 WMY589556:WNA589762 WWU589556:WWW589762 X655092:Z655298 KI655092:KK655298 UE655092:UG655298 AEA655092:AEC655298 ANW655092:ANY655298 AXS655092:AXU655298 BHO655092:BHQ655298 BRK655092:BRM655298 CBG655092:CBI655298 CLC655092:CLE655298 CUY655092:CVA655298 DEU655092:DEW655298 DOQ655092:DOS655298 DYM655092:DYO655298 EII655092:EIK655298 ESE655092:ESG655298 FCA655092:FCC655298 FLW655092:FLY655298 FVS655092:FVU655298 GFO655092:GFQ655298 GPK655092:GPM655298 GZG655092:GZI655298 HJC655092:HJE655298 HSY655092:HTA655298 ICU655092:ICW655298 IMQ655092:IMS655298 IWM655092:IWO655298 JGI655092:JGK655298 JQE655092:JQG655298 KAA655092:KAC655298 KJW655092:KJY655298 KTS655092:KTU655298 LDO655092:LDQ655298 LNK655092:LNM655298 LXG655092:LXI655298 MHC655092:MHE655298 MQY655092:MRA655298 NAU655092:NAW655298 NKQ655092:NKS655298 NUM655092:NUO655298 OEI655092:OEK655298 OOE655092:OOG655298 OYA655092:OYC655298 PHW655092:PHY655298 PRS655092:PRU655298 QBO655092:QBQ655298 QLK655092:QLM655298 QVG655092:QVI655298 RFC655092:RFE655298 ROY655092:RPA655298 RYU655092:RYW655298 SIQ655092:SIS655298 SSM655092:SSO655298 TCI655092:TCK655298 TME655092:TMG655298 TWA655092:TWC655298 UFW655092:UFY655298 UPS655092:UPU655298 UZO655092:UZQ655298 VJK655092:VJM655298 VTG655092:VTI655298 WDC655092:WDE655298 WMY655092:WNA655298 WWU655092:WWW655298 X720628:Z720834 KI720628:KK720834 UE720628:UG720834 AEA720628:AEC720834 ANW720628:ANY720834 AXS720628:AXU720834 BHO720628:BHQ720834 BRK720628:BRM720834 CBG720628:CBI720834 CLC720628:CLE720834 CUY720628:CVA720834 DEU720628:DEW720834 DOQ720628:DOS720834 DYM720628:DYO720834 EII720628:EIK720834 ESE720628:ESG720834 FCA720628:FCC720834 FLW720628:FLY720834 FVS720628:FVU720834 GFO720628:GFQ720834 GPK720628:GPM720834 GZG720628:GZI720834 HJC720628:HJE720834 HSY720628:HTA720834 ICU720628:ICW720834 IMQ720628:IMS720834 IWM720628:IWO720834 JGI720628:JGK720834 JQE720628:JQG720834 KAA720628:KAC720834 KJW720628:KJY720834 KTS720628:KTU720834 LDO720628:LDQ720834 LNK720628:LNM720834 LXG720628:LXI720834 MHC720628:MHE720834 MQY720628:MRA720834 NAU720628:NAW720834 NKQ720628:NKS720834 NUM720628:NUO720834 OEI720628:OEK720834 OOE720628:OOG720834 OYA720628:OYC720834 PHW720628:PHY720834 PRS720628:PRU720834 QBO720628:QBQ720834 QLK720628:QLM720834 QVG720628:QVI720834 RFC720628:RFE720834 ROY720628:RPA720834 RYU720628:RYW720834 SIQ720628:SIS720834 SSM720628:SSO720834 TCI720628:TCK720834 TME720628:TMG720834 TWA720628:TWC720834 UFW720628:UFY720834 UPS720628:UPU720834 UZO720628:UZQ720834 VJK720628:VJM720834 VTG720628:VTI720834 WDC720628:WDE720834 WMY720628:WNA720834 WWU720628:WWW720834 X786164:Z786370 KI786164:KK786370 UE786164:UG786370 AEA786164:AEC786370 ANW786164:ANY786370 AXS786164:AXU786370 BHO786164:BHQ786370 BRK786164:BRM786370 CBG786164:CBI786370 CLC786164:CLE786370 CUY786164:CVA786370 DEU786164:DEW786370 DOQ786164:DOS786370 DYM786164:DYO786370 EII786164:EIK786370 ESE786164:ESG786370 FCA786164:FCC786370 FLW786164:FLY786370 FVS786164:FVU786370 GFO786164:GFQ786370 GPK786164:GPM786370 GZG786164:GZI786370 HJC786164:HJE786370 HSY786164:HTA786370 ICU786164:ICW786370 IMQ786164:IMS786370 IWM786164:IWO786370 JGI786164:JGK786370 JQE786164:JQG786370 KAA786164:KAC786370 KJW786164:KJY786370 KTS786164:KTU786370 LDO786164:LDQ786370 LNK786164:LNM786370 LXG786164:LXI786370 MHC786164:MHE786370 MQY786164:MRA786370 NAU786164:NAW786370 NKQ786164:NKS786370 NUM786164:NUO786370 OEI786164:OEK786370 OOE786164:OOG786370 OYA786164:OYC786370 PHW786164:PHY786370 PRS786164:PRU786370 QBO786164:QBQ786370 QLK786164:QLM786370 QVG786164:QVI786370 RFC786164:RFE786370 ROY786164:RPA786370 RYU786164:RYW786370 SIQ786164:SIS786370 SSM786164:SSO786370 TCI786164:TCK786370 TME786164:TMG786370 TWA786164:TWC786370 UFW786164:UFY786370 UPS786164:UPU786370 UZO786164:UZQ786370 VJK786164:VJM786370 VTG786164:VTI786370 WDC786164:WDE786370 WMY786164:WNA786370 WWU786164:WWW786370 X851700:Z851906 KI851700:KK851906 UE851700:UG851906 AEA851700:AEC851906 ANW851700:ANY851906 AXS851700:AXU851906 BHO851700:BHQ851906 BRK851700:BRM851906 CBG851700:CBI851906 CLC851700:CLE851906 CUY851700:CVA851906 DEU851700:DEW851906 DOQ851700:DOS851906 DYM851700:DYO851906 EII851700:EIK851906 ESE851700:ESG851906 FCA851700:FCC851906 FLW851700:FLY851906 FVS851700:FVU851906 GFO851700:GFQ851906 GPK851700:GPM851906 GZG851700:GZI851906 HJC851700:HJE851906 HSY851700:HTA851906 ICU851700:ICW851906 IMQ851700:IMS851906 IWM851700:IWO851906 JGI851700:JGK851906 JQE851700:JQG851906 KAA851700:KAC851906 KJW851700:KJY851906 KTS851700:KTU851906 LDO851700:LDQ851906 LNK851700:LNM851906 LXG851700:LXI851906 MHC851700:MHE851906 MQY851700:MRA851906 NAU851700:NAW851906 NKQ851700:NKS851906 NUM851700:NUO851906 OEI851700:OEK851906 OOE851700:OOG851906 OYA851700:OYC851906 PHW851700:PHY851906 PRS851700:PRU851906 QBO851700:QBQ851906 QLK851700:QLM851906 QVG851700:QVI851906 RFC851700:RFE851906 ROY851700:RPA851906 RYU851700:RYW851906 SIQ851700:SIS851906 SSM851700:SSO851906 TCI851700:TCK851906 TME851700:TMG851906 TWA851700:TWC851906 UFW851700:UFY851906 UPS851700:UPU851906 UZO851700:UZQ851906 VJK851700:VJM851906 VTG851700:VTI851906 WDC851700:WDE851906 WMY851700:WNA851906 WWU851700:WWW851906 X917236:Z917442 KI917236:KK917442 UE917236:UG917442 AEA917236:AEC917442 ANW917236:ANY917442 AXS917236:AXU917442 BHO917236:BHQ917442 BRK917236:BRM917442 CBG917236:CBI917442 CLC917236:CLE917442 CUY917236:CVA917442 DEU917236:DEW917442 DOQ917236:DOS917442 DYM917236:DYO917442 EII917236:EIK917442 ESE917236:ESG917442 FCA917236:FCC917442 FLW917236:FLY917442 FVS917236:FVU917442 GFO917236:GFQ917442 GPK917236:GPM917442 GZG917236:GZI917442 HJC917236:HJE917442 HSY917236:HTA917442 ICU917236:ICW917442 IMQ917236:IMS917442 IWM917236:IWO917442 JGI917236:JGK917442 JQE917236:JQG917442 KAA917236:KAC917442 KJW917236:KJY917442 KTS917236:KTU917442 LDO917236:LDQ917442 LNK917236:LNM917442 LXG917236:LXI917442 MHC917236:MHE917442 MQY917236:MRA917442 NAU917236:NAW917442 NKQ917236:NKS917442 NUM917236:NUO917442 OEI917236:OEK917442 OOE917236:OOG917442 OYA917236:OYC917442 PHW917236:PHY917442 PRS917236:PRU917442 QBO917236:QBQ917442 QLK917236:QLM917442 QVG917236:QVI917442 RFC917236:RFE917442 ROY917236:RPA917442 RYU917236:RYW917442 SIQ917236:SIS917442 SSM917236:SSO917442 TCI917236:TCK917442 TME917236:TMG917442 TWA917236:TWC917442 UFW917236:UFY917442 UPS917236:UPU917442 UZO917236:UZQ917442 VJK917236:VJM917442 VTG917236:VTI917442 WDC917236:WDE917442 WMY917236:WNA917442 WWU917236:WWW917442 X982772:Z982978 KI982772:KK982978 UE982772:UG982978 AEA982772:AEC982978 ANW982772:ANY982978 AXS982772:AXU982978 BHO982772:BHQ982978 BRK982772:BRM982978 CBG982772:CBI982978 CLC982772:CLE982978 CUY982772:CVA982978 DEU982772:DEW982978 DOQ982772:DOS982978 DYM982772:DYO982978 EII982772:EIK982978 ESE982772:ESG982978 FCA982772:FCC982978 FLW982772:FLY982978 FVS982772:FVU982978 GFO982772:GFQ982978 GPK982772:GPM982978 GZG982772:GZI982978 HJC982772:HJE982978 HSY982772:HTA982978 ICU982772:ICW982978 IMQ982772:IMS982978 IWM982772:IWO982978 JGI982772:JGK982978 JQE982772:JQG982978 KAA982772:KAC982978 KJW982772:KJY982978 KTS982772:KTU982978 LDO982772:LDQ982978 LNK982772:LNM982978 LXG982772:LXI982978 MHC982772:MHE982978 MQY982772:MRA982978 NAU982772:NAW982978 NKQ982772:NKS982978 NUM982772:NUO982978 OEI982772:OEK982978 OOE982772:OOG982978 OYA982772:OYC982978 PHW982772:PHY982978 PRS982772:PRU982978 QBO982772:QBQ982978 QLK982772:QLM982978 QVG982772:QVI982978 RFC982772:RFE982978 ROY982772:RPA982978 RYU982772:RYW982978 SIQ982772:SIS982978 SSM982772:SSO982978 TCI982772:TCK982978 TME982772:TMG982978 TWA982772:TWC982978 UFW982772:UFY982978 UPS982772:UPU982978 UZO982772:UZQ982978 VJK982772:VJM982978 VTG982772:VTI982978 WDC982772:WDE982978 WMY982772:WNA982978 WWU982772:WWW982978 WWU5:WWW11 KI5:KK11 UE5:UG11 AEA5:AEC11 ANW5:ANY11 AXS5:AXU11 BHO5:BHQ11 BRK5:BRM11 CBG5:CBI11 CLC5:CLE11 CUY5:CVA11 DEU5:DEW11 DOQ5:DOS11 DYM5:DYO11 EII5:EIK11 ESE5:ESG11 FCA5:FCC11 FLW5:FLY11 FVS5:FVU11 GFO5:GFQ11 GPK5:GPM11 GZG5:GZI11 HJC5:HJE11 HSY5:HTA11 ICU5:ICW11 IMQ5:IMS11 IWM5:IWO11 JGI5:JGK11 JQE5:JQG11 KAA5:KAC11 KJW5:KJY11 KTS5:KTU11 LDO5:LDQ11 LNK5:LNM11 LXG5:LXI11 MHC5:MHE11 MQY5:MRA11 NAU5:NAW11 NKQ5:NKS11 NUM5:NUO11 OEI5:OEK11 OOE5:OOG11 OYA5:OYC11 PHW5:PHY11 PRS5:PRU11 QBO5:QBQ11 QLK5:QLM11 QVG5:QVI11 RFC5:RFE11 ROY5:RPA11 RYU5:RYW11 SIQ5:SIS11 SSM5:SSO11 TCI5:TCK11 TME5:TMG11 TWA5:TWC11 UFW5:UFY11 UPS5:UPU11 UZO5:UZQ11 VJK5:VJM11 VTG5:VTI11 WDC5:WDE11 WMY5:WNA11">
      <formula1>0</formula1>
      <formula2>100000000000</formula2>
    </dataValidation>
    <dataValidation type="decimal" allowBlank="1" showInputMessage="1" showErrorMessage="1" sqref="KV65268:KV65474 UR65268:UR65474 AEN65268:AEN65474 AOJ65268:AOJ65474 AYF65268:AYF65474 BIB65268:BIB65474 BRX65268:BRX65474 CBT65268:CBT65474 CLP65268:CLP65474 CVL65268:CVL65474 DFH65268:DFH65474 DPD65268:DPD65474 DYZ65268:DYZ65474 EIV65268:EIV65474 ESR65268:ESR65474 FCN65268:FCN65474 FMJ65268:FMJ65474 FWF65268:FWF65474 GGB65268:GGB65474 GPX65268:GPX65474 GZT65268:GZT65474 HJP65268:HJP65474 HTL65268:HTL65474 IDH65268:IDH65474 IND65268:IND65474 IWZ65268:IWZ65474 JGV65268:JGV65474 JQR65268:JQR65474 KAN65268:KAN65474 KKJ65268:KKJ65474 KUF65268:KUF65474 LEB65268:LEB65474 LNX65268:LNX65474 LXT65268:LXT65474 MHP65268:MHP65474 MRL65268:MRL65474 NBH65268:NBH65474 NLD65268:NLD65474 NUZ65268:NUZ65474 OEV65268:OEV65474 OOR65268:OOR65474 OYN65268:OYN65474 PIJ65268:PIJ65474 PSF65268:PSF65474 QCB65268:QCB65474 QLX65268:QLX65474 QVT65268:QVT65474 RFP65268:RFP65474 RPL65268:RPL65474 RZH65268:RZH65474 SJD65268:SJD65474 SSZ65268:SSZ65474 TCV65268:TCV65474 TMR65268:TMR65474 TWN65268:TWN65474 UGJ65268:UGJ65474 UQF65268:UQF65474 VAB65268:VAB65474 VJX65268:VJX65474 VTT65268:VTT65474 WDP65268:WDP65474 WNL65268:WNL65474 WXH65268:WXH65474 KV130804:KV131010 UR130804:UR131010 AEN130804:AEN131010 AOJ130804:AOJ131010 AYF130804:AYF131010 BIB130804:BIB131010 BRX130804:BRX131010 CBT130804:CBT131010 CLP130804:CLP131010 CVL130804:CVL131010 DFH130804:DFH131010 DPD130804:DPD131010 DYZ130804:DYZ131010 EIV130804:EIV131010 ESR130804:ESR131010 FCN130804:FCN131010 FMJ130804:FMJ131010 FWF130804:FWF131010 GGB130804:GGB131010 GPX130804:GPX131010 GZT130804:GZT131010 HJP130804:HJP131010 HTL130804:HTL131010 IDH130804:IDH131010 IND130804:IND131010 IWZ130804:IWZ131010 JGV130804:JGV131010 JQR130804:JQR131010 KAN130804:KAN131010 KKJ130804:KKJ131010 KUF130804:KUF131010 LEB130804:LEB131010 LNX130804:LNX131010 LXT130804:LXT131010 MHP130804:MHP131010 MRL130804:MRL131010 NBH130804:NBH131010 NLD130804:NLD131010 NUZ130804:NUZ131010 OEV130804:OEV131010 OOR130804:OOR131010 OYN130804:OYN131010 PIJ130804:PIJ131010 PSF130804:PSF131010 QCB130804:QCB131010 QLX130804:QLX131010 QVT130804:QVT131010 RFP130804:RFP131010 RPL130804:RPL131010 RZH130804:RZH131010 SJD130804:SJD131010 SSZ130804:SSZ131010 TCV130804:TCV131010 TMR130804:TMR131010 TWN130804:TWN131010 UGJ130804:UGJ131010 UQF130804:UQF131010 VAB130804:VAB131010 VJX130804:VJX131010 VTT130804:VTT131010 WDP130804:WDP131010 WNL130804:WNL131010 WXH130804:WXH131010 KV196340:KV196546 UR196340:UR196546 AEN196340:AEN196546 AOJ196340:AOJ196546 AYF196340:AYF196546 BIB196340:BIB196546 BRX196340:BRX196546 CBT196340:CBT196546 CLP196340:CLP196546 CVL196340:CVL196546 DFH196340:DFH196546 DPD196340:DPD196546 DYZ196340:DYZ196546 EIV196340:EIV196546 ESR196340:ESR196546 FCN196340:FCN196546 FMJ196340:FMJ196546 FWF196340:FWF196546 GGB196340:GGB196546 GPX196340:GPX196546 GZT196340:GZT196546 HJP196340:HJP196546 HTL196340:HTL196546 IDH196340:IDH196546 IND196340:IND196546 IWZ196340:IWZ196546 JGV196340:JGV196546 JQR196340:JQR196546 KAN196340:KAN196546 KKJ196340:KKJ196546 KUF196340:KUF196546 LEB196340:LEB196546 LNX196340:LNX196546 LXT196340:LXT196546 MHP196340:MHP196546 MRL196340:MRL196546 NBH196340:NBH196546 NLD196340:NLD196546 NUZ196340:NUZ196546 OEV196340:OEV196546 OOR196340:OOR196546 OYN196340:OYN196546 PIJ196340:PIJ196546 PSF196340:PSF196546 QCB196340:QCB196546 QLX196340:QLX196546 QVT196340:QVT196546 RFP196340:RFP196546 RPL196340:RPL196546 RZH196340:RZH196546 SJD196340:SJD196546 SSZ196340:SSZ196546 TCV196340:TCV196546 TMR196340:TMR196546 TWN196340:TWN196546 UGJ196340:UGJ196546 UQF196340:UQF196546 VAB196340:VAB196546 VJX196340:VJX196546 VTT196340:VTT196546 WDP196340:WDP196546 WNL196340:WNL196546 WXH196340:WXH196546 KV261876:KV262082 UR261876:UR262082 AEN261876:AEN262082 AOJ261876:AOJ262082 AYF261876:AYF262082 BIB261876:BIB262082 BRX261876:BRX262082 CBT261876:CBT262082 CLP261876:CLP262082 CVL261876:CVL262082 DFH261876:DFH262082 DPD261876:DPD262082 DYZ261876:DYZ262082 EIV261876:EIV262082 ESR261876:ESR262082 FCN261876:FCN262082 FMJ261876:FMJ262082 FWF261876:FWF262082 GGB261876:GGB262082 GPX261876:GPX262082 GZT261876:GZT262082 HJP261876:HJP262082 HTL261876:HTL262082 IDH261876:IDH262082 IND261876:IND262082 IWZ261876:IWZ262082 JGV261876:JGV262082 JQR261876:JQR262082 KAN261876:KAN262082 KKJ261876:KKJ262082 KUF261876:KUF262082 LEB261876:LEB262082 LNX261876:LNX262082 LXT261876:LXT262082 MHP261876:MHP262082 MRL261876:MRL262082 NBH261876:NBH262082 NLD261876:NLD262082 NUZ261876:NUZ262082 OEV261876:OEV262082 OOR261876:OOR262082 OYN261876:OYN262082 PIJ261876:PIJ262082 PSF261876:PSF262082 QCB261876:QCB262082 QLX261876:QLX262082 QVT261876:QVT262082 RFP261876:RFP262082 RPL261876:RPL262082 RZH261876:RZH262082 SJD261876:SJD262082 SSZ261876:SSZ262082 TCV261876:TCV262082 TMR261876:TMR262082 TWN261876:TWN262082 UGJ261876:UGJ262082 UQF261876:UQF262082 VAB261876:VAB262082 VJX261876:VJX262082 VTT261876:VTT262082 WDP261876:WDP262082 WNL261876:WNL262082 WXH261876:WXH262082 KV327412:KV327618 UR327412:UR327618 AEN327412:AEN327618 AOJ327412:AOJ327618 AYF327412:AYF327618 BIB327412:BIB327618 BRX327412:BRX327618 CBT327412:CBT327618 CLP327412:CLP327618 CVL327412:CVL327618 DFH327412:DFH327618 DPD327412:DPD327618 DYZ327412:DYZ327618 EIV327412:EIV327618 ESR327412:ESR327618 FCN327412:FCN327618 FMJ327412:FMJ327618 FWF327412:FWF327618 GGB327412:GGB327618 GPX327412:GPX327618 GZT327412:GZT327618 HJP327412:HJP327618 HTL327412:HTL327618 IDH327412:IDH327618 IND327412:IND327618 IWZ327412:IWZ327618 JGV327412:JGV327618 JQR327412:JQR327618 KAN327412:KAN327618 KKJ327412:KKJ327618 KUF327412:KUF327618 LEB327412:LEB327618 LNX327412:LNX327618 LXT327412:LXT327618 MHP327412:MHP327618 MRL327412:MRL327618 NBH327412:NBH327618 NLD327412:NLD327618 NUZ327412:NUZ327618 OEV327412:OEV327618 OOR327412:OOR327618 OYN327412:OYN327618 PIJ327412:PIJ327618 PSF327412:PSF327618 QCB327412:QCB327618 QLX327412:QLX327618 QVT327412:QVT327618 RFP327412:RFP327618 RPL327412:RPL327618 RZH327412:RZH327618 SJD327412:SJD327618 SSZ327412:SSZ327618 TCV327412:TCV327618 TMR327412:TMR327618 TWN327412:TWN327618 UGJ327412:UGJ327618 UQF327412:UQF327618 VAB327412:VAB327618 VJX327412:VJX327618 VTT327412:VTT327618 WDP327412:WDP327618 WNL327412:WNL327618 WXH327412:WXH327618 KV392948:KV393154 UR392948:UR393154 AEN392948:AEN393154 AOJ392948:AOJ393154 AYF392948:AYF393154 BIB392948:BIB393154 BRX392948:BRX393154 CBT392948:CBT393154 CLP392948:CLP393154 CVL392948:CVL393154 DFH392948:DFH393154 DPD392948:DPD393154 DYZ392948:DYZ393154 EIV392948:EIV393154 ESR392948:ESR393154 FCN392948:FCN393154 FMJ392948:FMJ393154 FWF392948:FWF393154 GGB392948:GGB393154 GPX392948:GPX393154 GZT392948:GZT393154 HJP392948:HJP393154 HTL392948:HTL393154 IDH392948:IDH393154 IND392948:IND393154 IWZ392948:IWZ393154 JGV392948:JGV393154 JQR392948:JQR393154 KAN392948:KAN393154 KKJ392948:KKJ393154 KUF392948:KUF393154 LEB392948:LEB393154 LNX392948:LNX393154 LXT392948:LXT393154 MHP392948:MHP393154 MRL392948:MRL393154 NBH392948:NBH393154 NLD392948:NLD393154 NUZ392948:NUZ393154 OEV392948:OEV393154 OOR392948:OOR393154 OYN392948:OYN393154 PIJ392948:PIJ393154 PSF392948:PSF393154 QCB392948:QCB393154 QLX392948:QLX393154 QVT392948:QVT393154 RFP392948:RFP393154 RPL392948:RPL393154 RZH392948:RZH393154 SJD392948:SJD393154 SSZ392948:SSZ393154 TCV392948:TCV393154 TMR392948:TMR393154 TWN392948:TWN393154 UGJ392948:UGJ393154 UQF392948:UQF393154 VAB392948:VAB393154 VJX392948:VJX393154 VTT392948:VTT393154 WDP392948:WDP393154 WNL392948:WNL393154 WXH392948:WXH393154 KV458484:KV458690 UR458484:UR458690 AEN458484:AEN458690 AOJ458484:AOJ458690 AYF458484:AYF458690 BIB458484:BIB458690 BRX458484:BRX458690 CBT458484:CBT458690 CLP458484:CLP458690 CVL458484:CVL458690 DFH458484:DFH458690 DPD458484:DPD458690 DYZ458484:DYZ458690 EIV458484:EIV458690 ESR458484:ESR458690 FCN458484:FCN458690 FMJ458484:FMJ458690 FWF458484:FWF458690 GGB458484:GGB458690 GPX458484:GPX458690 GZT458484:GZT458690 HJP458484:HJP458690 HTL458484:HTL458690 IDH458484:IDH458690 IND458484:IND458690 IWZ458484:IWZ458690 JGV458484:JGV458690 JQR458484:JQR458690 KAN458484:KAN458690 KKJ458484:KKJ458690 KUF458484:KUF458690 LEB458484:LEB458690 LNX458484:LNX458690 LXT458484:LXT458690 MHP458484:MHP458690 MRL458484:MRL458690 NBH458484:NBH458690 NLD458484:NLD458690 NUZ458484:NUZ458690 OEV458484:OEV458690 OOR458484:OOR458690 OYN458484:OYN458690 PIJ458484:PIJ458690 PSF458484:PSF458690 QCB458484:QCB458690 QLX458484:QLX458690 QVT458484:QVT458690 RFP458484:RFP458690 RPL458484:RPL458690 RZH458484:RZH458690 SJD458484:SJD458690 SSZ458484:SSZ458690 TCV458484:TCV458690 TMR458484:TMR458690 TWN458484:TWN458690 UGJ458484:UGJ458690 UQF458484:UQF458690 VAB458484:VAB458690 VJX458484:VJX458690 VTT458484:VTT458690 WDP458484:WDP458690 WNL458484:WNL458690 WXH458484:WXH458690 KV524020:KV524226 UR524020:UR524226 AEN524020:AEN524226 AOJ524020:AOJ524226 AYF524020:AYF524226 BIB524020:BIB524226 BRX524020:BRX524226 CBT524020:CBT524226 CLP524020:CLP524226 CVL524020:CVL524226 DFH524020:DFH524226 DPD524020:DPD524226 DYZ524020:DYZ524226 EIV524020:EIV524226 ESR524020:ESR524226 FCN524020:FCN524226 FMJ524020:FMJ524226 FWF524020:FWF524226 GGB524020:GGB524226 GPX524020:GPX524226 GZT524020:GZT524226 HJP524020:HJP524226 HTL524020:HTL524226 IDH524020:IDH524226 IND524020:IND524226 IWZ524020:IWZ524226 JGV524020:JGV524226 JQR524020:JQR524226 KAN524020:KAN524226 KKJ524020:KKJ524226 KUF524020:KUF524226 LEB524020:LEB524226 LNX524020:LNX524226 LXT524020:LXT524226 MHP524020:MHP524226 MRL524020:MRL524226 NBH524020:NBH524226 NLD524020:NLD524226 NUZ524020:NUZ524226 OEV524020:OEV524226 OOR524020:OOR524226 OYN524020:OYN524226 PIJ524020:PIJ524226 PSF524020:PSF524226 QCB524020:QCB524226 QLX524020:QLX524226 QVT524020:QVT524226 RFP524020:RFP524226 RPL524020:RPL524226 RZH524020:RZH524226 SJD524020:SJD524226 SSZ524020:SSZ524226 TCV524020:TCV524226 TMR524020:TMR524226 TWN524020:TWN524226 UGJ524020:UGJ524226 UQF524020:UQF524226 VAB524020:VAB524226 VJX524020:VJX524226 VTT524020:VTT524226 WDP524020:WDP524226 WNL524020:WNL524226 WXH524020:WXH524226 KV589556:KV589762 UR589556:UR589762 AEN589556:AEN589762 AOJ589556:AOJ589762 AYF589556:AYF589762 BIB589556:BIB589762 BRX589556:BRX589762 CBT589556:CBT589762 CLP589556:CLP589762 CVL589556:CVL589762 DFH589556:DFH589762 DPD589556:DPD589762 DYZ589556:DYZ589762 EIV589556:EIV589762 ESR589556:ESR589762 FCN589556:FCN589762 FMJ589556:FMJ589762 FWF589556:FWF589762 GGB589556:GGB589762 GPX589556:GPX589762 GZT589556:GZT589762 HJP589556:HJP589762 HTL589556:HTL589762 IDH589556:IDH589762 IND589556:IND589762 IWZ589556:IWZ589762 JGV589556:JGV589762 JQR589556:JQR589762 KAN589556:KAN589762 KKJ589556:KKJ589762 KUF589556:KUF589762 LEB589556:LEB589762 LNX589556:LNX589762 LXT589556:LXT589762 MHP589556:MHP589762 MRL589556:MRL589762 NBH589556:NBH589762 NLD589556:NLD589762 NUZ589556:NUZ589762 OEV589556:OEV589762 OOR589556:OOR589762 OYN589556:OYN589762 PIJ589556:PIJ589762 PSF589556:PSF589762 QCB589556:QCB589762 QLX589556:QLX589762 QVT589556:QVT589762 RFP589556:RFP589762 RPL589556:RPL589762 RZH589556:RZH589762 SJD589556:SJD589762 SSZ589556:SSZ589762 TCV589556:TCV589762 TMR589556:TMR589762 TWN589556:TWN589762 UGJ589556:UGJ589762 UQF589556:UQF589762 VAB589556:VAB589762 VJX589556:VJX589762 VTT589556:VTT589762 WDP589556:WDP589762 WNL589556:WNL589762 WXH589556:WXH589762 KV655092:KV655298 UR655092:UR655298 AEN655092:AEN655298 AOJ655092:AOJ655298 AYF655092:AYF655298 BIB655092:BIB655298 BRX655092:BRX655298 CBT655092:CBT655298 CLP655092:CLP655298 CVL655092:CVL655298 DFH655092:DFH655298 DPD655092:DPD655298 DYZ655092:DYZ655298 EIV655092:EIV655298 ESR655092:ESR655298 FCN655092:FCN655298 FMJ655092:FMJ655298 FWF655092:FWF655298 GGB655092:GGB655298 GPX655092:GPX655298 GZT655092:GZT655298 HJP655092:HJP655298 HTL655092:HTL655298 IDH655092:IDH655298 IND655092:IND655298 IWZ655092:IWZ655298 JGV655092:JGV655298 JQR655092:JQR655298 KAN655092:KAN655298 KKJ655092:KKJ655298 KUF655092:KUF655298 LEB655092:LEB655298 LNX655092:LNX655298 LXT655092:LXT655298 MHP655092:MHP655298 MRL655092:MRL655298 NBH655092:NBH655298 NLD655092:NLD655298 NUZ655092:NUZ655298 OEV655092:OEV655298 OOR655092:OOR655298 OYN655092:OYN655298 PIJ655092:PIJ655298 PSF655092:PSF655298 QCB655092:QCB655298 QLX655092:QLX655298 QVT655092:QVT655298 RFP655092:RFP655298 RPL655092:RPL655298 RZH655092:RZH655298 SJD655092:SJD655298 SSZ655092:SSZ655298 TCV655092:TCV655298 TMR655092:TMR655298 TWN655092:TWN655298 UGJ655092:UGJ655298 UQF655092:UQF655298 VAB655092:VAB655298 VJX655092:VJX655298 VTT655092:VTT655298 WDP655092:WDP655298 WNL655092:WNL655298 WXH655092:WXH655298 KV720628:KV720834 UR720628:UR720834 AEN720628:AEN720834 AOJ720628:AOJ720834 AYF720628:AYF720834 BIB720628:BIB720834 BRX720628:BRX720834 CBT720628:CBT720834 CLP720628:CLP720834 CVL720628:CVL720834 DFH720628:DFH720834 DPD720628:DPD720834 DYZ720628:DYZ720834 EIV720628:EIV720834 ESR720628:ESR720834 FCN720628:FCN720834 FMJ720628:FMJ720834 FWF720628:FWF720834 GGB720628:GGB720834 GPX720628:GPX720834 GZT720628:GZT720834 HJP720628:HJP720834 HTL720628:HTL720834 IDH720628:IDH720834 IND720628:IND720834 IWZ720628:IWZ720834 JGV720628:JGV720834 JQR720628:JQR720834 KAN720628:KAN720834 KKJ720628:KKJ720834 KUF720628:KUF720834 LEB720628:LEB720834 LNX720628:LNX720834 LXT720628:LXT720834 MHP720628:MHP720834 MRL720628:MRL720834 NBH720628:NBH720834 NLD720628:NLD720834 NUZ720628:NUZ720834 OEV720628:OEV720834 OOR720628:OOR720834 OYN720628:OYN720834 PIJ720628:PIJ720834 PSF720628:PSF720834 QCB720628:QCB720834 QLX720628:QLX720834 QVT720628:QVT720834 RFP720628:RFP720834 RPL720628:RPL720834 RZH720628:RZH720834 SJD720628:SJD720834 SSZ720628:SSZ720834 TCV720628:TCV720834 TMR720628:TMR720834 TWN720628:TWN720834 UGJ720628:UGJ720834 UQF720628:UQF720834 VAB720628:VAB720834 VJX720628:VJX720834 VTT720628:VTT720834 WDP720628:WDP720834 WNL720628:WNL720834 WXH720628:WXH720834 KV786164:KV786370 UR786164:UR786370 AEN786164:AEN786370 AOJ786164:AOJ786370 AYF786164:AYF786370 BIB786164:BIB786370 BRX786164:BRX786370 CBT786164:CBT786370 CLP786164:CLP786370 CVL786164:CVL786370 DFH786164:DFH786370 DPD786164:DPD786370 DYZ786164:DYZ786370 EIV786164:EIV786370 ESR786164:ESR786370 FCN786164:FCN786370 FMJ786164:FMJ786370 FWF786164:FWF786370 GGB786164:GGB786370 GPX786164:GPX786370 GZT786164:GZT786370 HJP786164:HJP786370 HTL786164:HTL786370 IDH786164:IDH786370 IND786164:IND786370 IWZ786164:IWZ786370 JGV786164:JGV786370 JQR786164:JQR786370 KAN786164:KAN786370 KKJ786164:KKJ786370 KUF786164:KUF786370 LEB786164:LEB786370 LNX786164:LNX786370 LXT786164:LXT786370 MHP786164:MHP786370 MRL786164:MRL786370 NBH786164:NBH786370 NLD786164:NLD786370 NUZ786164:NUZ786370 OEV786164:OEV786370 OOR786164:OOR786370 OYN786164:OYN786370 PIJ786164:PIJ786370 PSF786164:PSF786370 QCB786164:QCB786370 QLX786164:QLX786370 QVT786164:QVT786370 RFP786164:RFP786370 RPL786164:RPL786370 RZH786164:RZH786370 SJD786164:SJD786370 SSZ786164:SSZ786370 TCV786164:TCV786370 TMR786164:TMR786370 TWN786164:TWN786370 UGJ786164:UGJ786370 UQF786164:UQF786370 VAB786164:VAB786370 VJX786164:VJX786370 VTT786164:VTT786370 WDP786164:WDP786370 WNL786164:WNL786370 WXH786164:WXH786370 KV851700:KV851906 UR851700:UR851906 AEN851700:AEN851906 AOJ851700:AOJ851906 AYF851700:AYF851906 BIB851700:BIB851906 BRX851700:BRX851906 CBT851700:CBT851906 CLP851700:CLP851906 CVL851700:CVL851906 DFH851700:DFH851906 DPD851700:DPD851906 DYZ851700:DYZ851906 EIV851700:EIV851906 ESR851700:ESR851906 FCN851700:FCN851906 FMJ851700:FMJ851906 FWF851700:FWF851906 GGB851700:GGB851906 GPX851700:GPX851906 GZT851700:GZT851906 HJP851700:HJP851906 HTL851700:HTL851906 IDH851700:IDH851906 IND851700:IND851906 IWZ851700:IWZ851906 JGV851700:JGV851906 JQR851700:JQR851906 KAN851700:KAN851906 KKJ851700:KKJ851906 KUF851700:KUF851906 LEB851700:LEB851906 LNX851700:LNX851906 LXT851700:LXT851906 MHP851700:MHP851906 MRL851700:MRL851906 NBH851700:NBH851906 NLD851700:NLD851906 NUZ851700:NUZ851906 OEV851700:OEV851906 OOR851700:OOR851906 OYN851700:OYN851906 PIJ851700:PIJ851906 PSF851700:PSF851906 QCB851700:QCB851906 QLX851700:QLX851906 QVT851700:QVT851906 RFP851700:RFP851906 RPL851700:RPL851906 RZH851700:RZH851906 SJD851700:SJD851906 SSZ851700:SSZ851906 TCV851700:TCV851906 TMR851700:TMR851906 TWN851700:TWN851906 UGJ851700:UGJ851906 UQF851700:UQF851906 VAB851700:VAB851906 VJX851700:VJX851906 VTT851700:VTT851906 WDP851700:WDP851906 WNL851700:WNL851906 WXH851700:WXH851906 KV917236:KV917442 UR917236:UR917442 AEN917236:AEN917442 AOJ917236:AOJ917442 AYF917236:AYF917442 BIB917236:BIB917442 BRX917236:BRX917442 CBT917236:CBT917442 CLP917236:CLP917442 CVL917236:CVL917442 DFH917236:DFH917442 DPD917236:DPD917442 DYZ917236:DYZ917442 EIV917236:EIV917442 ESR917236:ESR917442 FCN917236:FCN917442 FMJ917236:FMJ917442 FWF917236:FWF917442 GGB917236:GGB917442 GPX917236:GPX917442 GZT917236:GZT917442 HJP917236:HJP917442 HTL917236:HTL917442 IDH917236:IDH917442 IND917236:IND917442 IWZ917236:IWZ917442 JGV917236:JGV917442 JQR917236:JQR917442 KAN917236:KAN917442 KKJ917236:KKJ917442 KUF917236:KUF917442 LEB917236:LEB917442 LNX917236:LNX917442 LXT917236:LXT917442 MHP917236:MHP917442 MRL917236:MRL917442 NBH917236:NBH917442 NLD917236:NLD917442 NUZ917236:NUZ917442 OEV917236:OEV917442 OOR917236:OOR917442 OYN917236:OYN917442 PIJ917236:PIJ917442 PSF917236:PSF917442 QCB917236:QCB917442 QLX917236:QLX917442 QVT917236:QVT917442 RFP917236:RFP917442 RPL917236:RPL917442 RZH917236:RZH917442 SJD917236:SJD917442 SSZ917236:SSZ917442 TCV917236:TCV917442 TMR917236:TMR917442 TWN917236:TWN917442 UGJ917236:UGJ917442 UQF917236:UQF917442 VAB917236:VAB917442 VJX917236:VJX917442 VTT917236:VTT917442 WDP917236:WDP917442 WNL917236:WNL917442 WXH917236:WXH917442 KV982772:KV982978 UR982772:UR982978 AEN982772:AEN982978 AOJ982772:AOJ982978 AYF982772:AYF982978 BIB982772:BIB982978 BRX982772:BRX982978 CBT982772:CBT982978 CLP982772:CLP982978 CVL982772:CVL982978 DFH982772:DFH982978 DPD982772:DPD982978 DYZ982772:DYZ982978 EIV982772:EIV982978 ESR982772:ESR982978 FCN982772:FCN982978 FMJ982772:FMJ982978 FWF982772:FWF982978 GGB982772:GGB982978 GPX982772:GPX982978 GZT982772:GZT982978 HJP982772:HJP982978 HTL982772:HTL982978 IDH982772:IDH982978 IND982772:IND982978 IWZ982772:IWZ982978 JGV982772:JGV982978 JQR982772:JQR982978 KAN982772:KAN982978 KKJ982772:KKJ982978 KUF982772:KUF982978 LEB982772:LEB982978 LNX982772:LNX982978 LXT982772:LXT982978 MHP982772:MHP982978 MRL982772:MRL982978 NBH982772:NBH982978 NLD982772:NLD982978 NUZ982772:NUZ982978 OEV982772:OEV982978 OOR982772:OOR982978 OYN982772:OYN982978 PIJ982772:PIJ982978 PSF982772:PSF982978 QCB982772:QCB982978 QLX982772:QLX982978 QVT982772:QVT982978 RFP982772:RFP982978 RPL982772:RPL982978 RZH982772:RZH982978 SJD982772:SJD982978 SSZ982772:SSZ982978 TCV982772:TCV982978 TMR982772:TMR982978 TWN982772:TWN982978 UGJ982772:UGJ982978 UQF982772:UQF982978 VAB982772:VAB982978 VJX982772:VJX982978 VTT982772:VTT982978 WDP982772:WDP982978 WNL982772:WNL982978 WXH982772:WXH982978 CJ65268:CK65474 MC65268:MC65474 VY65268:VY65474 AFU65268:AFU65474 APQ65268:APQ65474 AZM65268:AZM65474 BJI65268:BJI65474 BTE65268:BTE65474 CDA65268:CDA65474 CMW65268:CMW65474 CWS65268:CWS65474 DGO65268:DGO65474 DQK65268:DQK65474 EAG65268:EAG65474 EKC65268:EKC65474 ETY65268:ETY65474 FDU65268:FDU65474 FNQ65268:FNQ65474 FXM65268:FXM65474 GHI65268:GHI65474 GRE65268:GRE65474 HBA65268:HBA65474 HKW65268:HKW65474 HUS65268:HUS65474 IEO65268:IEO65474 IOK65268:IOK65474 IYG65268:IYG65474 JIC65268:JIC65474 JRY65268:JRY65474 KBU65268:KBU65474 KLQ65268:KLQ65474 KVM65268:KVM65474 LFI65268:LFI65474 LPE65268:LPE65474 LZA65268:LZA65474 MIW65268:MIW65474 MSS65268:MSS65474 NCO65268:NCO65474 NMK65268:NMK65474 NWG65268:NWG65474 OGC65268:OGC65474 OPY65268:OPY65474 OZU65268:OZU65474 PJQ65268:PJQ65474 PTM65268:PTM65474 QDI65268:QDI65474 QNE65268:QNE65474 QXA65268:QXA65474 RGW65268:RGW65474 RQS65268:RQS65474 SAO65268:SAO65474 SKK65268:SKK65474 SUG65268:SUG65474 TEC65268:TEC65474 TNY65268:TNY65474 TXU65268:TXU65474 UHQ65268:UHQ65474 URM65268:URM65474 VBI65268:VBI65474 VLE65268:VLE65474 VVA65268:VVA65474 WEW65268:WEW65474 WOS65268:WOS65474 WYO65268:WYO65474 CJ130804:CK131010 MC130804:MC131010 VY130804:VY131010 AFU130804:AFU131010 APQ130804:APQ131010 AZM130804:AZM131010 BJI130804:BJI131010 BTE130804:BTE131010 CDA130804:CDA131010 CMW130804:CMW131010 CWS130804:CWS131010 DGO130804:DGO131010 DQK130804:DQK131010 EAG130804:EAG131010 EKC130804:EKC131010 ETY130804:ETY131010 FDU130804:FDU131010 FNQ130804:FNQ131010 FXM130804:FXM131010 GHI130804:GHI131010 GRE130804:GRE131010 HBA130804:HBA131010 HKW130804:HKW131010 HUS130804:HUS131010 IEO130804:IEO131010 IOK130804:IOK131010 IYG130804:IYG131010 JIC130804:JIC131010 JRY130804:JRY131010 KBU130804:KBU131010 KLQ130804:KLQ131010 KVM130804:KVM131010 LFI130804:LFI131010 LPE130804:LPE131010 LZA130804:LZA131010 MIW130804:MIW131010 MSS130804:MSS131010 NCO130804:NCO131010 NMK130804:NMK131010 NWG130804:NWG131010 OGC130804:OGC131010 OPY130804:OPY131010 OZU130804:OZU131010 PJQ130804:PJQ131010 PTM130804:PTM131010 QDI130804:QDI131010 QNE130804:QNE131010 QXA130804:QXA131010 RGW130804:RGW131010 RQS130804:RQS131010 SAO130804:SAO131010 SKK130804:SKK131010 SUG130804:SUG131010 TEC130804:TEC131010 TNY130804:TNY131010 TXU130804:TXU131010 UHQ130804:UHQ131010 URM130804:URM131010 VBI130804:VBI131010 VLE130804:VLE131010 VVA130804:VVA131010 WEW130804:WEW131010 WOS130804:WOS131010 WYO130804:WYO131010 CJ196340:CK196546 MC196340:MC196546 VY196340:VY196546 AFU196340:AFU196546 APQ196340:APQ196546 AZM196340:AZM196546 BJI196340:BJI196546 BTE196340:BTE196546 CDA196340:CDA196546 CMW196340:CMW196546 CWS196340:CWS196546 DGO196340:DGO196546 DQK196340:DQK196546 EAG196340:EAG196546 EKC196340:EKC196546 ETY196340:ETY196546 FDU196340:FDU196546 FNQ196340:FNQ196546 FXM196340:FXM196546 GHI196340:GHI196546 GRE196340:GRE196546 HBA196340:HBA196546 HKW196340:HKW196546 HUS196340:HUS196546 IEO196340:IEO196546 IOK196340:IOK196546 IYG196340:IYG196546 JIC196340:JIC196546 JRY196340:JRY196546 KBU196340:KBU196546 KLQ196340:KLQ196546 KVM196340:KVM196546 LFI196340:LFI196546 LPE196340:LPE196546 LZA196340:LZA196546 MIW196340:MIW196546 MSS196340:MSS196546 NCO196340:NCO196546 NMK196340:NMK196546 NWG196340:NWG196546 OGC196340:OGC196546 OPY196340:OPY196546 OZU196340:OZU196546 PJQ196340:PJQ196546 PTM196340:PTM196546 QDI196340:QDI196546 QNE196340:QNE196546 QXA196340:QXA196546 RGW196340:RGW196546 RQS196340:RQS196546 SAO196340:SAO196546 SKK196340:SKK196546 SUG196340:SUG196546 TEC196340:TEC196546 TNY196340:TNY196546 TXU196340:TXU196546 UHQ196340:UHQ196546 URM196340:URM196546 VBI196340:VBI196546 VLE196340:VLE196546 VVA196340:VVA196546 WEW196340:WEW196546 WOS196340:WOS196546 WYO196340:WYO196546 CJ261876:CK262082 MC261876:MC262082 VY261876:VY262082 AFU261876:AFU262082 APQ261876:APQ262082 AZM261876:AZM262082 BJI261876:BJI262082 BTE261876:BTE262082 CDA261876:CDA262082 CMW261876:CMW262082 CWS261876:CWS262082 DGO261876:DGO262082 DQK261876:DQK262082 EAG261876:EAG262082 EKC261876:EKC262082 ETY261876:ETY262082 FDU261876:FDU262082 FNQ261876:FNQ262082 FXM261876:FXM262082 GHI261876:GHI262082 GRE261876:GRE262082 HBA261876:HBA262082 HKW261876:HKW262082 HUS261876:HUS262082 IEO261876:IEO262082 IOK261876:IOK262082 IYG261876:IYG262082 JIC261876:JIC262082 JRY261876:JRY262082 KBU261876:KBU262082 KLQ261876:KLQ262082 KVM261876:KVM262082 LFI261876:LFI262082 LPE261876:LPE262082 LZA261876:LZA262082 MIW261876:MIW262082 MSS261876:MSS262082 NCO261876:NCO262082 NMK261876:NMK262082 NWG261876:NWG262082 OGC261876:OGC262082 OPY261876:OPY262082 OZU261876:OZU262082 PJQ261876:PJQ262082 PTM261876:PTM262082 QDI261876:QDI262082 QNE261876:QNE262082 QXA261876:QXA262082 RGW261876:RGW262082 RQS261876:RQS262082 SAO261876:SAO262082 SKK261876:SKK262082 SUG261876:SUG262082 TEC261876:TEC262082 TNY261876:TNY262082 TXU261876:TXU262082 UHQ261876:UHQ262082 URM261876:URM262082 VBI261876:VBI262082 VLE261876:VLE262082 VVA261876:VVA262082 WEW261876:WEW262082 WOS261876:WOS262082 WYO261876:WYO262082 CJ327412:CK327618 MC327412:MC327618 VY327412:VY327618 AFU327412:AFU327618 APQ327412:APQ327618 AZM327412:AZM327618 BJI327412:BJI327618 BTE327412:BTE327618 CDA327412:CDA327618 CMW327412:CMW327618 CWS327412:CWS327618 DGO327412:DGO327618 DQK327412:DQK327618 EAG327412:EAG327618 EKC327412:EKC327618 ETY327412:ETY327618 FDU327412:FDU327618 FNQ327412:FNQ327618 FXM327412:FXM327618 GHI327412:GHI327618 GRE327412:GRE327618 HBA327412:HBA327618 HKW327412:HKW327618 HUS327412:HUS327618 IEO327412:IEO327618 IOK327412:IOK327618 IYG327412:IYG327618 JIC327412:JIC327618 JRY327412:JRY327618 KBU327412:KBU327618 KLQ327412:KLQ327618 KVM327412:KVM327618 LFI327412:LFI327618 LPE327412:LPE327618 LZA327412:LZA327618 MIW327412:MIW327618 MSS327412:MSS327618 NCO327412:NCO327618 NMK327412:NMK327618 NWG327412:NWG327618 OGC327412:OGC327618 OPY327412:OPY327618 OZU327412:OZU327618 PJQ327412:PJQ327618 PTM327412:PTM327618 QDI327412:QDI327618 QNE327412:QNE327618 QXA327412:QXA327618 RGW327412:RGW327618 RQS327412:RQS327618 SAO327412:SAO327618 SKK327412:SKK327618 SUG327412:SUG327618 TEC327412:TEC327618 TNY327412:TNY327618 TXU327412:TXU327618 UHQ327412:UHQ327618 URM327412:URM327618 VBI327412:VBI327618 VLE327412:VLE327618 VVA327412:VVA327618 WEW327412:WEW327618 WOS327412:WOS327618 WYO327412:WYO327618 CJ392948:CK393154 MC392948:MC393154 VY392948:VY393154 AFU392948:AFU393154 APQ392948:APQ393154 AZM392948:AZM393154 BJI392948:BJI393154 BTE392948:BTE393154 CDA392948:CDA393154 CMW392948:CMW393154 CWS392948:CWS393154 DGO392948:DGO393154 DQK392948:DQK393154 EAG392948:EAG393154 EKC392948:EKC393154 ETY392948:ETY393154 FDU392948:FDU393154 FNQ392948:FNQ393154 FXM392948:FXM393154 GHI392948:GHI393154 GRE392948:GRE393154 HBA392948:HBA393154 HKW392948:HKW393154 HUS392948:HUS393154 IEO392948:IEO393154 IOK392948:IOK393154 IYG392948:IYG393154 JIC392948:JIC393154 JRY392948:JRY393154 KBU392948:KBU393154 KLQ392948:KLQ393154 KVM392948:KVM393154 LFI392948:LFI393154 LPE392948:LPE393154 LZA392948:LZA393154 MIW392948:MIW393154 MSS392948:MSS393154 NCO392948:NCO393154 NMK392948:NMK393154 NWG392948:NWG393154 OGC392948:OGC393154 OPY392948:OPY393154 OZU392948:OZU393154 PJQ392948:PJQ393154 PTM392948:PTM393154 QDI392948:QDI393154 QNE392948:QNE393154 QXA392948:QXA393154 RGW392948:RGW393154 RQS392948:RQS393154 SAO392948:SAO393154 SKK392948:SKK393154 SUG392948:SUG393154 TEC392948:TEC393154 TNY392948:TNY393154 TXU392948:TXU393154 UHQ392948:UHQ393154 URM392948:URM393154 VBI392948:VBI393154 VLE392948:VLE393154 VVA392948:VVA393154 WEW392948:WEW393154 WOS392948:WOS393154 WYO392948:WYO393154 CJ458484:CK458690 MC458484:MC458690 VY458484:VY458690 AFU458484:AFU458690 APQ458484:APQ458690 AZM458484:AZM458690 BJI458484:BJI458690 BTE458484:BTE458690 CDA458484:CDA458690 CMW458484:CMW458690 CWS458484:CWS458690 DGO458484:DGO458690 DQK458484:DQK458690 EAG458484:EAG458690 EKC458484:EKC458690 ETY458484:ETY458690 FDU458484:FDU458690 FNQ458484:FNQ458690 FXM458484:FXM458690 GHI458484:GHI458690 GRE458484:GRE458690 HBA458484:HBA458690 HKW458484:HKW458690 HUS458484:HUS458690 IEO458484:IEO458690 IOK458484:IOK458690 IYG458484:IYG458690 JIC458484:JIC458690 JRY458484:JRY458690 KBU458484:KBU458690 KLQ458484:KLQ458690 KVM458484:KVM458690 LFI458484:LFI458690 LPE458484:LPE458690 LZA458484:LZA458690 MIW458484:MIW458690 MSS458484:MSS458690 NCO458484:NCO458690 NMK458484:NMK458690 NWG458484:NWG458690 OGC458484:OGC458690 OPY458484:OPY458690 OZU458484:OZU458690 PJQ458484:PJQ458690 PTM458484:PTM458690 QDI458484:QDI458690 QNE458484:QNE458690 QXA458484:QXA458690 RGW458484:RGW458690 RQS458484:RQS458690 SAO458484:SAO458690 SKK458484:SKK458690 SUG458484:SUG458690 TEC458484:TEC458690 TNY458484:TNY458690 TXU458484:TXU458690 UHQ458484:UHQ458690 URM458484:URM458690 VBI458484:VBI458690 VLE458484:VLE458690 VVA458484:VVA458690 WEW458484:WEW458690 WOS458484:WOS458690 WYO458484:WYO458690 CJ524020:CK524226 MC524020:MC524226 VY524020:VY524226 AFU524020:AFU524226 APQ524020:APQ524226 AZM524020:AZM524226 BJI524020:BJI524226 BTE524020:BTE524226 CDA524020:CDA524226 CMW524020:CMW524226 CWS524020:CWS524226 DGO524020:DGO524226 DQK524020:DQK524226 EAG524020:EAG524226 EKC524020:EKC524226 ETY524020:ETY524226 FDU524020:FDU524226 FNQ524020:FNQ524226 FXM524020:FXM524226 GHI524020:GHI524226 GRE524020:GRE524226 HBA524020:HBA524226 HKW524020:HKW524226 HUS524020:HUS524226 IEO524020:IEO524226 IOK524020:IOK524226 IYG524020:IYG524226 JIC524020:JIC524226 JRY524020:JRY524226 KBU524020:KBU524226 KLQ524020:KLQ524226 KVM524020:KVM524226 LFI524020:LFI524226 LPE524020:LPE524226 LZA524020:LZA524226 MIW524020:MIW524226 MSS524020:MSS524226 NCO524020:NCO524226 NMK524020:NMK524226 NWG524020:NWG524226 OGC524020:OGC524226 OPY524020:OPY524226 OZU524020:OZU524226 PJQ524020:PJQ524226 PTM524020:PTM524226 QDI524020:QDI524226 QNE524020:QNE524226 QXA524020:QXA524226 RGW524020:RGW524226 RQS524020:RQS524226 SAO524020:SAO524226 SKK524020:SKK524226 SUG524020:SUG524226 TEC524020:TEC524226 TNY524020:TNY524226 TXU524020:TXU524226 UHQ524020:UHQ524226 URM524020:URM524226 VBI524020:VBI524226 VLE524020:VLE524226 VVA524020:VVA524226 WEW524020:WEW524226 WOS524020:WOS524226 WYO524020:WYO524226 CJ589556:CK589762 MC589556:MC589762 VY589556:VY589762 AFU589556:AFU589762 APQ589556:APQ589762 AZM589556:AZM589762 BJI589556:BJI589762 BTE589556:BTE589762 CDA589556:CDA589762 CMW589556:CMW589762 CWS589556:CWS589762 DGO589556:DGO589762 DQK589556:DQK589762 EAG589556:EAG589762 EKC589556:EKC589762 ETY589556:ETY589762 FDU589556:FDU589762 FNQ589556:FNQ589762 FXM589556:FXM589762 GHI589556:GHI589762 GRE589556:GRE589762 HBA589556:HBA589762 HKW589556:HKW589762 HUS589556:HUS589762 IEO589556:IEO589762 IOK589556:IOK589762 IYG589556:IYG589762 JIC589556:JIC589762 JRY589556:JRY589762 KBU589556:KBU589762 KLQ589556:KLQ589762 KVM589556:KVM589762 LFI589556:LFI589762 LPE589556:LPE589762 LZA589556:LZA589762 MIW589556:MIW589762 MSS589556:MSS589762 NCO589556:NCO589762 NMK589556:NMK589762 NWG589556:NWG589762 OGC589556:OGC589762 OPY589556:OPY589762 OZU589556:OZU589762 PJQ589556:PJQ589762 PTM589556:PTM589762 QDI589556:QDI589762 QNE589556:QNE589762 QXA589556:QXA589762 RGW589556:RGW589762 RQS589556:RQS589762 SAO589556:SAO589762 SKK589556:SKK589762 SUG589556:SUG589762 TEC589556:TEC589762 TNY589556:TNY589762 TXU589556:TXU589762 UHQ589556:UHQ589762 URM589556:URM589762 VBI589556:VBI589762 VLE589556:VLE589762 VVA589556:VVA589762 WEW589556:WEW589762 WOS589556:WOS589762 WYO589556:WYO589762 CJ655092:CK655298 MC655092:MC655298 VY655092:VY655298 AFU655092:AFU655298 APQ655092:APQ655298 AZM655092:AZM655298 BJI655092:BJI655298 BTE655092:BTE655298 CDA655092:CDA655298 CMW655092:CMW655298 CWS655092:CWS655298 DGO655092:DGO655298 DQK655092:DQK655298 EAG655092:EAG655298 EKC655092:EKC655298 ETY655092:ETY655298 FDU655092:FDU655298 FNQ655092:FNQ655298 FXM655092:FXM655298 GHI655092:GHI655298 GRE655092:GRE655298 HBA655092:HBA655298 HKW655092:HKW655298 HUS655092:HUS655298 IEO655092:IEO655298 IOK655092:IOK655298 IYG655092:IYG655298 JIC655092:JIC655298 JRY655092:JRY655298 KBU655092:KBU655298 KLQ655092:KLQ655298 KVM655092:KVM655298 LFI655092:LFI655298 LPE655092:LPE655298 LZA655092:LZA655298 MIW655092:MIW655298 MSS655092:MSS655298 NCO655092:NCO655298 NMK655092:NMK655298 NWG655092:NWG655298 OGC655092:OGC655298 OPY655092:OPY655298 OZU655092:OZU655298 PJQ655092:PJQ655298 PTM655092:PTM655298 QDI655092:QDI655298 QNE655092:QNE655298 QXA655092:QXA655298 RGW655092:RGW655298 RQS655092:RQS655298 SAO655092:SAO655298 SKK655092:SKK655298 SUG655092:SUG655298 TEC655092:TEC655298 TNY655092:TNY655298 TXU655092:TXU655298 UHQ655092:UHQ655298 URM655092:URM655298 VBI655092:VBI655298 VLE655092:VLE655298 VVA655092:VVA655298 WEW655092:WEW655298 WOS655092:WOS655298 WYO655092:WYO655298 CJ720628:CK720834 MC720628:MC720834 VY720628:VY720834 AFU720628:AFU720834 APQ720628:APQ720834 AZM720628:AZM720834 BJI720628:BJI720834 BTE720628:BTE720834 CDA720628:CDA720834 CMW720628:CMW720834 CWS720628:CWS720834 DGO720628:DGO720834 DQK720628:DQK720834 EAG720628:EAG720834 EKC720628:EKC720834 ETY720628:ETY720834 FDU720628:FDU720834 FNQ720628:FNQ720834 FXM720628:FXM720834 GHI720628:GHI720834 GRE720628:GRE720834 HBA720628:HBA720834 HKW720628:HKW720834 HUS720628:HUS720834 IEO720628:IEO720834 IOK720628:IOK720834 IYG720628:IYG720834 JIC720628:JIC720834 JRY720628:JRY720834 KBU720628:KBU720834 KLQ720628:KLQ720834 KVM720628:KVM720834 LFI720628:LFI720834 LPE720628:LPE720834 LZA720628:LZA720834 MIW720628:MIW720834 MSS720628:MSS720834 NCO720628:NCO720834 NMK720628:NMK720834 NWG720628:NWG720834 OGC720628:OGC720834 OPY720628:OPY720834 OZU720628:OZU720834 PJQ720628:PJQ720834 PTM720628:PTM720834 QDI720628:QDI720834 QNE720628:QNE720834 QXA720628:QXA720834 RGW720628:RGW720834 RQS720628:RQS720834 SAO720628:SAO720834 SKK720628:SKK720834 SUG720628:SUG720834 TEC720628:TEC720834 TNY720628:TNY720834 TXU720628:TXU720834 UHQ720628:UHQ720834 URM720628:URM720834 VBI720628:VBI720834 VLE720628:VLE720834 VVA720628:VVA720834 WEW720628:WEW720834 WOS720628:WOS720834 WYO720628:WYO720834 CJ786164:CK786370 MC786164:MC786370 VY786164:VY786370 AFU786164:AFU786370 APQ786164:APQ786370 AZM786164:AZM786370 BJI786164:BJI786370 BTE786164:BTE786370 CDA786164:CDA786370 CMW786164:CMW786370 CWS786164:CWS786370 DGO786164:DGO786370 DQK786164:DQK786370 EAG786164:EAG786370 EKC786164:EKC786370 ETY786164:ETY786370 FDU786164:FDU786370 FNQ786164:FNQ786370 FXM786164:FXM786370 GHI786164:GHI786370 GRE786164:GRE786370 HBA786164:HBA786370 HKW786164:HKW786370 HUS786164:HUS786370 IEO786164:IEO786370 IOK786164:IOK786370 IYG786164:IYG786370 JIC786164:JIC786370 JRY786164:JRY786370 KBU786164:KBU786370 KLQ786164:KLQ786370 KVM786164:KVM786370 LFI786164:LFI786370 LPE786164:LPE786370 LZA786164:LZA786370 MIW786164:MIW786370 MSS786164:MSS786370 NCO786164:NCO786370 NMK786164:NMK786370 NWG786164:NWG786370 OGC786164:OGC786370 OPY786164:OPY786370 OZU786164:OZU786370 PJQ786164:PJQ786370 PTM786164:PTM786370 QDI786164:QDI786370 QNE786164:QNE786370 QXA786164:QXA786370 RGW786164:RGW786370 RQS786164:RQS786370 SAO786164:SAO786370 SKK786164:SKK786370 SUG786164:SUG786370 TEC786164:TEC786370 TNY786164:TNY786370 TXU786164:TXU786370 UHQ786164:UHQ786370 URM786164:URM786370 VBI786164:VBI786370 VLE786164:VLE786370 VVA786164:VVA786370 WEW786164:WEW786370 WOS786164:WOS786370 WYO786164:WYO786370 CJ851700:CK851906 MC851700:MC851906 VY851700:VY851906 AFU851700:AFU851906 APQ851700:APQ851906 AZM851700:AZM851906 BJI851700:BJI851906 BTE851700:BTE851906 CDA851700:CDA851906 CMW851700:CMW851906 CWS851700:CWS851906 DGO851700:DGO851906 DQK851700:DQK851906 EAG851700:EAG851906 EKC851700:EKC851906 ETY851700:ETY851906 FDU851700:FDU851906 FNQ851700:FNQ851906 FXM851700:FXM851906 GHI851700:GHI851906 GRE851700:GRE851906 HBA851700:HBA851906 HKW851700:HKW851906 HUS851700:HUS851906 IEO851700:IEO851906 IOK851700:IOK851906 IYG851700:IYG851906 JIC851700:JIC851906 JRY851700:JRY851906 KBU851700:KBU851906 KLQ851700:KLQ851906 KVM851700:KVM851906 LFI851700:LFI851906 LPE851700:LPE851906 LZA851700:LZA851906 MIW851700:MIW851906 MSS851700:MSS851906 NCO851700:NCO851906 NMK851700:NMK851906 NWG851700:NWG851906 OGC851700:OGC851906 OPY851700:OPY851906 OZU851700:OZU851906 PJQ851700:PJQ851906 PTM851700:PTM851906 QDI851700:QDI851906 QNE851700:QNE851906 QXA851700:QXA851906 RGW851700:RGW851906 RQS851700:RQS851906 SAO851700:SAO851906 SKK851700:SKK851906 SUG851700:SUG851906 TEC851700:TEC851906 TNY851700:TNY851906 TXU851700:TXU851906 UHQ851700:UHQ851906 URM851700:URM851906 VBI851700:VBI851906 VLE851700:VLE851906 VVA851700:VVA851906 WEW851700:WEW851906 WOS851700:WOS851906 WYO851700:WYO851906 CJ917236:CK917442 MC917236:MC917442 VY917236:VY917442 AFU917236:AFU917442 APQ917236:APQ917442 AZM917236:AZM917442 BJI917236:BJI917442 BTE917236:BTE917442 CDA917236:CDA917442 CMW917236:CMW917442 CWS917236:CWS917442 DGO917236:DGO917442 DQK917236:DQK917442 EAG917236:EAG917442 EKC917236:EKC917442 ETY917236:ETY917442 FDU917236:FDU917442 FNQ917236:FNQ917442 FXM917236:FXM917442 GHI917236:GHI917442 GRE917236:GRE917442 HBA917236:HBA917442 HKW917236:HKW917442 HUS917236:HUS917442 IEO917236:IEO917442 IOK917236:IOK917442 IYG917236:IYG917442 JIC917236:JIC917442 JRY917236:JRY917442 KBU917236:KBU917442 KLQ917236:KLQ917442 KVM917236:KVM917442 LFI917236:LFI917442 LPE917236:LPE917442 LZA917236:LZA917442 MIW917236:MIW917442 MSS917236:MSS917442 NCO917236:NCO917442 NMK917236:NMK917442 NWG917236:NWG917442 OGC917236:OGC917442 OPY917236:OPY917442 OZU917236:OZU917442 PJQ917236:PJQ917442 PTM917236:PTM917442 QDI917236:QDI917442 QNE917236:QNE917442 QXA917236:QXA917442 RGW917236:RGW917442 RQS917236:RQS917442 SAO917236:SAO917442 SKK917236:SKK917442 SUG917236:SUG917442 TEC917236:TEC917442 TNY917236:TNY917442 TXU917236:TXU917442 UHQ917236:UHQ917442 URM917236:URM917442 VBI917236:VBI917442 VLE917236:VLE917442 VVA917236:VVA917442 WEW917236:WEW917442 WOS917236:WOS917442 WYO917236:WYO917442 CJ982772:CK982978 MC982772:MC982978 VY982772:VY982978 AFU982772:AFU982978 APQ982772:APQ982978 AZM982772:AZM982978 BJI982772:BJI982978 BTE982772:BTE982978 CDA982772:CDA982978 CMW982772:CMW982978 CWS982772:CWS982978 DGO982772:DGO982978 DQK982772:DQK982978 EAG982772:EAG982978 EKC982772:EKC982978 ETY982772:ETY982978 FDU982772:FDU982978 FNQ982772:FNQ982978 FXM982772:FXM982978 GHI982772:GHI982978 GRE982772:GRE982978 HBA982772:HBA982978 HKW982772:HKW982978 HUS982772:HUS982978 IEO982772:IEO982978 IOK982772:IOK982978 IYG982772:IYG982978 JIC982772:JIC982978 JRY982772:JRY982978 KBU982772:KBU982978 KLQ982772:KLQ982978 KVM982772:KVM982978 LFI982772:LFI982978 LPE982772:LPE982978 LZA982772:LZA982978 MIW982772:MIW982978 MSS982772:MSS982978 NCO982772:NCO982978 NMK982772:NMK982978 NWG982772:NWG982978 OGC982772:OGC982978 OPY982772:OPY982978 OZU982772:OZU982978 PJQ982772:PJQ982978 PTM982772:PTM982978 QDI982772:QDI982978 QNE982772:QNE982978 QXA982772:QXA982978 RGW982772:RGW982978 RQS982772:RQS982978 SAO982772:SAO982978 SKK982772:SKK982978 SUG982772:SUG982978 TEC982772:TEC982978 TNY982772:TNY982978 TXU982772:TXU982978 UHQ982772:UHQ982978 URM982772:URM982978 VBI982772:VBI982978 VLE982772:VLE982978 VVA982772:VVA982978 WEW982772:WEW982978 WOS982772:WOS982978 WYO982772:WYO982978 LI65268:LI65474 VE65268:VE65474 AFA65268:AFA65474 AOW65268:AOW65474 AYS65268:AYS65474 BIO65268:BIO65474 BSK65268:BSK65474 CCG65268:CCG65474 CMC65268:CMC65474 CVY65268:CVY65474 DFU65268:DFU65474 DPQ65268:DPQ65474 DZM65268:DZM65474 EJI65268:EJI65474 ETE65268:ETE65474 FDA65268:FDA65474 FMW65268:FMW65474 FWS65268:FWS65474 GGO65268:GGO65474 GQK65268:GQK65474 HAG65268:HAG65474 HKC65268:HKC65474 HTY65268:HTY65474 IDU65268:IDU65474 INQ65268:INQ65474 IXM65268:IXM65474 JHI65268:JHI65474 JRE65268:JRE65474 KBA65268:KBA65474 KKW65268:KKW65474 KUS65268:KUS65474 LEO65268:LEO65474 LOK65268:LOK65474 LYG65268:LYG65474 MIC65268:MIC65474 MRY65268:MRY65474 NBU65268:NBU65474 NLQ65268:NLQ65474 NVM65268:NVM65474 OFI65268:OFI65474 OPE65268:OPE65474 OZA65268:OZA65474 PIW65268:PIW65474 PSS65268:PSS65474 QCO65268:QCO65474 QMK65268:QMK65474 QWG65268:QWG65474 RGC65268:RGC65474 RPY65268:RPY65474 RZU65268:RZU65474 SJQ65268:SJQ65474 STM65268:STM65474 TDI65268:TDI65474 TNE65268:TNE65474 TXA65268:TXA65474 UGW65268:UGW65474 UQS65268:UQS65474 VAO65268:VAO65474 VKK65268:VKK65474 VUG65268:VUG65474 WEC65268:WEC65474 WNY65268:WNY65474 WXU65268:WXU65474 LI130804:LI131010 VE130804:VE131010 AFA130804:AFA131010 AOW130804:AOW131010 AYS130804:AYS131010 BIO130804:BIO131010 BSK130804:BSK131010 CCG130804:CCG131010 CMC130804:CMC131010 CVY130804:CVY131010 DFU130804:DFU131010 DPQ130804:DPQ131010 DZM130804:DZM131010 EJI130804:EJI131010 ETE130804:ETE131010 FDA130804:FDA131010 FMW130804:FMW131010 FWS130804:FWS131010 GGO130804:GGO131010 GQK130804:GQK131010 HAG130804:HAG131010 HKC130804:HKC131010 HTY130804:HTY131010 IDU130804:IDU131010 INQ130804:INQ131010 IXM130804:IXM131010 JHI130804:JHI131010 JRE130804:JRE131010 KBA130804:KBA131010 KKW130804:KKW131010 KUS130804:KUS131010 LEO130804:LEO131010 LOK130804:LOK131010 LYG130804:LYG131010 MIC130804:MIC131010 MRY130804:MRY131010 NBU130804:NBU131010 NLQ130804:NLQ131010 NVM130804:NVM131010 OFI130804:OFI131010 OPE130804:OPE131010 OZA130804:OZA131010 PIW130804:PIW131010 PSS130804:PSS131010 QCO130804:QCO131010 QMK130804:QMK131010 QWG130804:QWG131010 RGC130804:RGC131010 RPY130804:RPY131010 RZU130804:RZU131010 SJQ130804:SJQ131010 STM130804:STM131010 TDI130804:TDI131010 TNE130804:TNE131010 TXA130804:TXA131010 UGW130804:UGW131010 UQS130804:UQS131010 VAO130804:VAO131010 VKK130804:VKK131010 VUG130804:VUG131010 WEC130804:WEC131010 WNY130804:WNY131010 WXU130804:WXU131010 LI196340:LI196546 VE196340:VE196546 AFA196340:AFA196546 AOW196340:AOW196546 AYS196340:AYS196546 BIO196340:BIO196546 BSK196340:BSK196546 CCG196340:CCG196546 CMC196340:CMC196546 CVY196340:CVY196546 DFU196340:DFU196546 DPQ196340:DPQ196546 DZM196340:DZM196546 EJI196340:EJI196546 ETE196340:ETE196546 FDA196340:FDA196546 FMW196340:FMW196546 FWS196340:FWS196546 GGO196340:GGO196546 GQK196340:GQK196546 HAG196340:HAG196546 HKC196340:HKC196546 HTY196340:HTY196546 IDU196340:IDU196546 INQ196340:INQ196546 IXM196340:IXM196546 JHI196340:JHI196546 JRE196340:JRE196546 KBA196340:KBA196546 KKW196340:KKW196546 KUS196340:KUS196546 LEO196340:LEO196546 LOK196340:LOK196546 LYG196340:LYG196546 MIC196340:MIC196546 MRY196340:MRY196546 NBU196340:NBU196546 NLQ196340:NLQ196546 NVM196340:NVM196546 OFI196340:OFI196546 OPE196340:OPE196546 OZA196340:OZA196546 PIW196340:PIW196546 PSS196340:PSS196546 QCO196340:QCO196546 QMK196340:QMK196546 QWG196340:QWG196546 RGC196340:RGC196546 RPY196340:RPY196546 RZU196340:RZU196546 SJQ196340:SJQ196546 STM196340:STM196546 TDI196340:TDI196546 TNE196340:TNE196546 TXA196340:TXA196546 UGW196340:UGW196546 UQS196340:UQS196546 VAO196340:VAO196546 VKK196340:VKK196546 VUG196340:VUG196546 WEC196340:WEC196546 WNY196340:WNY196546 WXU196340:WXU196546 LI261876:LI262082 VE261876:VE262082 AFA261876:AFA262082 AOW261876:AOW262082 AYS261876:AYS262082 BIO261876:BIO262082 BSK261876:BSK262082 CCG261876:CCG262082 CMC261876:CMC262082 CVY261876:CVY262082 DFU261876:DFU262082 DPQ261876:DPQ262082 DZM261876:DZM262082 EJI261876:EJI262082 ETE261876:ETE262082 FDA261876:FDA262082 FMW261876:FMW262082 FWS261876:FWS262082 GGO261876:GGO262082 GQK261876:GQK262082 HAG261876:HAG262082 HKC261876:HKC262082 HTY261876:HTY262082 IDU261876:IDU262082 INQ261876:INQ262082 IXM261876:IXM262082 JHI261876:JHI262082 JRE261876:JRE262082 KBA261876:KBA262082 KKW261876:KKW262082 KUS261876:KUS262082 LEO261876:LEO262082 LOK261876:LOK262082 LYG261876:LYG262082 MIC261876:MIC262082 MRY261876:MRY262082 NBU261876:NBU262082 NLQ261876:NLQ262082 NVM261876:NVM262082 OFI261876:OFI262082 OPE261876:OPE262082 OZA261876:OZA262082 PIW261876:PIW262082 PSS261876:PSS262082 QCO261876:QCO262082 QMK261876:QMK262082 QWG261876:QWG262082 RGC261876:RGC262082 RPY261876:RPY262082 RZU261876:RZU262082 SJQ261876:SJQ262082 STM261876:STM262082 TDI261876:TDI262082 TNE261876:TNE262082 TXA261876:TXA262082 UGW261876:UGW262082 UQS261876:UQS262082 VAO261876:VAO262082 VKK261876:VKK262082 VUG261876:VUG262082 WEC261876:WEC262082 WNY261876:WNY262082 WXU261876:WXU262082 LI327412:LI327618 VE327412:VE327618 AFA327412:AFA327618 AOW327412:AOW327618 AYS327412:AYS327618 BIO327412:BIO327618 BSK327412:BSK327618 CCG327412:CCG327618 CMC327412:CMC327618 CVY327412:CVY327618 DFU327412:DFU327618 DPQ327412:DPQ327618 DZM327412:DZM327618 EJI327412:EJI327618 ETE327412:ETE327618 FDA327412:FDA327618 FMW327412:FMW327618 FWS327412:FWS327618 GGO327412:GGO327618 GQK327412:GQK327618 HAG327412:HAG327618 HKC327412:HKC327618 HTY327412:HTY327618 IDU327412:IDU327618 INQ327412:INQ327618 IXM327412:IXM327618 JHI327412:JHI327618 JRE327412:JRE327618 KBA327412:KBA327618 KKW327412:KKW327618 KUS327412:KUS327618 LEO327412:LEO327618 LOK327412:LOK327618 LYG327412:LYG327618 MIC327412:MIC327618 MRY327412:MRY327618 NBU327412:NBU327618 NLQ327412:NLQ327618 NVM327412:NVM327618 OFI327412:OFI327618 OPE327412:OPE327618 OZA327412:OZA327618 PIW327412:PIW327618 PSS327412:PSS327618 QCO327412:QCO327618 QMK327412:QMK327618 QWG327412:QWG327618 RGC327412:RGC327618 RPY327412:RPY327618 RZU327412:RZU327618 SJQ327412:SJQ327618 STM327412:STM327618 TDI327412:TDI327618 TNE327412:TNE327618 TXA327412:TXA327618 UGW327412:UGW327618 UQS327412:UQS327618 VAO327412:VAO327618 VKK327412:VKK327618 VUG327412:VUG327618 WEC327412:WEC327618 WNY327412:WNY327618 WXU327412:WXU327618 LI392948:LI393154 VE392948:VE393154 AFA392948:AFA393154 AOW392948:AOW393154 AYS392948:AYS393154 BIO392948:BIO393154 BSK392948:BSK393154 CCG392948:CCG393154 CMC392948:CMC393154 CVY392948:CVY393154 DFU392948:DFU393154 DPQ392948:DPQ393154 DZM392948:DZM393154 EJI392948:EJI393154 ETE392948:ETE393154 FDA392948:FDA393154 FMW392948:FMW393154 FWS392948:FWS393154 GGO392948:GGO393154 GQK392948:GQK393154 HAG392948:HAG393154 HKC392948:HKC393154 HTY392948:HTY393154 IDU392948:IDU393154 INQ392948:INQ393154 IXM392948:IXM393154 JHI392948:JHI393154 JRE392948:JRE393154 KBA392948:KBA393154 KKW392948:KKW393154 KUS392948:KUS393154 LEO392948:LEO393154 LOK392948:LOK393154 LYG392948:LYG393154 MIC392948:MIC393154 MRY392948:MRY393154 NBU392948:NBU393154 NLQ392948:NLQ393154 NVM392948:NVM393154 OFI392948:OFI393154 OPE392948:OPE393154 OZA392948:OZA393154 PIW392948:PIW393154 PSS392948:PSS393154 QCO392948:QCO393154 QMK392948:QMK393154 QWG392948:QWG393154 RGC392948:RGC393154 RPY392948:RPY393154 RZU392948:RZU393154 SJQ392948:SJQ393154 STM392948:STM393154 TDI392948:TDI393154 TNE392948:TNE393154 TXA392948:TXA393154 UGW392948:UGW393154 UQS392948:UQS393154 VAO392948:VAO393154 VKK392948:VKK393154 VUG392948:VUG393154 WEC392948:WEC393154 WNY392948:WNY393154 WXU392948:WXU393154 LI458484:LI458690 VE458484:VE458690 AFA458484:AFA458690 AOW458484:AOW458690 AYS458484:AYS458690 BIO458484:BIO458690 BSK458484:BSK458690 CCG458484:CCG458690 CMC458484:CMC458690 CVY458484:CVY458690 DFU458484:DFU458690 DPQ458484:DPQ458690 DZM458484:DZM458690 EJI458484:EJI458690 ETE458484:ETE458690 FDA458484:FDA458690 FMW458484:FMW458690 FWS458484:FWS458690 GGO458484:GGO458690 GQK458484:GQK458690 HAG458484:HAG458690 HKC458484:HKC458690 HTY458484:HTY458690 IDU458484:IDU458690 INQ458484:INQ458690 IXM458484:IXM458690 JHI458484:JHI458690 JRE458484:JRE458690 KBA458484:KBA458690 KKW458484:KKW458690 KUS458484:KUS458690 LEO458484:LEO458690 LOK458484:LOK458690 LYG458484:LYG458690 MIC458484:MIC458690 MRY458484:MRY458690 NBU458484:NBU458690 NLQ458484:NLQ458690 NVM458484:NVM458690 OFI458484:OFI458690 OPE458484:OPE458690 OZA458484:OZA458690 PIW458484:PIW458690 PSS458484:PSS458690 QCO458484:QCO458690 QMK458484:QMK458690 QWG458484:QWG458690 RGC458484:RGC458690 RPY458484:RPY458690 RZU458484:RZU458690 SJQ458484:SJQ458690 STM458484:STM458690 TDI458484:TDI458690 TNE458484:TNE458690 TXA458484:TXA458690 UGW458484:UGW458690 UQS458484:UQS458690 VAO458484:VAO458690 VKK458484:VKK458690 VUG458484:VUG458690 WEC458484:WEC458690 WNY458484:WNY458690 WXU458484:WXU458690 LI524020:LI524226 VE524020:VE524226 AFA524020:AFA524226 AOW524020:AOW524226 AYS524020:AYS524226 BIO524020:BIO524226 BSK524020:BSK524226 CCG524020:CCG524226 CMC524020:CMC524226 CVY524020:CVY524226 DFU524020:DFU524226 DPQ524020:DPQ524226 DZM524020:DZM524226 EJI524020:EJI524226 ETE524020:ETE524226 FDA524020:FDA524226 FMW524020:FMW524226 FWS524020:FWS524226 GGO524020:GGO524226 GQK524020:GQK524226 HAG524020:HAG524226 HKC524020:HKC524226 HTY524020:HTY524226 IDU524020:IDU524226 INQ524020:INQ524226 IXM524020:IXM524226 JHI524020:JHI524226 JRE524020:JRE524226 KBA524020:KBA524226 KKW524020:KKW524226 KUS524020:KUS524226 LEO524020:LEO524226 LOK524020:LOK524226 LYG524020:LYG524226 MIC524020:MIC524226 MRY524020:MRY524226 NBU524020:NBU524226 NLQ524020:NLQ524226 NVM524020:NVM524226 OFI524020:OFI524226 OPE524020:OPE524226 OZA524020:OZA524226 PIW524020:PIW524226 PSS524020:PSS524226 QCO524020:QCO524226 QMK524020:QMK524226 QWG524020:QWG524226 RGC524020:RGC524226 RPY524020:RPY524226 RZU524020:RZU524226 SJQ524020:SJQ524226 STM524020:STM524226 TDI524020:TDI524226 TNE524020:TNE524226 TXA524020:TXA524226 UGW524020:UGW524226 UQS524020:UQS524226 VAO524020:VAO524226 VKK524020:VKK524226 VUG524020:VUG524226 WEC524020:WEC524226 WNY524020:WNY524226 WXU524020:WXU524226 LI589556:LI589762 VE589556:VE589762 AFA589556:AFA589762 AOW589556:AOW589762 AYS589556:AYS589762 BIO589556:BIO589762 BSK589556:BSK589762 CCG589556:CCG589762 CMC589556:CMC589762 CVY589556:CVY589762 DFU589556:DFU589762 DPQ589556:DPQ589762 DZM589556:DZM589762 EJI589556:EJI589762 ETE589556:ETE589762 FDA589556:FDA589762 FMW589556:FMW589762 FWS589556:FWS589762 GGO589556:GGO589762 GQK589556:GQK589762 HAG589556:HAG589762 HKC589556:HKC589762 HTY589556:HTY589762 IDU589556:IDU589762 INQ589556:INQ589762 IXM589556:IXM589762 JHI589556:JHI589762 JRE589556:JRE589762 KBA589556:KBA589762 KKW589556:KKW589762 KUS589556:KUS589762 LEO589556:LEO589762 LOK589556:LOK589762 LYG589556:LYG589762 MIC589556:MIC589762 MRY589556:MRY589762 NBU589556:NBU589762 NLQ589556:NLQ589762 NVM589556:NVM589762 OFI589556:OFI589762 OPE589556:OPE589762 OZA589556:OZA589762 PIW589556:PIW589762 PSS589556:PSS589762 QCO589556:QCO589762 QMK589556:QMK589762 QWG589556:QWG589762 RGC589556:RGC589762 RPY589556:RPY589762 RZU589556:RZU589762 SJQ589556:SJQ589762 STM589556:STM589762 TDI589556:TDI589762 TNE589556:TNE589762 TXA589556:TXA589762 UGW589556:UGW589762 UQS589556:UQS589762 VAO589556:VAO589762 VKK589556:VKK589762 VUG589556:VUG589762 WEC589556:WEC589762 WNY589556:WNY589762 WXU589556:WXU589762 LI655092:LI655298 VE655092:VE655298 AFA655092:AFA655298 AOW655092:AOW655298 AYS655092:AYS655298 BIO655092:BIO655298 BSK655092:BSK655298 CCG655092:CCG655298 CMC655092:CMC655298 CVY655092:CVY655298 DFU655092:DFU655298 DPQ655092:DPQ655298 DZM655092:DZM655298 EJI655092:EJI655298 ETE655092:ETE655298 FDA655092:FDA655298 FMW655092:FMW655298 FWS655092:FWS655298 GGO655092:GGO655298 GQK655092:GQK655298 HAG655092:HAG655298 HKC655092:HKC655298 HTY655092:HTY655298 IDU655092:IDU655298 INQ655092:INQ655298 IXM655092:IXM655298 JHI655092:JHI655298 JRE655092:JRE655298 KBA655092:KBA655298 KKW655092:KKW655298 KUS655092:KUS655298 LEO655092:LEO655298 LOK655092:LOK655298 LYG655092:LYG655298 MIC655092:MIC655298 MRY655092:MRY655298 NBU655092:NBU655298 NLQ655092:NLQ655298 NVM655092:NVM655298 OFI655092:OFI655298 OPE655092:OPE655298 OZA655092:OZA655298 PIW655092:PIW655298 PSS655092:PSS655298 QCO655092:QCO655298 QMK655092:QMK655298 QWG655092:QWG655298 RGC655092:RGC655298 RPY655092:RPY655298 RZU655092:RZU655298 SJQ655092:SJQ655298 STM655092:STM655298 TDI655092:TDI655298 TNE655092:TNE655298 TXA655092:TXA655298 UGW655092:UGW655298 UQS655092:UQS655298 VAO655092:VAO655298 VKK655092:VKK655298 VUG655092:VUG655298 WEC655092:WEC655298 WNY655092:WNY655298 WXU655092:WXU655298 LI720628:LI720834 VE720628:VE720834 AFA720628:AFA720834 AOW720628:AOW720834 AYS720628:AYS720834 BIO720628:BIO720834 BSK720628:BSK720834 CCG720628:CCG720834 CMC720628:CMC720834 CVY720628:CVY720834 DFU720628:DFU720834 DPQ720628:DPQ720834 DZM720628:DZM720834 EJI720628:EJI720834 ETE720628:ETE720834 FDA720628:FDA720834 FMW720628:FMW720834 FWS720628:FWS720834 GGO720628:GGO720834 GQK720628:GQK720834 HAG720628:HAG720834 HKC720628:HKC720834 HTY720628:HTY720834 IDU720628:IDU720834 INQ720628:INQ720834 IXM720628:IXM720834 JHI720628:JHI720834 JRE720628:JRE720834 KBA720628:KBA720834 KKW720628:KKW720834 KUS720628:KUS720834 LEO720628:LEO720834 LOK720628:LOK720834 LYG720628:LYG720834 MIC720628:MIC720834 MRY720628:MRY720834 NBU720628:NBU720834 NLQ720628:NLQ720834 NVM720628:NVM720834 OFI720628:OFI720834 OPE720628:OPE720834 OZA720628:OZA720834 PIW720628:PIW720834 PSS720628:PSS720834 QCO720628:QCO720834 QMK720628:QMK720834 QWG720628:QWG720834 RGC720628:RGC720834 RPY720628:RPY720834 RZU720628:RZU720834 SJQ720628:SJQ720834 STM720628:STM720834 TDI720628:TDI720834 TNE720628:TNE720834 TXA720628:TXA720834 UGW720628:UGW720834 UQS720628:UQS720834 VAO720628:VAO720834 VKK720628:VKK720834 VUG720628:VUG720834 WEC720628:WEC720834 WNY720628:WNY720834 WXU720628:WXU720834 LI786164:LI786370 VE786164:VE786370 AFA786164:AFA786370 AOW786164:AOW786370 AYS786164:AYS786370 BIO786164:BIO786370 BSK786164:BSK786370 CCG786164:CCG786370 CMC786164:CMC786370 CVY786164:CVY786370 DFU786164:DFU786370 DPQ786164:DPQ786370 DZM786164:DZM786370 EJI786164:EJI786370 ETE786164:ETE786370 FDA786164:FDA786370 FMW786164:FMW786370 FWS786164:FWS786370 GGO786164:GGO786370 GQK786164:GQK786370 HAG786164:HAG786370 HKC786164:HKC786370 HTY786164:HTY786370 IDU786164:IDU786370 INQ786164:INQ786370 IXM786164:IXM786370 JHI786164:JHI786370 JRE786164:JRE786370 KBA786164:KBA786370 KKW786164:KKW786370 KUS786164:KUS786370 LEO786164:LEO786370 LOK786164:LOK786370 LYG786164:LYG786370 MIC786164:MIC786370 MRY786164:MRY786370 NBU786164:NBU786370 NLQ786164:NLQ786370 NVM786164:NVM786370 OFI786164:OFI786370 OPE786164:OPE786370 OZA786164:OZA786370 PIW786164:PIW786370 PSS786164:PSS786370 QCO786164:QCO786370 QMK786164:QMK786370 QWG786164:QWG786370 RGC786164:RGC786370 RPY786164:RPY786370 RZU786164:RZU786370 SJQ786164:SJQ786370 STM786164:STM786370 TDI786164:TDI786370 TNE786164:TNE786370 TXA786164:TXA786370 UGW786164:UGW786370 UQS786164:UQS786370 VAO786164:VAO786370 VKK786164:VKK786370 VUG786164:VUG786370 WEC786164:WEC786370 WNY786164:WNY786370 WXU786164:WXU786370 LI851700:LI851906 VE851700:VE851906 AFA851700:AFA851906 AOW851700:AOW851906 AYS851700:AYS851906 BIO851700:BIO851906 BSK851700:BSK851906 CCG851700:CCG851906 CMC851700:CMC851906 CVY851700:CVY851906 DFU851700:DFU851906 DPQ851700:DPQ851906 DZM851700:DZM851906 EJI851700:EJI851906 ETE851700:ETE851906 FDA851700:FDA851906 FMW851700:FMW851906 FWS851700:FWS851906 GGO851700:GGO851906 GQK851700:GQK851906 HAG851700:HAG851906 HKC851700:HKC851906 HTY851700:HTY851906 IDU851700:IDU851906 INQ851700:INQ851906 IXM851700:IXM851906 JHI851700:JHI851906 JRE851700:JRE851906 KBA851700:KBA851906 KKW851700:KKW851906 KUS851700:KUS851906 LEO851700:LEO851906 LOK851700:LOK851906 LYG851700:LYG851906 MIC851700:MIC851906 MRY851700:MRY851906 NBU851700:NBU851906 NLQ851700:NLQ851906 NVM851700:NVM851906 OFI851700:OFI851906 OPE851700:OPE851906 OZA851700:OZA851906 PIW851700:PIW851906 PSS851700:PSS851906 QCO851700:QCO851906 QMK851700:QMK851906 QWG851700:QWG851906 RGC851700:RGC851906 RPY851700:RPY851906 RZU851700:RZU851906 SJQ851700:SJQ851906 STM851700:STM851906 TDI851700:TDI851906 TNE851700:TNE851906 TXA851700:TXA851906 UGW851700:UGW851906 UQS851700:UQS851906 VAO851700:VAO851906 VKK851700:VKK851906 VUG851700:VUG851906 WEC851700:WEC851906 WNY851700:WNY851906 WXU851700:WXU851906 LI917236:LI917442 VE917236:VE917442 AFA917236:AFA917442 AOW917236:AOW917442 AYS917236:AYS917442 BIO917236:BIO917442 BSK917236:BSK917442 CCG917236:CCG917442 CMC917236:CMC917442 CVY917236:CVY917442 DFU917236:DFU917442 DPQ917236:DPQ917442 DZM917236:DZM917442 EJI917236:EJI917442 ETE917236:ETE917442 FDA917236:FDA917442 FMW917236:FMW917442 FWS917236:FWS917442 GGO917236:GGO917442 GQK917236:GQK917442 HAG917236:HAG917442 HKC917236:HKC917442 HTY917236:HTY917442 IDU917236:IDU917442 INQ917236:INQ917442 IXM917236:IXM917442 JHI917236:JHI917442 JRE917236:JRE917442 KBA917236:KBA917442 KKW917236:KKW917442 KUS917236:KUS917442 LEO917236:LEO917442 LOK917236:LOK917442 LYG917236:LYG917442 MIC917236:MIC917442 MRY917236:MRY917442 NBU917236:NBU917442 NLQ917236:NLQ917442 NVM917236:NVM917442 OFI917236:OFI917442 OPE917236:OPE917442 OZA917236:OZA917442 PIW917236:PIW917442 PSS917236:PSS917442 QCO917236:QCO917442 QMK917236:QMK917442 QWG917236:QWG917442 RGC917236:RGC917442 RPY917236:RPY917442 RZU917236:RZU917442 SJQ917236:SJQ917442 STM917236:STM917442 TDI917236:TDI917442 TNE917236:TNE917442 TXA917236:TXA917442 UGW917236:UGW917442 UQS917236:UQS917442 VAO917236:VAO917442 VKK917236:VKK917442 VUG917236:VUG917442 WEC917236:WEC917442 WNY917236:WNY917442 WXU917236:WXU917442 LI982772:LI982978 VE982772:VE982978 AFA982772:AFA982978 AOW982772:AOW982978 AYS982772:AYS982978 BIO982772:BIO982978 BSK982772:BSK982978 CCG982772:CCG982978 CMC982772:CMC982978 CVY982772:CVY982978 DFU982772:DFU982978 DPQ982772:DPQ982978 DZM982772:DZM982978 EJI982772:EJI982978 ETE982772:ETE982978 FDA982772:FDA982978 FMW982772:FMW982978 FWS982772:FWS982978 GGO982772:GGO982978 GQK982772:GQK982978 HAG982772:HAG982978 HKC982772:HKC982978 HTY982772:HTY982978 IDU982772:IDU982978 INQ982772:INQ982978 IXM982772:IXM982978 JHI982772:JHI982978 JRE982772:JRE982978 KBA982772:KBA982978 KKW982772:KKW982978 KUS982772:KUS982978 LEO982772:LEO982978 LOK982772:LOK982978 LYG982772:LYG982978 MIC982772:MIC982978 MRY982772:MRY982978 NBU982772:NBU982978 NLQ982772:NLQ982978 NVM982772:NVM982978 OFI982772:OFI982978 OPE982772:OPE982978 OZA982772:OZA982978 PIW982772:PIW982978 PSS982772:PSS982978 QCO982772:QCO982978 QMK982772:QMK982978 QWG982772:QWG982978 RGC982772:RGC982978 RPY982772:RPY982978 RZU982772:RZU982978 SJQ982772:SJQ982978 STM982772:STM982978 TDI982772:TDI982978 TNE982772:TNE982978 TXA982772:TXA982978 UGW982772:UGW982978 UQS982772:UQS982978 VAO982772:VAO982978 VKK982772:VKK982978 VUG982772:VUG982978 WEC982772:WEC982978 WNY982772:WNY982978 WXU982772:WXU982978 BR65268:BS65474 LN65268:LN65474 VJ65268:VJ65474 AFF65268:AFF65474 APB65268:APB65474 AYX65268:AYX65474 BIT65268:BIT65474 BSP65268:BSP65474 CCL65268:CCL65474 CMH65268:CMH65474 CWD65268:CWD65474 DFZ65268:DFZ65474 DPV65268:DPV65474 DZR65268:DZR65474 EJN65268:EJN65474 ETJ65268:ETJ65474 FDF65268:FDF65474 FNB65268:FNB65474 FWX65268:FWX65474 GGT65268:GGT65474 GQP65268:GQP65474 HAL65268:HAL65474 HKH65268:HKH65474 HUD65268:HUD65474 IDZ65268:IDZ65474 INV65268:INV65474 IXR65268:IXR65474 JHN65268:JHN65474 JRJ65268:JRJ65474 KBF65268:KBF65474 KLB65268:KLB65474 KUX65268:KUX65474 LET65268:LET65474 LOP65268:LOP65474 LYL65268:LYL65474 MIH65268:MIH65474 MSD65268:MSD65474 NBZ65268:NBZ65474 NLV65268:NLV65474 NVR65268:NVR65474 OFN65268:OFN65474 OPJ65268:OPJ65474 OZF65268:OZF65474 PJB65268:PJB65474 PSX65268:PSX65474 QCT65268:QCT65474 QMP65268:QMP65474 QWL65268:QWL65474 RGH65268:RGH65474 RQD65268:RQD65474 RZZ65268:RZZ65474 SJV65268:SJV65474 STR65268:STR65474 TDN65268:TDN65474 TNJ65268:TNJ65474 TXF65268:TXF65474 UHB65268:UHB65474 UQX65268:UQX65474 VAT65268:VAT65474 VKP65268:VKP65474 VUL65268:VUL65474 WEH65268:WEH65474 WOD65268:WOD65474 WXZ65268:WXZ65474 BR130804:BS131010 LN130804:LN131010 VJ130804:VJ131010 AFF130804:AFF131010 APB130804:APB131010 AYX130804:AYX131010 BIT130804:BIT131010 BSP130804:BSP131010 CCL130804:CCL131010 CMH130804:CMH131010 CWD130804:CWD131010 DFZ130804:DFZ131010 DPV130804:DPV131010 DZR130804:DZR131010 EJN130804:EJN131010 ETJ130804:ETJ131010 FDF130804:FDF131010 FNB130804:FNB131010 FWX130804:FWX131010 GGT130804:GGT131010 GQP130804:GQP131010 HAL130804:HAL131010 HKH130804:HKH131010 HUD130804:HUD131010 IDZ130804:IDZ131010 INV130804:INV131010 IXR130804:IXR131010 JHN130804:JHN131010 JRJ130804:JRJ131010 KBF130804:KBF131010 KLB130804:KLB131010 KUX130804:KUX131010 LET130804:LET131010 LOP130804:LOP131010 LYL130804:LYL131010 MIH130804:MIH131010 MSD130804:MSD131010 NBZ130804:NBZ131010 NLV130804:NLV131010 NVR130804:NVR131010 OFN130804:OFN131010 OPJ130804:OPJ131010 OZF130804:OZF131010 PJB130804:PJB131010 PSX130804:PSX131010 QCT130804:QCT131010 QMP130804:QMP131010 QWL130804:QWL131010 RGH130804:RGH131010 RQD130804:RQD131010 RZZ130804:RZZ131010 SJV130804:SJV131010 STR130804:STR131010 TDN130804:TDN131010 TNJ130804:TNJ131010 TXF130804:TXF131010 UHB130804:UHB131010 UQX130804:UQX131010 VAT130804:VAT131010 VKP130804:VKP131010 VUL130804:VUL131010 WEH130804:WEH131010 WOD130804:WOD131010 WXZ130804:WXZ131010 BR196340:BS196546 LN196340:LN196546 VJ196340:VJ196546 AFF196340:AFF196546 APB196340:APB196546 AYX196340:AYX196546 BIT196340:BIT196546 BSP196340:BSP196546 CCL196340:CCL196546 CMH196340:CMH196546 CWD196340:CWD196546 DFZ196340:DFZ196546 DPV196340:DPV196546 DZR196340:DZR196546 EJN196340:EJN196546 ETJ196340:ETJ196546 FDF196340:FDF196546 FNB196340:FNB196546 FWX196340:FWX196546 GGT196340:GGT196546 GQP196340:GQP196546 HAL196340:HAL196546 HKH196340:HKH196546 HUD196340:HUD196546 IDZ196340:IDZ196546 INV196340:INV196546 IXR196340:IXR196546 JHN196340:JHN196546 JRJ196340:JRJ196546 KBF196340:KBF196546 KLB196340:KLB196546 KUX196340:KUX196546 LET196340:LET196546 LOP196340:LOP196546 LYL196340:LYL196546 MIH196340:MIH196546 MSD196340:MSD196546 NBZ196340:NBZ196546 NLV196340:NLV196546 NVR196340:NVR196546 OFN196340:OFN196546 OPJ196340:OPJ196546 OZF196340:OZF196546 PJB196340:PJB196546 PSX196340:PSX196546 QCT196340:QCT196546 QMP196340:QMP196546 QWL196340:QWL196546 RGH196340:RGH196546 RQD196340:RQD196546 RZZ196340:RZZ196546 SJV196340:SJV196546 STR196340:STR196546 TDN196340:TDN196546 TNJ196340:TNJ196546 TXF196340:TXF196546 UHB196340:UHB196546 UQX196340:UQX196546 VAT196340:VAT196546 VKP196340:VKP196546 VUL196340:VUL196546 WEH196340:WEH196546 WOD196340:WOD196546 WXZ196340:WXZ196546 BR261876:BS262082 LN261876:LN262082 VJ261876:VJ262082 AFF261876:AFF262082 APB261876:APB262082 AYX261876:AYX262082 BIT261876:BIT262082 BSP261876:BSP262082 CCL261876:CCL262082 CMH261876:CMH262082 CWD261876:CWD262082 DFZ261876:DFZ262082 DPV261876:DPV262082 DZR261876:DZR262082 EJN261876:EJN262082 ETJ261876:ETJ262082 FDF261876:FDF262082 FNB261876:FNB262082 FWX261876:FWX262082 GGT261876:GGT262082 GQP261876:GQP262082 HAL261876:HAL262082 HKH261876:HKH262082 HUD261876:HUD262082 IDZ261876:IDZ262082 INV261876:INV262082 IXR261876:IXR262082 JHN261876:JHN262082 JRJ261876:JRJ262082 KBF261876:KBF262082 KLB261876:KLB262082 KUX261876:KUX262082 LET261876:LET262082 LOP261876:LOP262082 LYL261876:LYL262082 MIH261876:MIH262082 MSD261876:MSD262082 NBZ261876:NBZ262082 NLV261876:NLV262082 NVR261876:NVR262082 OFN261876:OFN262082 OPJ261876:OPJ262082 OZF261876:OZF262082 PJB261876:PJB262082 PSX261876:PSX262082 QCT261876:QCT262082 QMP261876:QMP262082 QWL261876:QWL262082 RGH261876:RGH262082 RQD261876:RQD262082 RZZ261876:RZZ262082 SJV261876:SJV262082 STR261876:STR262082 TDN261876:TDN262082 TNJ261876:TNJ262082 TXF261876:TXF262082 UHB261876:UHB262082 UQX261876:UQX262082 VAT261876:VAT262082 VKP261876:VKP262082 VUL261876:VUL262082 WEH261876:WEH262082 WOD261876:WOD262082 WXZ261876:WXZ262082 BR327412:BS327618 LN327412:LN327618 VJ327412:VJ327618 AFF327412:AFF327618 APB327412:APB327618 AYX327412:AYX327618 BIT327412:BIT327618 BSP327412:BSP327618 CCL327412:CCL327618 CMH327412:CMH327618 CWD327412:CWD327618 DFZ327412:DFZ327618 DPV327412:DPV327618 DZR327412:DZR327618 EJN327412:EJN327618 ETJ327412:ETJ327618 FDF327412:FDF327618 FNB327412:FNB327618 FWX327412:FWX327618 GGT327412:GGT327618 GQP327412:GQP327618 HAL327412:HAL327618 HKH327412:HKH327618 HUD327412:HUD327618 IDZ327412:IDZ327618 INV327412:INV327618 IXR327412:IXR327618 JHN327412:JHN327618 JRJ327412:JRJ327618 KBF327412:KBF327618 KLB327412:KLB327618 KUX327412:KUX327618 LET327412:LET327618 LOP327412:LOP327618 LYL327412:LYL327618 MIH327412:MIH327618 MSD327412:MSD327618 NBZ327412:NBZ327618 NLV327412:NLV327618 NVR327412:NVR327618 OFN327412:OFN327618 OPJ327412:OPJ327618 OZF327412:OZF327618 PJB327412:PJB327618 PSX327412:PSX327618 QCT327412:QCT327618 QMP327412:QMP327618 QWL327412:QWL327618 RGH327412:RGH327618 RQD327412:RQD327618 RZZ327412:RZZ327618 SJV327412:SJV327618 STR327412:STR327618 TDN327412:TDN327618 TNJ327412:TNJ327618 TXF327412:TXF327618 UHB327412:UHB327618 UQX327412:UQX327618 VAT327412:VAT327618 VKP327412:VKP327618 VUL327412:VUL327618 WEH327412:WEH327618 WOD327412:WOD327618 WXZ327412:WXZ327618 BR392948:BS393154 LN392948:LN393154 VJ392948:VJ393154 AFF392948:AFF393154 APB392948:APB393154 AYX392948:AYX393154 BIT392948:BIT393154 BSP392948:BSP393154 CCL392948:CCL393154 CMH392948:CMH393154 CWD392948:CWD393154 DFZ392948:DFZ393154 DPV392948:DPV393154 DZR392948:DZR393154 EJN392948:EJN393154 ETJ392948:ETJ393154 FDF392948:FDF393154 FNB392948:FNB393154 FWX392948:FWX393154 GGT392948:GGT393154 GQP392948:GQP393154 HAL392948:HAL393154 HKH392948:HKH393154 HUD392948:HUD393154 IDZ392948:IDZ393154 INV392948:INV393154 IXR392948:IXR393154 JHN392948:JHN393154 JRJ392948:JRJ393154 KBF392948:KBF393154 KLB392948:KLB393154 KUX392948:KUX393154 LET392948:LET393154 LOP392948:LOP393154 LYL392948:LYL393154 MIH392948:MIH393154 MSD392948:MSD393154 NBZ392948:NBZ393154 NLV392948:NLV393154 NVR392948:NVR393154 OFN392948:OFN393154 OPJ392948:OPJ393154 OZF392948:OZF393154 PJB392948:PJB393154 PSX392948:PSX393154 QCT392948:QCT393154 QMP392948:QMP393154 QWL392948:QWL393154 RGH392948:RGH393154 RQD392948:RQD393154 RZZ392948:RZZ393154 SJV392948:SJV393154 STR392948:STR393154 TDN392948:TDN393154 TNJ392948:TNJ393154 TXF392948:TXF393154 UHB392948:UHB393154 UQX392948:UQX393154 VAT392948:VAT393154 VKP392948:VKP393154 VUL392948:VUL393154 WEH392948:WEH393154 WOD392948:WOD393154 WXZ392948:WXZ393154 BR458484:BS458690 LN458484:LN458690 VJ458484:VJ458690 AFF458484:AFF458690 APB458484:APB458690 AYX458484:AYX458690 BIT458484:BIT458690 BSP458484:BSP458690 CCL458484:CCL458690 CMH458484:CMH458690 CWD458484:CWD458690 DFZ458484:DFZ458690 DPV458484:DPV458690 DZR458484:DZR458690 EJN458484:EJN458690 ETJ458484:ETJ458690 FDF458484:FDF458690 FNB458484:FNB458690 FWX458484:FWX458690 GGT458484:GGT458690 GQP458484:GQP458690 HAL458484:HAL458690 HKH458484:HKH458690 HUD458484:HUD458690 IDZ458484:IDZ458690 INV458484:INV458690 IXR458484:IXR458690 JHN458484:JHN458690 JRJ458484:JRJ458690 KBF458484:KBF458690 KLB458484:KLB458690 KUX458484:KUX458690 LET458484:LET458690 LOP458484:LOP458690 LYL458484:LYL458690 MIH458484:MIH458690 MSD458484:MSD458690 NBZ458484:NBZ458690 NLV458484:NLV458690 NVR458484:NVR458690 OFN458484:OFN458690 OPJ458484:OPJ458690 OZF458484:OZF458690 PJB458484:PJB458690 PSX458484:PSX458690 QCT458484:QCT458690 QMP458484:QMP458690 QWL458484:QWL458690 RGH458484:RGH458690 RQD458484:RQD458690 RZZ458484:RZZ458690 SJV458484:SJV458690 STR458484:STR458690 TDN458484:TDN458690 TNJ458484:TNJ458690 TXF458484:TXF458690 UHB458484:UHB458690 UQX458484:UQX458690 VAT458484:VAT458690 VKP458484:VKP458690 VUL458484:VUL458690 WEH458484:WEH458690 WOD458484:WOD458690 WXZ458484:WXZ458690 BR524020:BS524226 LN524020:LN524226 VJ524020:VJ524226 AFF524020:AFF524226 APB524020:APB524226 AYX524020:AYX524226 BIT524020:BIT524226 BSP524020:BSP524226 CCL524020:CCL524226 CMH524020:CMH524226 CWD524020:CWD524226 DFZ524020:DFZ524226 DPV524020:DPV524226 DZR524020:DZR524226 EJN524020:EJN524226 ETJ524020:ETJ524226 FDF524020:FDF524226 FNB524020:FNB524226 FWX524020:FWX524226 GGT524020:GGT524226 GQP524020:GQP524226 HAL524020:HAL524226 HKH524020:HKH524226 HUD524020:HUD524226 IDZ524020:IDZ524226 INV524020:INV524226 IXR524020:IXR524226 JHN524020:JHN524226 JRJ524020:JRJ524226 KBF524020:KBF524226 KLB524020:KLB524226 KUX524020:KUX524226 LET524020:LET524226 LOP524020:LOP524226 LYL524020:LYL524226 MIH524020:MIH524226 MSD524020:MSD524226 NBZ524020:NBZ524226 NLV524020:NLV524226 NVR524020:NVR524226 OFN524020:OFN524226 OPJ524020:OPJ524226 OZF524020:OZF524226 PJB524020:PJB524226 PSX524020:PSX524226 QCT524020:QCT524226 QMP524020:QMP524226 QWL524020:QWL524226 RGH524020:RGH524226 RQD524020:RQD524226 RZZ524020:RZZ524226 SJV524020:SJV524226 STR524020:STR524226 TDN524020:TDN524226 TNJ524020:TNJ524226 TXF524020:TXF524226 UHB524020:UHB524226 UQX524020:UQX524226 VAT524020:VAT524226 VKP524020:VKP524226 VUL524020:VUL524226 WEH524020:WEH524226 WOD524020:WOD524226 WXZ524020:WXZ524226 BR589556:BS589762 LN589556:LN589762 VJ589556:VJ589762 AFF589556:AFF589762 APB589556:APB589762 AYX589556:AYX589762 BIT589556:BIT589762 BSP589556:BSP589762 CCL589556:CCL589762 CMH589556:CMH589762 CWD589556:CWD589762 DFZ589556:DFZ589762 DPV589556:DPV589762 DZR589556:DZR589762 EJN589556:EJN589762 ETJ589556:ETJ589762 FDF589556:FDF589762 FNB589556:FNB589762 FWX589556:FWX589762 GGT589556:GGT589762 GQP589556:GQP589762 HAL589556:HAL589762 HKH589556:HKH589762 HUD589556:HUD589762 IDZ589556:IDZ589762 INV589556:INV589762 IXR589556:IXR589762 JHN589556:JHN589762 JRJ589556:JRJ589762 KBF589556:KBF589762 KLB589556:KLB589762 KUX589556:KUX589762 LET589556:LET589762 LOP589556:LOP589762 LYL589556:LYL589762 MIH589556:MIH589762 MSD589556:MSD589762 NBZ589556:NBZ589762 NLV589556:NLV589762 NVR589556:NVR589762 OFN589556:OFN589762 OPJ589556:OPJ589762 OZF589556:OZF589762 PJB589556:PJB589762 PSX589556:PSX589762 QCT589556:QCT589762 QMP589556:QMP589762 QWL589556:QWL589762 RGH589556:RGH589762 RQD589556:RQD589762 RZZ589556:RZZ589762 SJV589556:SJV589762 STR589556:STR589762 TDN589556:TDN589762 TNJ589556:TNJ589762 TXF589556:TXF589762 UHB589556:UHB589762 UQX589556:UQX589762 VAT589556:VAT589762 VKP589556:VKP589762 VUL589556:VUL589762 WEH589556:WEH589762 WOD589556:WOD589762 WXZ589556:WXZ589762 BR655092:BS655298 LN655092:LN655298 VJ655092:VJ655298 AFF655092:AFF655298 APB655092:APB655298 AYX655092:AYX655298 BIT655092:BIT655298 BSP655092:BSP655298 CCL655092:CCL655298 CMH655092:CMH655298 CWD655092:CWD655298 DFZ655092:DFZ655298 DPV655092:DPV655298 DZR655092:DZR655298 EJN655092:EJN655298 ETJ655092:ETJ655298 FDF655092:FDF655298 FNB655092:FNB655298 FWX655092:FWX655298 GGT655092:GGT655298 GQP655092:GQP655298 HAL655092:HAL655298 HKH655092:HKH655298 HUD655092:HUD655298 IDZ655092:IDZ655298 INV655092:INV655298 IXR655092:IXR655298 JHN655092:JHN655298 JRJ655092:JRJ655298 KBF655092:KBF655298 KLB655092:KLB655298 KUX655092:KUX655298 LET655092:LET655298 LOP655092:LOP655298 LYL655092:LYL655298 MIH655092:MIH655298 MSD655092:MSD655298 NBZ655092:NBZ655298 NLV655092:NLV655298 NVR655092:NVR655298 OFN655092:OFN655298 OPJ655092:OPJ655298 OZF655092:OZF655298 PJB655092:PJB655298 PSX655092:PSX655298 QCT655092:QCT655298 QMP655092:QMP655298 QWL655092:QWL655298 RGH655092:RGH655298 RQD655092:RQD655298 RZZ655092:RZZ655298 SJV655092:SJV655298 STR655092:STR655298 TDN655092:TDN655298 TNJ655092:TNJ655298 TXF655092:TXF655298 UHB655092:UHB655298 UQX655092:UQX655298 VAT655092:VAT655298 VKP655092:VKP655298 VUL655092:VUL655298 WEH655092:WEH655298 WOD655092:WOD655298 WXZ655092:WXZ655298 BR720628:BS720834 LN720628:LN720834 VJ720628:VJ720834 AFF720628:AFF720834 APB720628:APB720834 AYX720628:AYX720834 BIT720628:BIT720834 BSP720628:BSP720834 CCL720628:CCL720834 CMH720628:CMH720834 CWD720628:CWD720834 DFZ720628:DFZ720834 DPV720628:DPV720834 DZR720628:DZR720834 EJN720628:EJN720834 ETJ720628:ETJ720834 FDF720628:FDF720834 FNB720628:FNB720834 FWX720628:FWX720834 GGT720628:GGT720834 GQP720628:GQP720834 HAL720628:HAL720834 HKH720628:HKH720834 HUD720628:HUD720834 IDZ720628:IDZ720834 INV720628:INV720834 IXR720628:IXR720834 JHN720628:JHN720834 JRJ720628:JRJ720834 KBF720628:KBF720834 KLB720628:KLB720834 KUX720628:KUX720834 LET720628:LET720834 LOP720628:LOP720834 LYL720628:LYL720834 MIH720628:MIH720834 MSD720628:MSD720834 NBZ720628:NBZ720834 NLV720628:NLV720834 NVR720628:NVR720834 OFN720628:OFN720834 OPJ720628:OPJ720834 OZF720628:OZF720834 PJB720628:PJB720834 PSX720628:PSX720834 QCT720628:QCT720834 QMP720628:QMP720834 QWL720628:QWL720834 RGH720628:RGH720834 RQD720628:RQD720834 RZZ720628:RZZ720834 SJV720628:SJV720834 STR720628:STR720834 TDN720628:TDN720834 TNJ720628:TNJ720834 TXF720628:TXF720834 UHB720628:UHB720834 UQX720628:UQX720834 VAT720628:VAT720834 VKP720628:VKP720834 VUL720628:VUL720834 WEH720628:WEH720834 WOD720628:WOD720834 WXZ720628:WXZ720834 BR786164:BS786370 LN786164:LN786370 VJ786164:VJ786370 AFF786164:AFF786370 APB786164:APB786370 AYX786164:AYX786370 BIT786164:BIT786370 BSP786164:BSP786370 CCL786164:CCL786370 CMH786164:CMH786370 CWD786164:CWD786370 DFZ786164:DFZ786370 DPV786164:DPV786370 DZR786164:DZR786370 EJN786164:EJN786370 ETJ786164:ETJ786370 FDF786164:FDF786370 FNB786164:FNB786370 FWX786164:FWX786370 GGT786164:GGT786370 GQP786164:GQP786370 HAL786164:HAL786370 HKH786164:HKH786370 HUD786164:HUD786370 IDZ786164:IDZ786370 INV786164:INV786370 IXR786164:IXR786370 JHN786164:JHN786370 JRJ786164:JRJ786370 KBF786164:KBF786370 KLB786164:KLB786370 KUX786164:KUX786370 LET786164:LET786370 LOP786164:LOP786370 LYL786164:LYL786370 MIH786164:MIH786370 MSD786164:MSD786370 NBZ786164:NBZ786370 NLV786164:NLV786370 NVR786164:NVR786370 OFN786164:OFN786370 OPJ786164:OPJ786370 OZF786164:OZF786370 PJB786164:PJB786370 PSX786164:PSX786370 QCT786164:QCT786370 QMP786164:QMP786370 QWL786164:QWL786370 RGH786164:RGH786370 RQD786164:RQD786370 RZZ786164:RZZ786370 SJV786164:SJV786370 STR786164:STR786370 TDN786164:TDN786370 TNJ786164:TNJ786370 TXF786164:TXF786370 UHB786164:UHB786370 UQX786164:UQX786370 VAT786164:VAT786370 VKP786164:VKP786370 VUL786164:VUL786370 WEH786164:WEH786370 WOD786164:WOD786370 WXZ786164:WXZ786370 BR851700:BS851906 LN851700:LN851906 VJ851700:VJ851906 AFF851700:AFF851906 APB851700:APB851906 AYX851700:AYX851906 BIT851700:BIT851906 BSP851700:BSP851906 CCL851700:CCL851906 CMH851700:CMH851906 CWD851700:CWD851906 DFZ851700:DFZ851906 DPV851700:DPV851906 DZR851700:DZR851906 EJN851700:EJN851906 ETJ851700:ETJ851906 FDF851700:FDF851906 FNB851700:FNB851906 FWX851700:FWX851906 GGT851700:GGT851906 GQP851700:GQP851906 HAL851700:HAL851906 HKH851700:HKH851906 HUD851700:HUD851906 IDZ851700:IDZ851906 INV851700:INV851906 IXR851700:IXR851906 JHN851700:JHN851906 JRJ851700:JRJ851906 KBF851700:KBF851906 KLB851700:KLB851906 KUX851700:KUX851906 LET851700:LET851906 LOP851700:LOP851906 LYL851700:LYL851906 MIH851700:MIH851906 MSD851700:MSD851906 NBZ851700:NBZ851906 NLV851700:NLV851906 NVR851700:NVR851906 OFN851700:OFN851906 OPJ851700:OPJ851906 OZF851700:OZF851906 PJB851700:PJB851906 PSX851700:PSX851906 QCT851700:QCT851906 QMP851700:QMP851906 QWL851700:QWL851906 RGH851700:RGH851906 RQD851700:RQD851906 RZZ851700:RZZ851906 SJV851700:SJV851906 STR851700:STR851906 TDN851700:TDN851906 TNJ851700:TNJ851906 TXF851700:TXF851906 UHB851700:UHB851906 UQX851700:UQX851906 VAT851700:VAT851906 VKP851700:VKP851906 VUL851700:VUL851906 WEH851700:WEH851906 WOD851700:WOD851906 WXZ851700:WXZ851906 BR917236:BS917442 LN917236:LN917442 VJ917236:VJ917442 AFF917236:AFF917442 APB917236:APB917442 AYX917236:AYX917442 BIT917236:BIT917442 BSP917236:BSP917442 CCL917236:CCL917442 CMH917236:CMH917442 CWD917236:CWD917442 DFZ917236:DFZ917442 DPV917236:DPV917442 DZR917236:DZR917442 EJN917236:EJN917442 ETJ917236:ETJ917442 FDF917236:FDF917442 FNB917236:FNB917442 FWX917236:FWX917442 GGT917236:GGT917442 GQP917236:GQP917442 HAL917236:HAL917442 HKH917236:HKH917442 HUD917236:HUD917442 IDZ917236:IDZ917442 INV917236:INV917442 IXR917236:IXR917442 JHN917236:JHN917442 JRJ917236:JRJ917442 KBF917236:KBF917442 KLB917236:KLB917442 KUX917236:KUX917442 LET917236:LET917442 LOP917236:LOP917442 LYL917236:LYL917442 MIH917236:MIH917442 MSD917236:MSD917442 NBZ917236:NBZ917442 NLV917236:NLV917442 NVR917236:NVR917442 OFN917236:OFN917442 OPJ917236:OPJ917442 OZF917236:OZF917442 PJB917236:PJB917442 PSX917236:PSX917442 QCT917236:QCT917442 QMP917236:QMP917442 QWL917236:QWL917442 RGH917236:RGH917442 RQD917236:RQD917442 RZZ917236:RZZ917442 SJV917236:SJV917442 STR917236:STR917442 TDN917236:TDN917442 TNJ917236:TNJ917442 TXF917236:TXF917442 UHB917236:UHB917442 UQX917236:UQX917442 VAT917236:VAT917442 VKP917236:VKP917442 VUL917236:VUL917442 WEH917236:WEH917442 WOD917236:WOD917442 WXZ917236:WXZ917442 BR982772:BS982978 LN982772:LN982978 VJ982772:VJ982978 AFF982772:AFF982978 APB982772:APB982978 AYX982772:AYX982978 BIT982772:BIT982978 BSP982772:BSP982978 CCL982772:CCL982978 CMH982772:CMH982978 CWD982772:CWD982978 DFZ982772:DFZ982978 DPV982772:DPV982978 DZR982772:DZR982978 EJN982772:EJN982978 ETJ982772:ETJ982978 FDF982772:FDF982978 FNB982772:FNB982978 FWX982772:FWX982978 GGT982772:GGT982978 GQP982772:GQP982978 HAL982772:HAL982978 HKH982772:HKH982978 HUD982772:HUD982978 IDZ982772:IDZ982978 INV982772:INV982978 IXR982772:IXR982978 JHN982772:JHN982978 JRJ982772:JRJ982978 KBF982772:KBF982978 KLB982772:KLB982978 KUX982772:KUX982978 LET982772:LET982978 LOP982772:LOP982978 LYL982772:LYL982978 MIH982772:MIH982978 MSD982772:MSD982978 NBZ982772:NBZ982978 NLV982772:NLV982978 NVR982772:NVR982978 OFN982772:OFN982978 OPJ982772:OPJ982978 OZF982772:OZF982978 PJB982772:PJB982978 PSX982772:PSX982978 QCT982772:QCT982978 QMP982772:QMP982978 QWL982772:QWL982978 RGH982772:RGH982978 RQD982772:RQD982978 RZZ982772:RZZ982978 SJV982772:SJV982978 STR982772:STR982978 TDN982772:TDN982978 TNJ982772:TNJ982978 TXF982772:TXF982978 UHB982772:UHB982978 UQX982772:UQX982978 VAT982772:VAT982978 VKP982772:VKP982978 VUL982772:VUL982978 WEH982772:WEH982978 WOD982772:WOD982978 WXZ982772:WXZ982978 BW65268:BW65474 LQ65268:LQ65474 VM65268:VM65474 AFI65268:AFI65474 APE65268:APE65474 AZA65268:AZA65474 BIW65268:BIW65474 BSS65268:BSS65474 CCO65268:CCO65474 CMK65268:CMK65474 CWG65268:CWG65474 DGC65268:DGC65474 DPY65268:DPY65474 DZU65268:DZU65474 EJQ65268:EJQ65474 ETM65268:ETM65474 FDI65268:FDI65474 FNE65268:FNE65474 FXA65268:FXA65474 GGW65268:GGW65474 GQS65268:GQS65474 HAO65268:HAO65474 HKK65268:HKK65474 HUG65268:HUG65474 IEC65268:IEC65474 INY65268:INY65474 IXU65268:IXU65474 JHQ65268:JHQ65474 JRM65268:JRM65474 KBI65268:KBI65474 KLE65268:KLE65474 KVA65268:KVA65474 LEW65268:LEW65474 LOS65268:LOS65474 LYO65268:LYO65474 MIK65268:MIK65474 MSG65268:MSG65474 NCC65268:NCC65474 NLY65268:NLY65474 NVU65268:NVU65474 OFQ65268:OFQ65474 OPM65268:OPM65474 OZI65268:OZI65474 PJE65268:PJE65474 PTA65268:PTA65474 QCW65268:QCW65474 QMS65268:QMS65474 QWO65268:QWO65474 RGK65268:RGK65474 RQG65268:RQG65474 SAC65268:SAC65474 SJY65268:SJY65474 STU65268:STU65474 TDQ65268:TDQ65474 TNM65268:TNM65474 TXI65268:TXI65474 UHE65268:UHE65474 URA65268:URA65474 VAW65268:VAW65474 VKS65268:VKS65474 VUO65268:VUO65474 WEK65268:WEK65474 WOG65268:WOG65474 WYC65268:WYC65474 BW130804:BW131010 LQ130804:LQ131010 VM130804:VM131010 AFI130804:AFI131010 APE130804:APE131010 AZA130804:AZA131010 BIW130804:BIW131010 BSS130804:BSS131010 CCO130804:CCO131010 CMK130804:CMK131010 CWG130804:CWG131010 DGC130804:DGC131010 DPY130804:DPY131010 DZU130804:DZU131010 EJQ130804:EJQ131010 ETM130804:ETM131010 FDI130804:FDI131010 FNE130804:FNE131010 FXA130804:FXA131010 GGW130804:GGW131010 GQS130804:GQS131010 HAO130804:HAO131010 HKK130804:HKK131010 HUG130804:HUG131010 IEC130804:IEC131010 INY130804:INY131010 IXU130804:IXU131010 JHQ130804:JHQ131010 JRM130804:JRM131010 KBI130804:KBI131010 KLE130804:KLE131010 KVA130804:KVA131010 LEW130804:LEW131010 LOS130804:LOS131010 LYO130804:LYO131010 MIK130804:MIK131010 MSG130804:MSG131010 NCC130804:NCC131010 NLY130804:NLY131010 NVU130804:NVU131010 OFQ130804:OFQ131010 OPM130804:OPM131010 OZI130804:OZI131010 PJE130804:PJE131010 PTA130804:PTA131010 QCW130804:QCW131010 QMS130804:QMS131010 QWO130804:QWO131010 RGK130804:RGK131010 RQG130804:RQG131010 SAC130804:SAC131010 SJY130804:SJY131010 STU130804:STU131010 TDQ130804:TDQ131010 TNM130804:TNM131010 TXI130804:TXI131010 UHE130804:UHE131010 URA130804:URA131010 VAW130804:VAW131010 VKS130804:VKS131010 VUO130804:VUO131010 WEK130804:WEK131010 WOG130804:WOG131010 WYC130804:WYC131010 BW196340:BW196546 LQ196340:LQ196546 VM196340:VM196546 AFI196340:AFI196546 APE196340:APE196546 AZA196340:AZA196546 BIW196340:BIW196546 BSS196340:BSS196546 CCO196340:CCO196546 CMK196340:CMK196546 CWG196340:CWG196546 DGC196340:DGC196546 DPY196340:DPY196546 DZU196340:DZU196546 EJQ196340:EJQ196546 ETM196340:ETM196546 FDI196340:FDI196546 FNE196340:FNE196546 FXA196340:FXA196546 GGW196340:GGW196546 GQS196340:GQS196546 HAO196340:HAO196546 HKK196340:HKK196546 HUG196340:HUG196546 IEC196340:IEC196546 INY196340:INY196546 IXU196340:IXU196546 JHQ196340:JHQ196546 JRM196340:JRM196546 KBI196340:KBI196546 KLE196340:KLE196546 KVA196340:KVA196546 LEW196340:LEW196546 LOS196340:LOS196546 LYO196340:LYO196546 MIK196340:MIK196546 MSG196340:MSG196546 NCC196340:NCC196546 NLY196340:NLY196546 NVU196340:NVU196546 OFQ196340:OFQ196546 OPM196340:OPM196546 OZI196340:OZI196546 PJE196340:PJE196546 PTA196340:PTA196546 QCW196340:QCW196546 QMS196340:QMS196546 QWO196340:QWO196546 RGK196340:RGK196546 RQG196340:RQG196546 SAC196340:SAC196546 SJY196340:SJY196546 STU196340:STU196546 TDQ196340:TDQ196546 TNM196340:TNM196546 TXI196340:TXI196546 UHE196340:UHE196546 URA196340:URA196546 VAW196340:VAW196546 VKS196340:VKS196546 VUO196340:VUO196546 WEK196340:WEK196546 WOG196340:WOG196546 WYC196340:WYC196546 BW261876:BW262082 LQ261876:LQ262082 VM261876:VM262082 AFI261876:AFI262082 APE261876:APE262082 AZA261876:AZA262082 BIW261876:BIW262082 BSS261876:BSS262082 CCO261876:CCO262082 CMK261876:CMK262082 CWG261876:CWG262082 DGC261876:DGC262082 DPY261876:DPY262082 DZU261876:DZU262082 EJQ261876:EJQ262082 ETM261876:ETM262082 FDI261876:FDI262082 FNE261876:FNE262082 FXA261876:FXA262082 GGW261876:GGW262082 GQS261876:GQS262082 HAO261876:HAO262082 HKK261876:HKK262082 HUG261876:HUG262082 IEC261876:IEC262082 INY261876:INY262082 IXU261876:IXU262082 JHQ261876:JHQ262082 JRM261876:JRM262082 KBI261876:KBI262082 KLE261876:KLE262082 KVA261876:KVA262082 LEW261876:LEW262082 LOS261876:LOS262082 LYO261876:LYO262082 MIK261876:MIK262082 MSG261876:MSG262082 NCC261876:NCC262082 NLY261876:NLY262082 NVU261876:NVU262082 OFQ261876:OFQ262082 OPM261876:OPM262082 OZI261876:OZI262082 PJE261876:PJE262082 PTA261876:PTA262082 QCW261876:QCW262082 QMS261876:QMS262082 QWO261876:QWO262082 RGK261876:RGK262082 RQG261876:RQG262082 SAC261876:SAC262082 SJY261876:SJY262082 STU261876:STU262082 TDQ261876:TDQ262082 TNM261876:TNM262082 TXI261876:TXI262082 UHE261876:UHE262082 URA261876:URA262082 VAW261876:VAW262082 VKS261876:VKS262082 VUO261876:VUO262082 WEK261876:WEK262082 WOG261876:WOG262082 WYC261876:WYC262082 BW327412:BW327618 LQ327412:LQ327618 VM327412:VM327618 AFI327412:AFI327618 APE327412:APE327618 AZA327412:AZA327618 BIW327412:BIW327618 BSS327412:BSS327618 CCO327412:CCO327618 CMK327412:CMK327618 CWG327412:CWG327618 DGC327412:DGC327618 DPY327412:DPY327618 DZU327412:DZU327618 EJQ327412:EJQ327618 ETM327412:ETM327618 FDI327412:FDI327618 FNE327412:FNE327618 FXA327412:FXA327618 GGW327412:GGW327618 GQS327412:GQS327618 HAO327412:HAO327618 HKK327412:HKK327618 HUG327412:HUG327618 IEC327412:IEC327618 INY327412:INY327618 IXU327412:IXU327618 JHQ327412:JHQ327618 JRM327412:JRM327618 KBI327412:KBI327618 KLE327412:KLE327618 KVA327412:KVA327618 LEW327412:LEW327618 LOS327412:LOS327618 LYO327412:LYO327618 MIK327412:MIK327618 MSG327412:MSG327618 NCC327412:NCC327618 NLY327412:NLY327618 NVU327412:NVU327618 OFQ327412:OFQ327618 OPM327412:OPM327618 OZI327412:OZI327618 PJE327412:PJE327618 PTA327412:PTA327618 QCW327412:QCW327618 QMS327412:QMS327618 QWO327412:QWO327618 RGK327412:RGK327618 RQG327412:RQG327618 SAC327412:SAC327618 SJY327412:SJY327618 STU327412:STU327618 TDQ327412:TDQ327618 TNM327412:TNM327618 TXI327412:TXI327618 UHE327412:UHE327618 URA327412:URA327618 VAW327412:VAW327618 VKS327412:VKS327618 VUO327412:VUO327618 WEK327412:WEK327618 WOG327412:WOG327618 WYC327412:WYC327618 BW392948:BW393154 LQ392948:LQ393154 VM392948:VM393154 AFI392948:AFI393154 APE392948:APE393154 AZA392948:AZA393154 BIW392948:BIW393154 BSS392948:BSS393154 CCO392948:CCO393154 CMK392948:CMK393154 CWG392948:CWG393154 DGC392948:DGC393154 DPY392948:DPY393154 DZU392948:DZU393154 EJQ392948:EJQ393154 ETM392948:ETM393154 FDI392948:FDI393154 FNE392948:FNE393154 FXA392948:FXA393154 GGW392948:GGW393154 GQS392948:GQS393154 HAO392948:HAO393154 HKK392948:HKK393154 HUG392948:HUG393154 IEC392948:IEC393154 INY392948:INY393154 IXU392948:IXU393154 JHQ392948:JHQ393154 JRM392948:JRM393154 KBI392948:KBI393154 KLE392948:KLE393154 KVA392948:KVA393154 LEW392948:LEW393154 LOS392948:LOS393154 LYO392948:LYO393154 MIK392948:MIK393154 MSG392948:MSG393154 NCC392948:NCC393154 NLY392948:NLY393154 NVU392948:NVU393154 OFQ392948:OFQ393154 OPM392948:OPM393154 OZI392948:OZI393154 PJE392948:PJE393154 PTA392948:PTA393154 QCW392948:QCW393154 QMS392948:QMS393154 QWO392948:QWO393154 RGK392948:RGK393154 RQG392948:RQG393154 SAC392948:SAC393154 SJY392948:SJY393154 STU392948:STU393154 TDQ392948:TDQ393154 TNM392948:TNM393154 TXI392948:TXI393154 UHE392948:UHE393154 URA392948:URA393154 VAW392948:VAW393154 VKS392948:VKS393154 VUO392948:VUO393154 WEK392948:WEK393154 WOG392948:WOG393154 WYC392948:WYC393154 BW458484:BW458690 LQ458484:LQ458690 VM458484:VM458690 AFI458484:AFI458690 APE458484:APE458690 AZA458484:AZA458690 BIW458484:BIW458690 BSS458484:BSS458690 CCO458484:CCO458690 CMK458484:CMK458690 CWG458484:CWG458690 DGC458484:DGC458690 DPY458484:DPY458690 DZU458484:DZU458690 EJQ458484:EJQ458690 ETM458484:ETM458690 FDI458484:FDI458690 FNE458484:FNE458690 FXA458484:FXA458690 GGW458484:GGW458690 GQS458484:GQS458690 HAO458484:HAO458690 HKK458484:HKK458690 HUG458484:HUG458690 IEC458484:IEC458690 INY458484:INY458690 IXU458484:IXU458690 JHQ458484:JHQ458690 JRM458484:JRM458690 KBI458484:KBI458690 KLE458484:KLE458690 KVA458484:KVA458690 LEW458484:LEW458690 LOS458484:LOS458690 LYO458484:LYO458690 MIK458484:MIK458690 MSG458484:MSG458690 NCC458484:NCC458690 NLY458484:NLY458690 NVU458484:NVU458690 OFQ458484:OFQ458690 OPM458484:OPM458690 OZI458484:OZI458690 PJE458484:PJE458690 PTA458484:PTA458690 QCW458484:QCW458690 QMS458484:QMS458690 QWO458484:QWO458690 RGK458484:RGK458690 RQG458484:RQG458690 SAC458484:SAC458690 SJY458484:SJY458690 STU458484:STU458690 TDQ458484:TDQ458690 TNM458484:TNM458690 TXI458484:TXI458690 UHE458484:UHE458690 URA458484:URA458690 VAW458484:VAW458690 VKS458484:VKS458690 VUO458484:VUO458690 WEK458484:WEK458690 WOG458484:WOG458690 WYC458484:WYC458690 BW524020:BW524226 LQ524020:LQ524226 VM524020:VM524226 AFI524020:AFI524226 APE524020:APE524226 AZA524020:AZA524226 BIW524020:BIW524226 BSS524020:BSS524226 CCO524020:CCO524226 CMK524020:CMK524226 CWG524020:CWG524226 DGC524020:DGC524226 DPY524020:DPY524226 DZU524020:DZU524226 EJQ524020:EJQ524226 ETM524020:ETM524226 FDI524020:FDI524226 FNE524020:FNE524226 FXA524020:FXA524226 GGW524020:GGW524226 GQS524020:GQS524226 HAO524020:HAO524226 HKK524020:HKK524226 HUG524020:HUG524226 IEC524020:IEC524226 INY524020:INY524226 IXU524020:IXU524226 JHQ524020:JHQ524226 JRM524020:JRM524226 KBI524020:KBI524226 KLE524020:KLE524226 KVA524020:KVA524226 LEW524020:LEW524226 LOS524020:LOS524226 LYO524020:LYO524226 MIK524020:MIK524226 MSG524020:MSG524226 NCC524020:NCC524226 NLY524020:NLY524226 NVU524020:NVU524226 OFQ524020:OFQ524226 OPM524020:OPM524226 OZI524020:OZI524226 PJE524020:PJE524226 PTA524020:PTA524226 QCW524020:QCW524226 QMS524020:QMS524226 QWO524020:QWO524226 RGK524020:RGK524226 RQG524020:RQG524226 SAC524020:SAC524226 SJY524020:SJY524226 STU524020:STU524226 TDQ524020:TDQ524226 TNM524020:TNM524226 TXI524020:TXI524226 UHE524020:UHE524226 URA524020:URA524226 VAW524020:VAW524226 VKS524020:VKS524226 VUO524020:VUO524226 WEK524020:WEK524226 WOG524020:WOG524226 WYC524020:WYC524226 BW589556:BW589762 LQ589556:LQ589762 VM589556:VM589762 AFI589556:AFI589762 APE589556:APE589762 AZA589556:AZA589762 BIW589556:BIW589762 BSS589556:BSS589762 CCO589556:CCO589762 CMK589556:CMK589762 CWG589556:CWG589762 DGC589556:DGC589762 DPY589556:DPY589762 DZU589556:DZU589762 EJQ589556:EJQ589762 ETM589556:ETM589762 FDI589556:FDI589762 FNE589556:FNE589762 FXA589556:FXA589762 GGW589556:GGW589762 GQS589556:GQS589762 HAO589556:HAO589762 HKK589556:HKK589762 HUG589556:HUG589762 IEC589556:IEC589762 INY589556:INY589762 IXU589556:IXU589762 JHQ589556:JHQ589762 JRM589556:JRM589762 KBI589556:KBI589762 KLE589556:KLE589762 KVA589556:KVA589762 LEW589556:LEW589762 LOS589556:LOS589762 LYO589556:LYO589762 MIK589556:MIK589762 MSG589556:MSG589762 NCC589556:NCC589762 NLY589556:NLY589762 NVU589556:NVU589762 OFQ589556:OFQ589762 OPM589556:OPM589762 OZI589556:OZI589762 PJE589556:PJE589762 PTA589556:PTA589762 QCW589556:QCW589762 QMS589556:QMS589762 QWO589556:QWO589762 RGK589556:RGK589762 RQG589556:RQG589762 SAC589556:SAC589762 SJY589556:SJY589762 STU589556:STU589762 TDQ589556:TDQ589762 TNM589556:TNM589762 TXI589556:TXI589762 UHE589556:UHE589762 URA589556:URA589762 VAW589556:VAW589762 VKS589556:VKS589762 VUO589556:VUO589762 WEK589556:WEK589762 WOG589556:WOG589762 WYC589556:WYC589762 BW655092:BW655298 LQ655092:LQ655298 VM655092:VM655298 AFI655092:AFI655298 APE655092:APE655298 AZA655092:AZA655298 BIW655092:BIW655298 BSS655092:BSS655298 CCO655092:CCO655298 CMK655092:CMK655298 CWG655092:CWG655298 DGC655092:DGC655298 DPY655092:DPY655298 DZU655092:DZU655298 EJQ655092:EJQ655298 ETM655092:ETM655298 FDI655092:FDI655298 FNE655092:FNE655298 FXA655092:FXA655298 GGW655092:GGW655298 GQS655092:GQS655298 HAO655092:HAO655298 HKK655092:HKK655298 HUG655092:HUG655298 IEC655092:IEC655298 INY655092:INY655298 IXU655092:IXU655298 JHQ655092:JHQ655298 JRM655092:JRM655298 KBI655092:KBI655298 KLE655092:KLE655298 KVA655092:KVA655298 LEW655092:LEW655298 LOS655092:LOS655298 LYO655092:LYO655298 MIK655092:MIK655298 MSG655092:MSG655298 NCC655092:NCC655298 NLY655092:NLY655298 NVU655092:NVU655298 OFQ655092:OFQ655298 OPM655092:OPM655298 OZI655092:OZI655298 PJE655092:PJE655298 PTA655092:PTA655298 QCW655092:QCW655298 QMS655092:QMS655298 QWO655092:QWO655298 RGK655092:RGK655298 RQG655092:RQG655298 SAC655092:SAC655298 SJY655092:SJY655298 STU655092:STU655298 TDQ655092:TDQ655298 TNM655092:TNM655298 TXI655092:TXI655298 UHE655092:UHE655298 URA655092:URA655298 VAW655092:VAW655298 VKS655092:VKS655298 VUO655092:VUO655298 WEK655092:WEK655298 WOG655092:WOG655298 WYC655092:WYC655298 BW720628:BW720834 LQ720628:LQ720834 VM720628:VM720834 AFI720628:AFI720834 APE720628:APE720834 AZA720628:AZA720834 BIW720628:BIW720834 BSS720628:BSS720834 CCO720628:CCO720834 CMK720628:CMK720834 CWG720628:CWG720834 DGC720628:DGC720834 DPY720628:DPY720834 DZU720628:DZU720834 EJQ720628:EJQ720834 ETM720628:ETM720834 FDI720628:FDI720834 FNE720628:FNE720834 FXA720628:FXA720834 GGW720628:GGW720834 GQS720628:GQS720834 HAO720628:HAO720834 HKK720628:HKK720834 HUG720628:HUG720834 IEC720628:IEC720834 INY720628:INY720834 IXU720628:IXU720834 JHQ720628:JHQ720834 JRM720628:JRM720834 KBI720628:KBI720834 KLE720628:KLE720834 KVA720628:KVA720834 LEW720628:LEW720834 LOS720628:LOS720834 LYO720628:LYO720834 MIK720628:MIK720834 MSG720628:MSG720834 NCC720628:NCC720834 NLY720628:NLY720834 NVU720628:NVU720834 OFQ720628:OFQ720834 OPM720628:OPM720834 OZI720628:OZI720834 PJE720628:PJE720834 PTA720628:PTA720834 QCW720628:QCW720834 QMS720628:QMS720834 QWO720628:QWO720834 RGK720628:RGK720834 RQG720628:RQG720834 SAC720628:SAC720834 SJY720628:SJY720834 STU720628:STU720834 TDQ720628:TDQ720834 TNM720628:TNM720834 TXI720628:TXI720834 UHE720628:UHE720834 URA720628:URA720834 VAW720628:VAW720834 VKS720628:VKS720834 VUO720628:VUO720834 WEK720628:WEK720834 WOG720628:WOG720834 WYC720628:WYC720834 BW786164:BW786370 LQ786164:LQ786370 VM786164:VM786370 AFI786164:AFI786370 APE786164:APE786370 AZA786164:AZA786370 BIW786164:BIW786370 BSS786164:BSS786370 CCO786164:CCO786370 CMK786164:CMK786370 CWG786164:CWG786370 DGC786164:DGC786370 DPY786164:DPY786370 DZU786164:DZU786370 EJQ786164:EJQ786370 ETM786164:ETM786370 FDI786164:FDI786370 FNE786164:FNE786370 FXA786164:FXA786370 GGW786164:GGW786370 GQS786164:GQS786370 HAO786164:HAO786370 HKK786164:HKK786370 HUG786164:HUG786370 IEC786164:IEC786370 INY786164:INY786370 IXU786164:IXU786370 JHQ786164:JHQ786370 JRM786164:JRM786370 KBI786164:KBI786370 KLE786164:KLE786370 KVA786164:KVA786370 LEW786164:LEW786370 LOS786164:LOS786370 LYO786164:LYO786370 MIK786164:MIK786370 MSG786164:MSG786370 NCC786164:NCC786370 NLY786164:NLY786370 NVU786164:NVU786370 OFQ786164:OFQ786370 OPM786164:OPM786370 OZI786164:OZI786370 PJE786164:PJE786370 PTA786164:PTA786370 QCW786164:QCW786370 QMS786164:QMS786370 QWO786164:QWO786370 RGK786164:RGK786370 RQG786164:RQG786370 SAC786164:SAC786370 SJY786164:SJY786370 STU786164:STU786370 TDQ786164:TDQ786370 TNM786164:TNM786370 TXI786164:TXI786370 UHE786164:UHE786370 URA786164:URA786370 VAW786164:VAW786370 VKS786164:VKS786370 VUO786164:VUO786370 WEK786164:WEK786370 WOG786164:WOG786370 WYC786164:WYC786370 BW851700:BW851906 LQ851700:LQ851906 VM851700:VM851906 AFI851700:AFI851906 APE851700:APE851906 AZA851700:AZA851906 BIW851700:BIW851906 BSS851700:BSS851906 CCO851700:CCO851906 CMK851700:CMK851906 CWG851700:CWG851906 DGC851700:DGC851906 DPY851700:DPY851906 DZU851700:DZU851906 EJQ851700:EJQ851906 ETM851700:ETM851906 FDI851700:FDI851906 FNE851700:FNE851906 FXA851700:FXA851906 GGW851700:GGW851906 GQS851700:GQS851906 HAO851700:HAO851906 HKK851700:HKK851906 HUG851700:HUG851906 IEC851700:IEC851906 INY851700:INY851906 IXU851700:IXU851906 JHQ851700:JHQ851906 JRM851700:JRM851906 KBI851700:KBI851906 KLE851700:KLE851906 KVA851700:KVA851906 LEW851700:LEW851906 LOS851700:LOS851906 LYO851700:LYO851906 MIK851700:MIK851906 MSG851700:MSG851906 NCC851700:NCC851906 NLY851700:NLY851906 NVU851700:NVU851906 OFQ851700:OFQ851906 OPM851700:OPM851906 OZI851700:OZI851906 PJE851700:PJE851906 PTA851700:PTA851906 QCW851700:QCW851906 QMS851700:QMS851906 QWO851700:QWO851906 RGK851700:RGK851906 RQG851700:RQG851906 SAC851700:SAC851906 SJY851700:SJY851906 STU851700:STU851906 TDQ851700:TDQ851906 TNM851700:TNM851906 TXI851700:TXI851906 UHE851700:UHE851906 URA851700:URA851906 VAW851700:VAW851906 VKS851700:VKS851906 VUO851700:VUO851906 WEK851700:WEK851906 WOG851700:WOG851906 WYC851700:WYC851906 BW917236:BW917442 LQ917236:LQ917442 VM917236:VM917442 AFI917236:AFI917442 APE917236:APE917442 AZA917236:AZA917442 BIW917236:BIW917442 BSS917236:BSS917442 CCO917236:CCO917442 CMK917236:CMK917442 CWG917236:CWG917442 DGC917236:DGC917442 DPY917236:DPY917442 DZU917236:DZU917442 EJQ917236:EJQ917442 ETM917236:ETM917442 FDI917236:FDI917442 FNE917236:FNE917442 FXA917236:FXA917442 GGW917236:GGW917442 GQS917236:GQS917442 HAO917236:HAO917442 HKK917236:HKK917442 HUG917236:HUG917442 IEC917236:IEC917442 INY917236:INY917442 IXU917236:IXU917442 JHQ917236:JHQ917442 JRM917236:JRM917442 KBI917236:KBI917442 KLE917236:KLE917442 KVA917236:KVA917442 LEW917236:LEW917442 LOS917236:LOS917442 LYO917236:LYO917442 MIK917236:MIK917442 MSG917236:MSG917442 NCC917236:NCC917442 NLY917236:NLY917442 NVU917236:NVU917442 OFQ917236:OFQ917442 OPM917236:OPM917442 OZI917236:OZI917442 PJE917236:PJE917442 PTA917236:PTA917442 QCW917236:QCW917442 QMS917236:QMS917442 QWO917236:QWO917442 RGK917236:RGK917442 RQG917236:RQG917442 SAC917236:SAC917442 SJY917236:SJY917442 STU917236:STU917442 TDQ917236:TDQ917442 TNM917236:TNM917442 TXI917236:TXI917442 UHE917236:UHE917442 URA917236:URA917442 VAW917236:VAW917442 VKS917236:VKS917442 VUO917236:VUO917442 WEK917236:WEK917442 WOG917236:WOG917442 WYC917236:WYC917442 BW982772:BW982978 LQ982772:LQ982978 VM982772:VM982978 AFI982772:AFI982978 APE982772:APE982978 AZA982772:AZA982978 BIW982772:BIW982978 BSS982772:BSS982978 CCO982772:CCO982978 CMK982772:CMK982978 CWG982772:CWG982978 DGC982772:DGC982978 DPY982772:DPY982978 DZU982772:DZU982978 EJQ982772:EJQ982978 ETM982772:ETM982978 FDI982772:FDI982978 FNE982772:FNE982978 FXA982772:FXA982978 GGW982772:GGW982978 GQS982772:GQS982978 HAO982772:HAO982978 HKK982772:HKK982978 HUG982772:HUG982978 IEC982772:IEC982978 INY982772:INY982978 IXU982772:IXU982978 JHQ982772:JHQ982978 JRM982772:JRM982978 KBI982772:KBI982978 KLE982772:KLE982978 KVA982772:KVA982978 LEW982772:LEW982978 LOS982772:LOS982978 LYO982772:LYO982978 MIK982772:MIK982978 MSG982772:MSG982978 NCC982772:NCC982978 NLY982772:NLY982978 NVU982772:NVU982978 OFQ982772:OFQ982978 OPM982772:OPM982978 OZI982772:OZI982978 PJE982772:PJE982978 PTA982772:PTA982978 QCW982772:QCW982978 QMS982772:QMS982978 QWO982772:QWO982978 RGK982772:RGK982978 RQG982772:RQG982978 SAC982772:SAC982978 SJY982772:SJY982978 STU982772:STU982978 TDQ982772:TDQ982978 TNM982772:TNM982978 TXI982772:TXI982978 UHE982772:UHE982978 URA982772:URA982978 VAW982772:VAW982978 VKS982772:VKS982978 VUO982772:VUO982978 WEK982772:WEK982978 WOG982772:WOG982978 WYC982772:WYC982978 BJ65268:BK65474 AT65268:AU65474 AJ982772:AK982978 AJ917236:AK917442 AT982772:AU982978 AJ851700:AK851906 AT917236:AU917442 AJ786164:AK786370 AT851700:AU851906 AJ720628:AK720834 AT786164:AU786370 AJ655092:AK655298 AT720628:AU720834 AJ589556:AK589762 AT655092:AU655298 AJ524020:AK524226 AT589556:AU589762 AJ458484:AK458690 AT524020:AU524226 AJ392948:AK393154 AT458484:AU458690 AJ327412:AK327618 AT392948:AU393154 AJ261876:AK262082 AT327412:AU327618 AJ196340:AK196546 AT261876:AU262082 AJ130804:AK131010 AT196340:AU196546 AT130804:AU131010 BJ982772:BK982978 BJ917236:BK917442 BJ851700:BK851906 BJ786164:BK786370 BJ720628:BK720834 BJ655092:BK655298 BJ589556:BK589762 BJ524020:BK524226 BJ458484:BK458690 BJ392948:BK393154 BJ327412:BK327618 BJ261876:BK262082 BJ196340:BK196546 BJ130804:BK131010 AJ65268:AK65474 AYF5:AYF11 BIB5:BIB11 BRX5:BRX11 CBT5:CBT11 CLP5:CLP11 CVL5:CVL11 DFH5:DFH11 DPD5:DPD11 DYZ5:DYZ11 EIV5:EIV11 ESR5:ESR11 FCN5:FCN11 FMJ5:FMJ11 FWF5:FWF11 GGB5:GGB11 GPX5:GPX11 GZT5:GZT11 HJP5:HJP11 HTL5:HTL11 IDH5:IDH11 IND5:IND11 IWZ5:IWZ11 JGV5:JGV11 JQR5:JQR11 KAN5:KAN11 KKJ5:KKJ11 KUF5:KUF11 LEB5:LEB11 LNX5:LNX11 LXT5:LXT11 MHP5:MHP11 MRL5:MRL11 NBH5:NBH11 NLD5:NLD11 NUZ5:NUZ11 OEV5:OEV11 OOR5:OOR11 OYN5:OYN11 PIJ5:PIJ11 PSF5:PSF11 QCB5:QCB11 QLX5:QLX11 QVT5:QVT11 RFP5:RFP11 RPL5:RPL11 RZH5:RZH11 SJD5:SJD11 SSZ5:SSZ11 TCV5:TCV11 TMR5:TMR11 TWN5:TWN11 UGJ5:UGJ11 UQF5:UQF11 VAB5:VAB11 VJX5:VJX11 VTT5:VTT11 WDP5:WDP11 WNL5:WNL11 WXH5:WXH11 MC5:MC11 VY5:VY11 AFU5:AFU11 APQ5:APQ11 AZM5:AZM11 BJI5:BJI11 BTE5:BTE11 CDA5:CDA11 CMW5:CMW11 CWS5:CWS11 DGO5:DGO11 DQK5:DQK11 EAG5:EAG11 EKC5:EKC11 ETY5:ETY11 FDU5:FDU11 FNQ5:FNQ11 FXM5:FXM11 GHI5:GHI11 GRE5:GRE11 HBA5:HBA11 HKW5:HKW11 HUS5:HUS11 IEO5:IEO11 IOK5:IOK11 IYG5:IYG11 JIC5:JIC11 JRY5:JRY11 KBU5:KBU11 KLQ5:KLQ11 KVM5:KVM11 LFI5:LFI11 LPE5:LPE11 LZA5:LZA11 MIW5:MIW11 MSS5:MSS11 NCO5:NCO11 NMK5:NMK11 NWG5:NWG11 OGC5:OGC11 OPY5:OPY11 OZU5:OZU11 PJQ5:PJQ11 PTM5:PTM11 QDI5:QDI11 QNE5:QNE11 QXA5:QXA11 RGW5:RGW11 RQS5:RQS11 SAO5:SAO11 SKK5:SKK11 SUG5:SUG11 TEC5:TEC11 TNY5:TNY11 TXU5:TXU11 UHQ5:UHQ11 URM5:URM11 VBI5:VBI11 VLE5:VLE11 VVA5:VVA11 WEW5:WEW11 WOS5:WOS11 WYO5:WYO11 LI5:LI11 VE5:VE11 AFA5:AFA11 AOW5:AOW11 AYS5:AYS11 BIO5:BIO11 BSK5:BSK11 CCG5:CCG11 CMC5:CMC11 CVY5:CVY11 DFU5:DFU11 DPQ5:DPQ11 DZM5:DZM11 EJI5:EJI11 ETE5:ETE11 FDA5:FDA11 FMW5:FMW11 FWS5:FWS11 GGO5:GGO11 GQK5:GQK11 HAG5:HAG11 HKC5:HKC11 HTY5:HTY11 IDU5:IDU11 INQ5:INQ11 IXM5:IXM11 JHI5:JHI11 JRE5:JRE11 KBA5:KBA11 KKW5:KKW11 KUS5:KUS11 LEO5:LEO11 LOK5:LOK11 LYG5:LYG11 MIC5:MIC11 MRY5:MRY11 NBU5:NBU11 NLQ5:NLQ11 NVM5:NVM11 OFI5:OFI11 OPE5:OPE11 OZA5:OZA11 PIW5:PIW11 PSS5:PSS11 QCO5:QCO11 QMK5:QMK11 QWG5:QWG11 RGC5:RGC11 RPY5:RPY11 RZU5:RZU11 SJQ5:SJQ11 STM5:STM11 TDI5:TDI11 TNE5:TNE11 TXA5:TXA11 UGW5:UGW11 UQS5:UQS11 VAO5:VAO11 VKK5:VKK11 VUG5:VUG11 WEC5:WEC11 WNY5:WNY11 WXU5:WXU11 LN5:LN11 VJ5:VJ11 AFF5:AFF11 APB5:APB11 AYX5:AYX11 BIT5:BIT11 BSP5:BSP11 CCL5:CCL11 CMH5:CMH11 CWD5:CWD11 DFZ5:DFZ11 DPV5:DPV11 DZR5:DZR11 EJN5:EJN11 ETJ5:ETJ11 FDF5:FDF11 FNB5:FNB11 FWX5:FWX11 GGT5:GGT11 GQP5:GQP11 HAL5:HAL11 HKH5:HKH11 HUD5:HUD11 IDZ5:IDZ11 INV5:INV11 IXR5:IXR11 JHN5:JHN11 JRJ5:JRJ11 KBF5:KBF11 KLB5:KLB11 KUX5:KUX11 LET5:LET11 LOP5:LOP11 LYL5:LYL11 MIH5:MIH11 MSD5:MSD11 NBZ5:NBZ11 NLV5:NLV11 NVR5:NVR11 OFN5:OFN11 OPJ5:OPJ11 OZF5:OZF11 PJB5:PJB11 PSX5:PSX11 QCT5:QCT11 QMP5:QMP11 QWL5:QWL11 RGH5:RGH11 RQD5:RQD11 RZZ5:RZZ11 SJV5:SJV11 STR5:STR11 TDN5:TDN11 TNJ5:TNJ11 TXF5:TXF11 UHB5:UHB11 UQX5:UQX11 VAT5:VAT11 VKP5:VKP11 VUL5:VUL11 WEH5:WEH11 WOD5:WOD11 WXZ5:WXZ11 LQ5:LQ11 VM5:VM11 AFI5:AFI11 APE5:APE11 AZA5:AZA11 BIW5:BIW11 BSS5:BSS11 CCO5:CCO11 CMK5:CMK11 CWG5:CWG11 DGC5:DGC11 DPY5:DPY11 DZU5:DZU11 EJQ5:EJQ11 ETM5:ETM11 FDI5:FDI11 FNE5:FNE11 FXA5:FXA11 GGW5:GGW11 GQS5:GQS11 HAO5:HAO11 HKK5:HKK11 HUG5:HUG11 IEC5:IEC11 INY5:INY11 IXU5:IXU11 JHQ5:JHQ11 JRM5:JRM11 KBI5:KBI11 KLE5:KLE11 KVA5:KVA11 LEW5:LEW11 LOS5:LOS11 LYO5:LYO11 MIK5:MIK11 MSG5:MSG11 NCC5:NCC11 NLY5:NLY11 NVU5:NVU11 OFQ5:OFQ11 OPM5:OPM11 OZI5:OZI11 PJE5:PJE11 PTA5:PTA11 QCW5:QCW11 QMS5:QMS11 QWO5:QWO11 RGK5:RGK11 RQG5:RQG11 SAC5:SAC11 SJY5:SJY11 STU5:STU11 TDQ5:TDQ11 TNM5:TNM11 TXI5:TXI11 UHE5:UHE11 URA5:URA11 VAW5:VAW11 VKS5:VKS11 VUO5:VUO11 WEK5:WEK11 WOG5:WOG11 UR5:UR11 AEN5:AEN11 KV5:KV11 WYC5:WYC11 AOJ5:AOJ11 CK5:CK11 BK5:BK179">
      <formula1>0</formula1>
      <formula2>100</formula2>
    </dataValidation>
    <dataValidation type="list" allowBlank="1" showInputMessage="1" showErrorMessage="1" sqref="BN65268:BN65470 LL5:LL11 VH5:VH11 WNU982772:WNU982974 WDY982772:WDY982974 VUC982772:VUC982974 VKG982772:VKG982974 VAK982772:VAK982974 UQO982772:UQO982974 UGS982772:UGS982974 TWW982772:TWW982974 TNA982772:TNA982974 TDE982772:TDE982974 STI982772:STI982974 SJM982772:SJM982974 RZQ982772:RZQ982974 RPU982772:RPU982974 RFY982772:RFY982974 QWC982772:QWC982974 QMG982772:QMG982974 QCK982772:QCK982974 PSO982772:PSO982974 PIS982772:PIS982974 OYW982772:OYW982974 OPA982772:OPA982974 OFE982772:OFE982974 NVI982772:NVI982974 NLM982772:NLM982974 NBQ982772:NBQ982974 MRU982772:MRU982974 MHY982772:MHY982974 LYC982772:LYC982974 LOG982772:LOG982974 LEK982772:LEK982974 KUO982772:KUO982974 KKS982772:KKS982974 KAW982772:KAW982974 JRA982772:JRA982974 JHE982772:JHE982974 IXI982772:IXI982974 INM982772:INM982974 IDQ982772:IDQ982974 HTU982772:HTU982974 HJY982772:HJY982974 HAC982772:HAC982974 GQG982772:GQG982974 GGK982772:GGK982974 FWO982772:FWO982974 FMS982772:FMS982974 FCW982772:FCW982974 ETA982772:ETA982974 EJE982772:EJE982974 DZI982772:DZI982974 DPM982772:DPM982974 DFQ982772:DFQ982974 CVU982772:CVU982974 CLY982772:CLY982974 CCC982772:CCC982974 BSG982772:BSG982974 BIK982772:BIK982974 AYO982772:AYO982974 AOS982772:AOS982974 AEW982772:AEW982974 VA982772:VA982974 LE982772:LE982974 BB982772:BB982974 WXQ917236:WXQ917438 WNU917236:WNU917438 WDY917236:WDY917438 VUC917236:VUC917438 VKG917236:VKG917438 VAK917236:VAK917438 UQO917236:UQO917438 UGS917236:UGS917438 TWW917236:TWW917438 TNA917236:TNA917438 TDE917236:TDE917438 STI917236:STI917438 SJM917236:SJM917438 RZQ917236:RZQ917438 RPU917236:RPU917438 RFY917236:RFY917438 QWC917236:QWC917438 QMG917236:QMG917438 QCK917236:QCK917438 PSO917236:PSO917438 PIS917236:PIS917438 OYW917236:OYW917438 OPA917236:OPA917438 OFE917236:OFE917438 NVI917236:NVI917438 NLM917236:NLM917438 NBQ917236:NBQ917438 MRU917236:MRU917438 MHY917236:MHY917438 LYC917236:LYC917438 LOG917236:LOG917438 LEK917236:LEK917438 KUO917236:KUO917438 KKS917236:KKS917438 KAW917236:KAW917438 JRA917236:JRA917438 JHE917236:JHE917438 IXI917236:IXI917438 INM917236:INM917438 IDQ917236:IDQ917438 HTU917236:HTU917438 HJY917236:HJY917438 HAC917236:HAC917438 GQG917236:GQG917438 GGK917236:GGK917438 FWO917236:FWO917438 FMS917236:FMS917438 FCW917236:FCW917438 ETA917236:ETA917438 EJE917236:EJE917438 DZI917236:DZI917438 DPM917236:DPM917438 DFQ917236:DFQ917438 CVU917236:CVU917438 CLY917236:CLY917438 CCC917236:CCC917438 BSG917236:BSG917438 BIK917236:BIK917438 AYO917236:AYO917438 AOS917236:AOS917438 AEW917236:AEW917438 VA917236:VA917438 LE917236:LE917438 BB917236:BB917438 WXQ851700:WXQ851902 WNU851700:WNU851902 WDY851700:WDY851902 VUC851700:VUC851902 VKG851700:VKG851902 VAK851700:VAK851902 UQO851700:UQO851902 UGS851700:UGS851902 TWW851700:TWW851902 TNA851700:TNA851902 TDE851700:TDE851902 STI851700:STI851902 SJM851700:SJM851902 RZQ851700:RZQ851902 RPU851700:RPU851902 RFY851700:RFY851902 QWC851700:QWC851902 QMG851700:QMG851902 QCK851700:QCK851902 PSO851700:PSO851902 PIS851700:PIS851902 OYW851700:OYW851902 OPA851700:OPA851902 OFE851700:OFE851902 NVI851700:NVI851902 NLM851700:NLM851902 NBQ851700:NBQ851902 MRU851700:MRU851902 MHY851700:MHY851902 LYC851700:LYC851902 LOG851700:LOG851902 LEK851700:LEK851902 KUO851700:KUO851902 KKS851700:KKS851902 KAW851700:KAW851902 JRA851700:JRA851902 JHE851700:JHE851902 IXI851700:IXI851902 INM851700:INM851902 IDQ851700:IDQ851902 HTU851700:HTU851902 HJY851700:HJY851902 HAC851700:HAC851902 GQG851700:GQG851902 GGK851700:GGK851902 FWO851700:FWO851902 FMS851700:FMS851902 FCW851700:FCW851902 ETA851700:ETA851902 EJE851700:EJE851902 DZI851700:DZI851902 DPM851700:DPM851902 DFQ851700:DFQ851902 CVU851700:CVU851902 CLY851700:CLY851902 CCC851700:CCC851902 BSG851700:BSG851902 BIK851700:BIK851902 AYO851700:AYO851902 AOS851700:AOS851902 AEW851700:AEW851902 VA851700:VA851902 LE851700:LE851902 BB851700:BB851902 WXQ786164:WXQ786366 WNU786164:WNU786366 WDY786164:WDY786366 VUC786164:VUC786366 VKG786164:VKG786366 VAK786164:VAK786366 UQO786164:UQO786366 UGS786164:UGS786366 TWW786164:TWW786366 TNA786164:TNA786366 TDE786164:TDE786366 STI786164:STI786366 SJM786164:SJM786366 RZQ786164:RZQ786366 RPU786164:RPU786366 RFY786164:RFY786366 QWC786164:QWC786366 QMG786164:QMG786366 QCK786164:QCK786366 PSO786164:PSO786366 PIS786164:PIS786366 OYW786164:OYW786366 OPA786164:OPA786366 OFE786164:OFE786366 NVI786164:NVI786366 NLM786164:NLM786366 NBQ786164:NBQ786366 MRU786164:MRU786366 MHY786164:MHY786366 LYC786164:LYC786366 LOG786164:LOG786366 LEK786164:LEK786366 KUO786164:KUO786366 KKS786164:KKS786366 KAW786164:KAW786366 JRA786164:JRA786366 JHE786164:JHE786366 IXI786164:IXI786366 INM786164:INM786366 IDQ786164:IDQ786366 HTU786164:HTU786366 HJY786164:HJY786366 HAC786164:HAC786366 GQG786164:GQG786366 GGK786164:GGK786366 FWO786164:FWO786366 FMS786164:FMS786366 FCW786164:FCW786366 ETA786164:ETA786366 EJE786164:EJE786366 DZI786164:DZI786366 DPM786164:DPM786366 DFQ786164:DFQ786366 CVU786164:CVU786366 CLY786164:CLY786366 CCC786164:CCC786366 BSG786164:BSG786366 BIK786164:BIK786366 AYO786164:AYO786366 AOS786164:AOS786366 AEW786164:AEW786366 VA786164:VA786366 LE786164:LE786366 BB786164:BB786366 WXQ720628:WXQ720830 WNU720628:WNU720830 WDY720628:WDY720830 VUC720628:VUC720830 VKG720628:VKG720830 VAK720628:VAK720830 UQO720628:UQO720830 UGS720628:UGS720830 TWW720628:TWW720830 TNA720628:TNA720830 TDE720628:TDE720830 STI720628:STI720830 SJM720628:SJM720830 RZQ720628:RZQ720830 RPU720628:RPU720830 RFY720628:RFY720830 QWC720628:QWC720830 QMG720628:QMG720830 QCK720628:QCK720830 PSO720628:PSO720830 PIS720628:PIS720830 OYW720628:OYW720830 OPA720628:OPA720830 OFE720628:OFE720830 NVI720628:NVI720830 NLM720628:NLM720830 NBQ720628:NBQ720830 MRU720628:MRU720830 MHY720628:MHY720830 LYC720628:LYC720830 LOG720628:LOG720830 LEK720628:LEK720830 KUO720628:KUO720830 KKS720628:KKS720830 KAW720628:KAW720830 JRA720628:JRA720830 JHE720628:JHE720830 IXI720628:IXI720830 INM720628:INM720830 IDQ720628:IDQ720830 HTU720628:HTU720830 HJY720628:HJY720830 HAC720628:HAC720830 GQG720628:GQG720830 GGK720628:GGK720830 FWO720628:FWO720830 FMS720628:FMS720830 FCW720628:FCW720830 ETA720628:ETA720830 EJE720628:EJE720830 DZI720628:DZI720830 DPM720628:DPM720830 DFQ720628:DFQ720830 CVU720628:CVU720830 CLY720628:CLY720830 CCC720628:CCC720830 BSG720628:BSG720830 BIK720628:BIK720830 AYO720628:AYO720830 AOS720628:AOS720830 AEW720628:AEW720830 VA720628:VA720830 LE720628:LE720830 BB720628:BB720830 WXQ655092:WXQ655294 WNU655092:WNU655294 WDY655092:WDY655294 VUC655092:VUC655294 VKG655092:VKG655294 VAK655092:VAK655294 UQO655092:UQO655294 UGS655092:UGS655294 TWW655092:TWW655294 TNA655092:TNA655294 TDE655092:TDE655294 STI655092:STI655294 SJM655092:SJM655294 RZQ655092:RZQ655294 RPU655092:RPU655294 RFY655092:RFY655294 QWC655092:QWC655294 QMG655092:QMG655294 QCK655092:QCK655294 PSO655092:PSO655294 PIS655092:PIS655294 OYW655092:OYW655294 OPA655092:OPA655294 OFE655092:OFE655294 NVI655092:NVI655294 NLM655092:NLM655294 NBQ655092:NBQ655294 MRU655092:MRU655294 MHY655092:MHY655294 LYC655092:LYC655294 LOG655092:LOG655294 LEK655092:LEK655294 KUO655092:KUO655294 KKS655092:KKS655294 KAW655092:KAW655294 JRA655092:JRA655294 JHE655092:JHE655294 IXI655092:IXI655294 INM655092:INM655294 IDQ655092:IDQ655294 HTU655092:HTU655294 HJY655092:HJY655294 HAC655092:HAC655294 GQG655092:GQG655294 GGK655092:GGK655294 FWO655092:FWO655294 FMS655092:FMS655294 FCW655092:FCW655294 ETA655092:ETA655294 EJE655092:EJE655294 DZI655092:DZI655294 DPM655092:DPM655294 DFQ655092:DFQ655294 CVU655092:CVU655294 CLY655092:CLY655294 CCC655092:CCC655294 BSG655092:BSG655294 BIK655092:BIK655294 AYO655092:AYO655294 AOS655092:AOS655294 AEW655092:AEW655294 VA655092:VA655294 LE655092:LE655294 BB655092:BB655294 WXQ589556:WXQ589758 WNU589556:WNU589758 WDY589556:WDY589758 VUC589556:VUC589758 VKG589556:VKG589758 VAK589556:VAK589758 UQO589556:UQO589758 UGS589556:UGS589758 TWW589556:TWW589758 TNA589556:TNA589758 TDE589556:TDE589758 STI589556:STI589758 SJM589556:SJM589758 RZQ589556:RZQ589758 RPU589556:RPU589758 RFY589556:RFY589758 QWC589556:QWC589758 QMG589556:QMG589758 QCK589556:QCK589758 PSO589556:PSO589758 PIS589556:PIS589758 OYW589556:OYW589758 OPA589556:OPA589758 OFE589556:OFE589758 NVI589556:NVI589758 NLM589556:NLM589758 NBQ589556:NBQ589758 MRU589556:MRU589758 MHY589556:MHY589758 LYC589556:LYC589758 LOG589556:LOG589758 LEK589556:LEK589758 KUO589556:KUO589758 KKS589556:KKS589758 KAW589556:KAW589758 JRA589556:JRA589758 JHE589556:JHE589758 IXI589556:IXI589758 INM589556:INM589758 IDQ589556:IDQ589758 HTU589556:HTU589758 HJY589556:HJY589758 HAC589556:HAC589758 GQG589556:GQG589758 GGK589556:GGK589758 FWO589556:FWO589758 FMS589556:FMS589758 FCW589556:FCW589758 ETA589556:ETA589758 EJE589556:EJE589758 DZI589556:DZI589758 DPM589556:DPM589758 DFQ589556:DFQ589758 CVU589556:CVU589758 CLY589556:CLY589758 CCC589556:CCC589758 BSG589556:BSG589758 BIK589556:BIK589758 AYO589556:AYO589758 AOS589556:AOS589758 AEW589556:AEW589758 VA589556:VA589758 LE589556:LE589758 BB589556:BB589758 WXQ524020:WXQ524222 WNU524020:WNU524222 WDY524020:WDY524222 VUC524020:VUC524222 VKG524020:VKG524222 VAK524020:VAK524222 UQO524020:UQO524222 UGS524020:UGS524222 TWW524020:TWW524222 TNA524020:TNA524222 TDE524020:TDE524222 STI524020:STI524222 SJM524020:SJM524222 RZQ524020:RZQ524222 RPU524020:RPU524222 RFY524020:RFY524222 QWC524020:QWC524222 QMG524020:QMG524222 QCK524020:QCK524222 PSO524020:PSO524222 PIS524020:PIS524222 OYW524020:OYW524222 OPA524020:OPA524222 OFE524020:OFE524222 NVI524020:NVI524222 NLM524020:NLM524222 NBQ524020:NBQ524222 MRU524020:MRU524222 MHY524020:MHY524222 LYC524020:LYC524222 LOG524020:LOG524222 LEK524020:LEK524222 KUO524020:KUO524222 KKS524020:KKS524222 KAW524020:KAW524222 JRA524020:JRA524222 JHE524020:JHE524222 IXI524020:IXI524222 INM524020:INM524222 IDQ524020:IDQ524222 HTU524020:HTU524222 HJY524020:HJY524222 HAC524020:HAC524222 GQG524020:GQG524222 GGK524020:GGK524222 FWO524020:FWO524222 FMS524020:FMS524222 FCW524020:FCW524222 ETA524020:ETA524222 EJE524020:EJE524222 DZI524020:DZI524222 DPM524020:DPM524222 DFQ524020:DFQ524222 CVU524020:CVU524222 CLY524020:CLY524222 CCC524020:CCC524222 BSG524020:BSG524222 BIK524020:BIK524222 AYO524020:AYO524222 AOS524020:AOS524222 AEW524020:AEW524222 VA524020:VA524222 LE524020:LE524222 BB524020:BB524222 WXQ458484:WXQ458686 WNU458484:WNU458686 WDY458484:WDY458686 VUC458484:VUC458686 VKG458484:VKG458686 VAK458484:VAK458686 UQO458484:UQO458686 UGS458484:UGS458686 TWW458484:TWW458686 TNA458484:TNA458686 TDE458484:TDE458686 STI458484:STI458686 SJM458484:SJM458686 RZQ458484:RZQ458686 RPU458484:RPU458686 RFY458484:RFY458686 QWC458484:QWC458686 QMG458484:QMG458686 QCK458484:QCK458686 PSO458484:PSO458686 PIS458484:PIS458686 OYW458484:OYW458686 OPA458484:OPA458686 OFE458484:OFE458686 NVI458484:NVI458686 NLM458484:NLM458686 NBQ458484:NBQ458686 MRU458484:MRU458686 MHY458484:MHY458686 LYC458484:LYC458686 LOG458484:LOG458686 LEK458484:LEK458686 KUO458484:KUO458686 KKS458484:KKS458686 KAW458484:KAW458686 JRA458484:JRA458686 JHE458484:JHE458686 IXI458484:IXI458686 INM458484:INM458686 IDQ458484:IDQ458686 HTU458484:HTU458686 HJY458484:HJY458686 HAC458484:HAC458686 GQG458484:GQG458686 GGK458484:GGK458686 FWO458484:FWO458686 FMS458484:FMS458686 FCW458484:FCW458686 ETA458484:ETA458686 EJE458484:EJE458686 DZI458484:DZI458686 DPM458484:DPM458686 DFQ458484:DFQ458686 CVU458484:CVU458686 CLY458484:CLY458686 CCC458484:CCC458686 BSG458484:BSG458686 BIK458484:BIK458686 AYO458484:AYO458686 AOS458484:AOS458686 AEW458484:AEW458686 VA458484:VA458686 LE458484:LE458686 BB458484:BB458686 WXQ392948:WXQ393150 WNU392948:WNU393150 WDY392948:WDY393150 VUC392948:VUC393150 VKG392948:VKG393150 VAK392948:VAK393150 UQO392948:UQO393150 UGS392948:UGS393150 TWW392948:TWW393150 TNA392948:TNA393150 TDE392948:TDE393150 STI392948:STI393150 SJM392948:SJM393150 RZQ392948:RZQ393150 RPU392948:RPU393150 RFY392948:RFY393150 QWC392948:QWC393150 QMG392948:QMG393150 QCK392948:QCK393150 PSO392948:PSO393150 PIS392948:PIS393150 OYW392948:OYW393150 OPA392948:OPA393150 OFE392948:OFE393150 NVI392948:NVI393150 NLM392948:NLM393150 NBQ392948:NBQ393150 MRU392948:MRU393150 MHY392948:MHY393150 LYC392948:LYC393150 LOG392948:LOG393150 LEK392948:LEK393150 KUO392948:KUO393150 KKS392948:KKS393150 KAW392948:KAW393150 JRA392948:JRA393150 JHE392948:JHE393150 IXI392948:IXI393150 INM392948:INM393150 IDQ392948:IDQ393150 HTU392948:HTU393150 HJY392948:HJY393150 HAC392948:HAC393150 GQG392948:GQG393150 GGK392948:GGK393150 FWO392948:FWO393150 FMS392948:FMS393150 FCW392948:FCW393150 ETA392948:ETA393150 EJE392948:EJE393150 DZI392948:DZI393150 DPM392948:DPM393150 DFQ392948:DFQ393150 CVU392948:CVU393150 CLY392948:CLY393150 CCC392948:CCC393150 BSG392948:BSG393150 BIK392948:BIK393150 AYO392948:AYO393150 AOS392948:AOS393150 AEW392948:AEW393150 VA392948:VA393150 LE392948:LE393150 BB392948:BB393150 WXQ327412:WXQ327614 WNU327412:WNU327614 WDY327412:WDY327614 VUC327412:VUC327614 VKG327412:VKG327614 VAK327412:VAK327614 UQO327412:UQO327614 UGS327412:UGS327614 TWW327412:TWW327614 TNA327412:TNA327614 TDE327412:TDE327614 STI327412:STI327614 SJM327412:SJM327614 RZQ327412:RZQ327614 RPU327412:RPU327614 RFY327412:RFY327614 QWC327412:QWC327614 QMG327412:QMG327614 QCK327412:QCK327614 PSO327412:PSO327614 PIS327412:PIS327614 OYW327412:OYW327614 OPA327412:OPA327614 OFE327412:OFE327614 NVI327412:NVI327614 NLM327412:NLM327614 NBQ327412:NBQ327614 MRU327412:MRU327614 MHY327412:MHY327614 LYC327412:LYC327614 LOG327412:LOG327614 LEK327412:LEK327614 KUO327412:KUO327614 KKS327412:KKS327614 KAW327412:KAW327614 JRA327412:JRA327614 JHE327412:JHE327614 IXI327412:IXI327614 INM327412:INM327614 IDQ327412:IDQ327614 HTU327412:HTU327614 HJY327412:HJY327614 HAC327412:HAC327614 GQG327412:GQG327614 GGK327412:GGK327614 FWO327412:FWO327614 FMS327412:FMS327614 FCW327412:FCW327614 ETA327412:ETA327614 EJE327412:EJE327614 DZI327412:DZI327614 DPM327412:DPM327614 DFQ327412:DFQ327614 CVU327412:CVU327614 CLY327412:CLY327614 CCC327412:CCC327614 BSG327412:BSG327614 BIK327412:BIK327614 AYO327412:AYO327614 AOS327412:AOS327614 AEW327412:AEW327614 VA327412:VA327614 LE327412:LE327614 BB327412:BB327614 WXQ261876:WXQ262078 WNU261876:WNU262078 WDY261876:WDY262078 VUC261876:VUC262078 VKG261876:VKG262078 VAK261876:VAK262078 UQO261876:UQO262078 UGS261876:UGS262078 TWW261876:TWW262078 TNA261876:TNA262078 TDE261876:TDE262078 STI261876:STI262078 SJM261876:SJM262078 RZQ261876:RZQ262078 RPU261876:RPU262078 RFY261876:RFY262078 QWC261876:QWC262078 QMG261876:QMG262078 QCK261876:QCK262078 PSO261876:PSO262078 PIS261876:PIS262078 OYW261876:OYW262078 OPA261876:OPA262078 OFE261876:OFE262078 NVI261876:NVI262078 NLM261876:NLM262078 NBQ261876:NBQ262078 MRU261876:MRU262078 MHY261876:MHY262078 LYC261876:LYC262078 LOG261876:LOG262078 LEK261876:LEK262078 KUO261876:KUO262078 KKS261876:KKS262078 KAW261876:KAW262078 JRA261876:JRA262078 JHE261876:JHE262078 IXI261876:IXI262078 INM261876:INM262078 IDQ261876:IDQ262078 HTU261876:HTU262078 HJY261876:HJY262078 HAC261876:HAC262078 GQG261876:GQG262078 GGK261876:GGK262078 FWO261876:FWO262078 FMS261876:FMS262078 FCW261876:FCW262078 ETA261876:ETA262078 EJE261876:EJE262078 DZI261876:DZI262078 DPM261876:DPM262078 DFQ261876:DFQ262078 CVU261876:CVU262078 CLY261876:CLY262078 CCC261876:CCC262078 BSG261876:BSG262078 BIK261876:BIK262078 AYO261876:AYO262078 AOS261876:AOS262078 AEW261876:AEW262078 VA261876:VA262078 LE261876:LE262078 BB261876:BB262078 WXQ196340:WXQ196542 WNU196340:WNU196542 WDY196340:WDY196542 VUC196340:VUC196542 VKG196340:VKG196542 VAK196340:VAK196542 UQO196340:UQO196542 UGS196340:UGS196542 TWW196340:TWW196542 TNA196340:TNA196542 TDE196340:TDE196542 STI196340:STI196542 SJM196340:SJM196542 RZQ196340:RZQ196542 RPU196340:RPU196542 RFY196340:RFY196542 QWC196340:QWC196542 QMG196340:QMG196542 QCK196340:QCK196542 PSO196340:PSO196542 PIS196340:PIS196542 OYW196340:OYW196542 OPA196340:OPA196542 OFE196340:OFE196542 NVI196340:NVI196542 NLM196340:NLM196542 NBQ196340:NBQ196542 MRU196340:MRU196542 MHY196340:MHY196542 LYC196340:LYC196542 LOG196340:LOG196542 LEK196340:LEK196542 KUO196340:KUO196542 KKS196340:KKS196542 KAW196340:KAW196542 JRA196340:JRA196542 JHE196340:JHE196542 IXI196340:IXI196542 INM196340:INM196542 IDQ196340:IDQ196542 HTU196340:HTU196542 HJY196340:HJY196542 HAC196340:HAC196542 GQG196340:GQG196542 GGK196340:GGK196542 FWO196340:FWO196542 FMS196340:FMS196542 FCW196340:FCW196542 ETA196340:ETA196542 EJE196340:EJE196542 DZI196340:DZI196542 DPM196340:DPM196542 DFQ196340:DFQ196542 CVU196340:CVU196542 CLY196340:CLY196542 CCC196340:CCC196542 BSG196340:BSG196542 BIK196340:BIK196542 AYO196340:AYO196542 AOS196340:AOS196542 AEW196340:AEW196542 VA196340:VA196542 LE196340:LE196542 BB196340:BB196542 WXQ130804:WXQ131006 WNU130804:WNU131006 WDY130804:WDY131006 VUC130804:VUC131006 VKG130804:VKG131006 VAK130804:VAK131006 UQO130804:UQO131006 UGS130804:UGS131006 TWW130804:TWW131006 TNA130804:TNA131006 TDE130804:TDE131006 STI130804:STI131006 SJM130804:SJM131006 RZQ130804:RZQ131006 RPU130804:RPU131006 RFY130804:RFY131006 QWC130804:QWC131006 QMG130804:QMG131006 QCK130804:QCK131006 PSO130804:PSO131006 PIS130804:PIS131006 OYW130804:OYW131006 OPA130804:OPA131006 OFE130804:OFE131006 NVI130804:NVI131006 NLM130804:NLM131006 NBQ130804:NBQ131006 MRU130804:MRU131006 MHY130804:MHY131006 LYC130804:LYC131006 LOG130804:LOG131006 LEK130804:LEK131006 KUO130804:KUO131006 KKS130804:KKS131006 KAW130804:KAW131006 JRA130804:JRA131006 JHE130804:JHE131006 IXI130804:IXI131006 INM130804:INM131006 IDQ130804:IDQ131006 HTU130804:HTU131006 HJY130804:HJY131006 HAC130804:HAC131006 GQG130804:GQG131006 GGK130804:GGK131006 FWO130804:FWO131006 FMS130804:FMS131006 FCW130804:FCW131006 ETA130804:ETA131006 EJE130804:EJE131006 DZI130804:DZI131006 DPM130804:DPM131006 DFQ130804:DFQ131006 CVU130804:CVU131006 CLY130804:CLY131006 CCC130804:CCC131006 BSG130804:BSG131006 BIK130804:BIK131006 AYO130804:AYO131006 AOS130804:AOS131006 AEW130804:AEW131006 VA130804:VA131006 LE130804:LE131006 BB130804:BB131006 WXQ65268:WXQ65470 WNU65268:WNU65470 WDY65268:WDY65470 VUC65268:VUC65470 VKG65268:VKG65470 VAK65268:VAK65470 UQO65268:UQO65470 UGS65268:UGS65470 TWW65268:TWW65470 TNA65268:TNA65470 TDE65268:TDE65470 STI65268:STI65470 SJM65268:SJM65470 RZQ65268:RZQ65470 RPU65268:RPU65470 RFY65268:RFY65470 QWC65268:QWC65470 QMG65268:QMG65470 QCK65268:QCK65470 PSO65268:PSO65470 PIS65268:PIS65470 OYW65268:OYW65470 OPA65268:OPA65470 OFE65268:OFE65470 NVI65268:NVI65470 NLM65268:NLM65470 NBQ65268:NBQ65470 MRU65268:MRU65470 MHY65268:MHY65470 LYC65268:LYC65470 LOG65268:LOG65470 LEK65268:LEK65470 KUO65268:KUO65470 KKS65268:KKS65470 KAW65268:KAW65470 JRA65268:JRA65470 JHE65268:JHE65470 IXI65268:IXI65470 INM65268:INM65470 IDQ65268:IDQ65470 HTU65268:HTU65470 HJY65268:HJY65470 HAC65268:HAC65470 GQG65268:GQG65470 GGK65268:GGK65470 FWO65268:FWO65470 FMS65268:FMS65470 FCW65268:FCW65470 ETA65268:ETA65470 EJE65268:EJE65470 DZI65268:DZI65470 DPM65268:DPM65470 DFQ65268:DFQ65470 CVU65268:CVU65470 CLY65268:CLY65470 CCC65268:CCC65470 BSG65268:BSG65470 BIK65268:BIK65470 AYO65268:AYO65470 AOS65268:AOS65470 AEW65268:AEW65470 VA65268:VA65470 LE65268:LE65470 BB65268:BB65470 WXQ5:WXQ11 WNU5:WNU11 WDY5:WDY11 VUC5:VUC11 VKG5:VKG11 VAK5:VAK11 UQO5:UQO11 UGS5:UGS11 TWW5:TWW11 TNA5:TNA11 TDE5:TDE11 STI5:STI11 SJM5:SJM11 RZQ5:RZQ11 RPU5:RPU11 RFY5:RFY11 QWC5:QWC11 QMG5:QMG11 QCK5:QCK11 PSO5:PSO11 PIS5:PIS11 OYW5:OYW11 OPA5:OPA11 OFE5:OFE11 NVI5:NVI11 NLM5:NLM11 NBQ5:NBQ11 MRU5:MRU11 MHY5:MHY11 LYC5:LYC11 LOG5:LOG11 LEK5:LEK11 KUO5:KUO11 KKS5:KKS11 KAW5:KAW11 JRA5:JRA11 JHE5:JHE11 IXI5:IXI11 INM5:INM11 IDQ5:IDQ11 HTU5:HTU11 HJY5:HJY11 HAC5:HAC11 GQG5:GQG11 GGK5:GGK11 FWO5:FWO11 FMS5:FMS11 FCW5:FCW11 ETA5:ETA11 EJE5:EJE11 DZI5:DZI11 DPM5:DPM11 DFQ5:DFQ11 CVU5:CVU11 CLY5:CLY11 CCC5:CCC11 BSG5:BSG11 BIK5:BIK11 AYO5:AYO11 AOS5:AOS11 AEW5:AEW11 VA5:VA11 LE5:LE11 WXQ982772:WXQ982974 WXX982772:WXX982974 WOB982772:WOB982974 WEF982772:WEF982974 VUJ982772:VUJ982974 VKN982772:VKN982974 VAR982772:VAR982974 UQV982772:UQV982974 UGZ982772:UGZ982974 TXD982772:TXD982974 TNH982772:TNH982974 TDL982772:TDL982974 STP982772:STP982974 SJT982772:SJT982974 RZX982772:RZX982974 RQB982772:RQB982974 RGF982772:RGF982974 QWJ982772:QWJ982974 QMN982772:QMN982974 QCR982772:QCR982974 PSV982772:PSV982974 PIZ982772:PIZ982974 OZD982772:OZD982974 OPH982772:OPH982974 OFL982772:OFL982974 NVP982772:NVP982974 NLT982772:NLT982974 NBX982772:NBX982974 MSB982772:MSB982974 MIF982772:MIF982974 LYJ982772:LYJ982974 LON982772:LON982974 LER982772:LER982974 KUV982772:KUV982974 KKZ982772:KKZ982974 KBD982772:KBD982974 JRH982772:JRH982974 JHL982772:JHL982974 IXP982772:IXP982974 INT982772:INT982974 IDX982772:IDX982974 HUB982772:HUB982974 HKF982772:HKF982974 HAJ982772:HAJ982974 GQN982772:GQN982974 GGR982772:GGR982974 FWV982772:FWV982974 FMZ982772:FMZ982974 FDD982772:FDD982974 ETH982772:ETH982974 EJL982772:EJL982974 DZP982772:DZP982974 DPT982772:DPT982974 DFX982772:DFX982974 CWB982772:CWB982974 CMF982772:CMF982974 CCJ982772:CCJ982974 BSN982772:BSN982974 BIR982772:BIR982974 AYV982772:AYV982974 AOZ982772:AOZ982974 AFD982772:AFD982974 VH982772:VH982974 LL982772:LL982974 BN982772:BN982974 WXX917236:WXX917438 WOB917236:WOB917438 WEF917236:WEF917438 VUJ917236:VUJ917438 VKN917236:VKN917438 VAR917236:VAR917438 UQV917236:UQV917438 UGZ917236:UGZ917438 TXD917236:TXD917438 TNH917236:TNH917438 TDL917236:TDL917438 STP917236:STP917438 SJT917236:SJT917438 RZX917236:RZX917438 RQB917236:RQB917438 RGF917236:RGF917438 QWJ917236:QWJ917438 QMN917236:QMN917438 QCR917236:QCR917438 PSV917236:PSV917438 PIZ917236:PIZ917438 OZD917236:OZD917438 OPH917236:OPH917438 OFL917236:OFL917438 NVP917236:NVP917438 NLT917236:NLT917438 NBX917236:NBX917438 MSB917236:MSB917438 MIF917236:MIF917438 LYJ917236:LYJ917438 LON917236:LON917438 LER917236:LER917438 KUV917236:KUV917438 KKZ917236:KKZ917438 KBD917236:KBD917438 JRH917236:JRH917438 JHL917236:JHL917438 IXP917236:IXP917438 INT917236:INT917438 IDX917236:IDX917438 HUB917236:HUB917438 HKF917236:HKF917438 HAJ917236:HAJ917438 GQN917236:GQN917438 GGR917236:GGR917438 FWV917236:FWV917438 FMZ917236:FMZ917438 FDD917236:FDD917438 ETH917236:ETH917438 EJL917236:EJL917438 DZP917236:DZP917438 DPT917236:DPT917438 DFX917236:DFX917438 CWB917236:CWB917438 CMF917236:CMF917438 CCJ917236:CCJ917438 BSN917236:BSN917438 BIR917236:BIR917438 AYV917236:AYV917438 AOZ917236:AOZ917438 AFD917236:AFD917438 VH917236:VH917438 LL917236:LL917438 BN917236:BN917438 WXX851700:WXX851902 WOB851700:WOB851902 WEF851700:WEF851902 VUJ851700:VUJ851902 VKN851700:VKN851902 VAR851700:VAR851902 UQV851700:UQV851902 UGZ851700:UGZ851902 TXD851700:TXD851902 TNH851700:TNH851902 TDL851700:TDL851902 STP851700:STP851902 SJT851700:SJT851902 RZX851700:RZX851902 RQB851700:RQB851902 RGF851700:RGF851902 QWJ851700:QWJ851902 QMN851700:QMN851902 QCR851700:QCR851902 PSV851700:PSV851902 PIZ851700:PIZ851902 OZD851700:OZD851902 OPH851700:OPH851902 OFL851700:OFL851902 NVP851700:NVP851902 NLT851700:NLT851902 NBX851700:NBX851902 MSB851700:MSB851902 MIF851700:MIF851902 LYJ851700:LYJ851902 LON851700:LON851902 LER851700:LER851902 KUV851700:KUV851902 KKZ851700:KKZ851902 KBD851700:KBD851902 JRH851700:JRH851902 JHL851700:JHL851902 IXP851700:IXP851902 INT851700:INT851902 IDX851700:IDX851902 HUB851700:HUB851902 HKF851700:HKF851902 HAJ851700:HAJ851902 GQN851700:GQN851902 GGR851700:GGR851902 FWV851700:FWV851902 FMZ851700:FMZ851902 FDD851700:FDD851902 ETH851700:ETH851902 EJL851700:EJL851902 DZP851700:DZP851902 DPT851700:DPT851902 DFX851700:DFX851902 CWB851700:CWB851902 CMF851700:CMF851902 CCJ851700:CCJ851902 BSN851700:BSN851902 BIR851700:BIR851902 AYV851700:AYV851902 AOZ851700:AOZ851902 AFD851700:AFD851902 VH851700:VH851902 LL851700:LL851902 BN851700:BN851902 WXX786164:WXX786366 WOB786164:WOB786366 WEF786164:WEF786366 VUJ786164:VUJ786366 VKN786164:VKN786366 VAR786164:VAR786366 UQV786164:UQV786366 UGZ786164:UGZ786366 TXD786164:TXD786366 TNH786164:TNH786366 TDL786164:TDL786366 STP786164:STP786366 SJT786164:SJT786366 RZX786164:RZX786366 RQB786164:RQB786366 RGF786164:RGF786366 QWJ786164:QWJ786366 QMN786164:QMN786366 QCR786164:QCR786366 PSV786164:PSV786366 PIZ786164:PIZ786366 OZD786164:OZD786366 OPH786164:OPH786366 OFL786164:OFL786366 NVP786164:NVP786366 NLT786164:NLT786366 NBX786164:NBX786366 MSB786164:MSB786366 MIF786164:MIF786366 LYJ786164:LYJ786366 LON786164:LON786366 LER786164:LER786366 KUV786164:KUV786366 KKZ786164:KKZ786366 KBD786164:KBD786366 JRH786164:JRH786366 JHL786164:JHL786366 IXP786164:IXP786366 INT786164:INT786366 IDX786164:IDX786366 HUB786164:HUB786366 HKF786164:HKF786366 HAJ786164:HAJ786366 GQN786164:GQN786366 GGR786164:GGR786366 FWV786164:FWV786366 FMZ786164:FMZ786366 FDD786164:FDD786366 ETH786164:ETH786366 EJL786164:EJL786366 DZP786164:DZP786366 DPT786164:DPT786366 DFX786164:DFX786366 CWB786164:CWB786366 CMF786164:CMF786366 CCJ786164:CCJ786366 BSN786164:BSN786366 BIR786164:BIR786366 AYV786164:AYV786366 AOZ786164:AOZ786366 AFD786164:AFD786366 VH786164:VH786366 LL786164:LL786366 BN786164:BN786366 WXX720628:WXX720830 WOB720628:WOB720830 WEF720628:WEF720830 VUJ720628:VUJ720830 VKN720628:VKN720830 VAR720628:VAR720830 UQV720628:UQV720830 UGZ720628:UGZ720830 TXD720628:TXD720830 TNH720628:TNH720830 TDL720628:TDL720830 STP720628:STP720830 SJT720628:SJT720830 RZX720628:RZX720830 RQB720628:RQB720830 RGF720628:RGF720830 QWJ720628:QWJ720830 QMN720628:QMN720830 QCR720628:QCR720830 PSV720628:PSV720830 PIZ720628:PIZ720830 OZD720628:OZD720830 OPH720628:OPH720830 OFL720628:OFL720830 NVP720628:NVP720830 NLT720628:NLT720830 NBX720628:NBX720830 MSB720628:MSB720830 MIF720628:MIF720830 LYJ720628:LYJ720830 LON720628:LON720830 LER720628:LER720830 KUV720628:KUV720830 KKZ720628:KKZ720830 KBD720628:KBD720830 JRH720628:JRH720830 JHL720628:JHL720830 IXP720628:IXP720830 INT720628:INT720830 IDX720628:IDX720830 HUB720628:HUB720830 HKF720628:HKF720830 HAJ720628:HAJ720830 GQN720628:GQN720830 GGR720628:GGR720830 FWV720628:FWV720830 FMZ720628:FMZ720830 FDD720628:FDD720830 ETH720628:ETH720830 EJL720628:EJL720830 DZP720628:DZP720830 DPT720628:DPT720830 DFX720628:DFX720830 CWB720628:CWB720830 CMF720628:CMF720830 CCJ720628:CCJ720830 BSN720628:BSN720830 BIR720628:BIR720830 AYV720628:AYV720830 AOZ720628:AOZ720830 AFD720628:AFD720830 VH720628:VH720830 LL720628:LL720830 BN720628:BN720830 WXX655092:WXX655294 WOB655092:WOB655294 WEF655092:WEF655294 VUJ655092:VUJ655294 VKN655092:VKN655294 VAR655092:VAR655294 UQV655092:UQV655294 UGZ655092:UGZ655294 TXD655092:TXD655294 TNH655092:TNH655294 TDL655092:TDL655294 STP655092:STP655294 SJT655092:SJT655294 RZX655092:RZX655294 RQB655092:RQB655294 RGF655092:RGF655294 QWJ655092:QWJ655294 QMN655092:QMN655294 QCR655092:QCR655294 PSV655092:PSV655294 PIZ655092:PIZ655294 OZD655092:OZD655294 OPH655092:OPH655294 OFL655092:OFL655294 NVP655092:NVP655294 NLT655092:NLT655294 NBX655092:NBX655294 MSB655092:MSB655294 MIF655092:MIF655294 LYJ655092:LYJ655294 LON655092:LON655294 LER655092:LER655294 KUV655092:KUV655294 KKZ655092:KKZ655294 KBD655092:KBD655294 JRH655092:JRH655294 JHL655092:JHL655294 IXP655092:IXP655294 INT655092:INT655294 IDX655092:IDX655294 HUB655092:HUB655294 HKF655092:HKF655294 HAJ655092:HAJ655294 GQN655092:GQN655294 GGR655092:GGR655294 FWV655092:FWV655294 FMZ655092:FMZ655294 FDD655092:FDD655294 ETH655092:ETH655294 EJL655092:EJL655294 DZP655092:DZP655294 DPT655092:DPT655294 DFX655092:DFX655294 CWB655092:CWB655294 CMF655092:CMF655294 CCJ655092:CCJ655294 BSN655092:BSN655294 BIR655092:BIR655294 AYV655092:AYV655294 AOZ655092:AOZ655294 AFD655092:AFD655294 VH655092:VH655294 LL655092:LL655294 BN655092:BN655294 WXX589556:WXX589758 WOB589556:WOB589758 WEF589556:WEF589758 VUJ589556:VUJ589758 VKN589556:VKN589758 VAR589556:VAR589758 UQV589556:UQV589758 UGZ589556:UGZ589758 TXD589556:TXD589758 TNH589556:TNH589758 TDL589556:TDL589758 STP589556:STP589758 SJT589556:SJT589758 RZX589556:RZX589758 RQB589556:RQB589758 RGF589556:RGF589758 QWJ589556:QWJ589758 QMN589556:QMN589758 QCR589556:QCR589758 PSV589556:PSV589758 PIZ589556:PIZ589758 OZD589556:OZD589758 OPH589556:OPH589758 OFL589556:OFL589758 NVP589556:NVP589758 NLT589556:NLT589758 NBX589556:NBX589758 MSB589556:MSB589758 MIF589556:MIF589758 LYJ589556:LYJ589758 LON589556:LON589758 LER589556:LER589758 KUV589556:KUV589758 KKZ589556:KKZ589758 KBD589556:KBD589758 JRH589556:JRH589758 JHL589556:JHL589758 IXP589556:IXP589758 INT589556:INT589758 IDX589556:IDX589758 HUB589556:HUB589758 HKF589556:HKF589758 HAJ589556:HAJ589758 GQN589556:GQN589758 GGR589556:GGR589758 FWV589556:FWV589758 FMZ589556:FMZ589758 FDD589556:FDD589758 ETH589556:ETH589758 EJL589556:EJL589758 DZP589556:DZP589758 DPT589556:DPT589758 DFX589556:DFX589758 CWB589556:CWB589758 CMF589556:CMF589758 CCJ589556:CCJ589758 BSN589556:BSN589758 BIR589556:BIR589758 AYV589556:AYV589758 AOZ589556:AOZ589758 AFD589556:AFD589758 VH589556:VH589758 LL589556:LL589758 BN589556:BN589758 WXX524020:WXX524222 WOB524020:WOB524222 WEF524020:WEF524222 VUJ524020:VUJ524222 VKN524020:VKN524222 VAR524020:VAR524222 UQV524020:UQV524222 UGZ524020:UGZ524222 TXD524020:TXD524222 TNH524020:TNH524222 TDL524020:TDL524222 STP524020:STP524222 SJT524020:SJT524222 RZX524020:RZX524222 RQB524020:RQB524222 RGF524020:RGF524222 QWJ524020:QWJ524222 QMN524020:QMN524222 QCR524020:QCR524222 PSV524020:PSV524222 PIZ524020:PIZ524222 OZD524020:OZD524222 OPH524020:OPH524222 OFL524020:OFL524222 NVP524020:NVP524222 NLT524020:NLT524222 NBX524020:NBX524222 MSB524020:MSB524222 MIF524020:MIF524222 LYJ524020:LYJ524222 LON524020:LON524222 LER524020:LER524222 KUV524020:KUV524222 KKZ524020:KKZ524222 KBD524020:KBD524222 JRH524020:JRH524222 JHL524020:JHL524222 IXP524020:IXP524222 INT524020:INT524222 IDX524020:IDX524222 HUB524020:HUB524222 HKF524020:HKF524222 HAJ524020:HAJ524222 GQN524020:GQN524222 GGR524020:GGR524222 FWV524020:FWV524222 FMZ524020:FMZ524222 FDD524020:FDD524222 ETH524020:ETH524222 EJL524020:EJL524222 DZP524020:DZP524222 DPT524020:DPT524222 DFX524020:DFX524222 CWB524020:CWB524222 CMF524020:CMF524222 CCJ524020:CCJ524222 BSN524020:BSN524222 BIR524020:BIR524222 AYV524020:AYV524222 AOZ524020:AOZ524222 AFD524020:AFD524222 VH524020:VH524222 LL524020:LL524222 BN524020:BN524222 WXX458484:WXX458686 WOB458484:WOB458686 WEF458484:WEF458686 VUJ458484:VUJ458686 VKN458484:VKN458686 VAR458484:VAR458686 UQV458484:UQV458686 UGZ458484:UGZ458686 TXD458484:TXD458686 TNH458484:TNH458686 TDL458484:TDL458686 STP458484:STP458686 SJT458484:SJT458686 RZX458484:RZX458686 RQB458484:RQB458686 RGF458484:RGF458686 QWJ458484:QWJ458686 QMN458484:QMN458686 QCR458484:QCR458686 PSV458484:PSV458686 PIZ458484:PIZ458686 OZD458484:OZD458686 OPH458484:OPH458686 OFL458484:OFL458686 NVP458484:NVP458686 NLT458484:NLT458686 NBX458484:NBX458686 MSB458484:MSB458686 MIF458484:MIF458686 LYJ458484:LYJ458686 LON458484:LON458686 LER458484:LER458686 KUV458484:KUV458686 KKZ458484:KKZ458686 KBD458484:KBD458686 JRH458484:JRH458686 JHL458484:JHL458686 IXP458484:IXP458686 INT458484:INT458686 IDX458484:IDX458686 HUB458484:HUB458686 HKF458484:HKF458686 HAJ458484:HAJ458686 GQN458484:GQN458686 GGR458484:GGR458686 FWV458484:FWV458686 FMZ458484:FMZ458686 FDD458484:FDD458686 ETH458484:ETH458686 EJL458484:EJL458686 DZP458484:DZP458686 DPT458484:DPT458686 DFX458484:DFX458686 CWB458484:CWB458686 CMF458484:CMF458686 CCJ458484:CCJ458686 BSN458484:BSN458686 BIR458484:BIR458686 AYV458484:AYV458686 AOZ458484:AOZ458686 AFD458484:AFD458686 VH458484:VH458686 LL458484:LL458686 BN458484:BN458686 WXX392948:WXX393150 WOB392948:WOB393150 WEF392948:WEF393150 VUJ392948:VUJ393150 VKN392948:VKN393150 VAR392948:VAR393150 UQV392948:UQV393150 UGZ392948:UGZ393150 TXD392948:TXD393150 TNH392948:TNH393150 TDL392948:TDL393150 STP392948:STP393150 SJT392948:SJT393150 RZX392948:RZX393150 RQB392948:RQB393150 RGF392948:RGF393150 QWJ392948:QWJ393150 QMN392948:QMN393150 QCR392948:QCR393150 PSV392948:PSV393150 PIZ392948:PIZ393150 OZD392948:OZD393150 OPH392948:OPH393150 OFL392948:OFL393150 NVP392948:NVP393150 NLT392948:NLT393150 NBX392948:NBX393150 MSB392948:MSB393150 MIF392948:MIF393150 LYJ392948:LYJ393150 LON392948:LON393150 LER392948:LER393150 KUV392948:KUV393150 KKZ392948:KKZ393150 KBD392948:KBD393150 JRH392948:JRH393150 JHL392948:JHL393150 IXP392948:IXP393150 INT392948:INT393150 IDX392948:IDX393150 HUB392948:HUB393150 HKF392948:HKF393150 HAJ392948:HAJ393150 GQN392948:GQN393150 GGR392948:GGR393150 FWV392948:FWV393150 FMZ392948:FMZ393150 FDD392948:FDD393150 ETH392948:ETH393150 EJL392948:EJL393150 DZP392948:DZP393150 DPT392948:DPT393150 DFX392948:DFX393150 CWB392948:CWB393150 CMF392948:CMF393150 CCJ392948:CCJ393150 BSN392948:BSN393150 BIR392948:BIR393150 AYV392948:AYV393150 AOZ392948:AOZ393150 AFD392948:AFD393150 VH392948:VH393150 LL392948:LL393150 BN392948:BN393150 WXX327412:WXX327614 WOB327412:WOB327614 WEF327412:WEF327614 VUJ327412:VUJ327614 VKN327412:VKN327614 VAR327412:VAR327614 UQV327412:UQV327614 UGZ327412:UGZ327614 TXD327412:TXD327614 TNH327412:TNH327614 TDL327412:TDL327614 STP327412:STP327614 SJT327412:SJT327614 RZX327412:RZX327614 RQB327412:RQB327614 RGF327412:RGF327614 QWJ327412:QWJ327614 QMN327412:QMN327614 QCR327412:QCR327614 PSV327412:PSV327614 PIZ327412:PIZ327614 OZD327412:OZD327614 OPH327412:OPH327614 OFL327412:OFL327614 NVP327412:NVP327614 NLT327412:NLT327614 NBX327412:NBX327614 MSB327412:MSB327614 MIF327412:MIF327614 LYJ327412:LYJ327614 LON327412:LON327614 LER327412:LER327614 KUV327412:KUV327614 KKZ327412:KKZ327614 KBD327412:KBD327614 JRH327412:JRH327614 JHL327412:JHL327614 IXP327412:IXP327614 INT327412:INT327614 IDX327412:IDX327614 HUB327412:HUB327614 HKF327412:HKF327614 HAJ327412:HAJ327614 GQN327412:GQN327614 GGR327412:GGR327614 FWV327412:FWV327614 FMZ327412:FMZ327614 FDD327412:FDD327614 ETH327412:ETH327614 EJL327412:EJL327614 DZP327412:DZP327614 DPT327412:DPT327614 DFX327412:DFX327614 CWB327412:CWB327614 CMF327412:CMF327614 CCJ327412:CCJ327614 BSN327412:BSN327614 BIR327412:BIR327614 AYV327412:AYV327614 AOZ327412:AOZ327614 AFD327412:AFD327614 VH327412:VH327614 LL327412:LL327614 BN327412:BN327614 WXX261876:WXX262078 WOB261876:WOB262078 WEF261876:WEF262078 VUJ261876:VUJ262078 VKN261876:VKN262078 VAR261876:VAR262078 UQV261876:UQV262078 UGZ261876:UGZ262078 TXD261876:TXD262078 TNH261876:TNH262078 TDL261876:TDL262078 STP261876:STP262078 SJT261876:SJT262078 RZX261876:RZX262078 RQB261876:RQB262078 RGF261876:RGF262078 QWJ261876:QWJ262078 QMN261876:QMN262078 QCR261876:QCR262078 PSV261876:PSV262078 PIZ261876:PIZ262078 OZD261876:OZD262078 OPH261876:OPH262078 OFL261876:OFL262078 NVP261876:NVP262078 NLT261876:NLT262078 NBX261876:NBX262078 MSB261876:MSB262078 MIF261876:MIF262078 LYJ261876:LYJ262078 LON261876:LON262078 LER261876:LER262078 KUV261876:KUV262078 KKZ261876:KKZ262078 KBD261876:KBD262078 JRH261876:JRH262078 JHL261876:JHL262078 IXP261876:IXP262078 INT261876:INT262078 IDX261876:IDX262078 HUB261876:HUB262078 HKF261876:HKF262078 HAJ261876:HAJ262078 GQN261876:GQN262078 GGR261876:GGR262078 FWV261876:FWV262078 FMZ261876:FMZ262078 FDD261876:FDD262078 ETH261876:ETH262078 EJL261876:EJL262078 DZP261876:DZP262078 DPT261876:DPT262078 DFX261876:DFX262078 CWB261876:CWB262078 CMF261876:CMF262078 CCJ261876:CCJ262078 BSN261876:BSN262078 BIR261876:BIR262078 AYV261876:AYV262078 AOZ261876:AOZ262078 AFD261876:AFD262078 VH261876:VH262078 LL261876:LL262078 BN261876:BN262078 WXX196340:WXX196542 WOB196340:WOB196542 WEF196340:WEF196542 VUJ196340:VUJ196542 VKN196340:VKN196542 VAR196340:VAR196542 UQV196340:UQV196542 UGZ196340:UGZ196542 TXD196340:TXD196542 TNH196340:TNH196542 TDL196340:TDL196542 STP196340:STP196542 SJT196340:SJT196542 RZX196340:RZX196542 RQB196340:RQB196542 RGF196340:RGF196542 QWJ196340:QWJ196542 QMN196340:QMN196542 QCR196340:QCR196542 PSV196340:PSV196542 PIZ196340:PIZ196542 OZD196340:OZD196542 OPH196340:OPH196542 OFL196340:OFL196542 NVP196340:NVP196542 NLT196340:NLT196542 NBX196340:NBX196542 MSB196340:MSB196542 MIF196340:MIF196542 LYJ196340:LYJ196542 LON196340:LON196542 LER196340:LER196542 KUV196340:KUV196542 KKZ196340:KKZ196542 KBD196340:KBD196542 JRH196340:JRH196542 JHL196340:JHL196542 IXP196340:IXP196542 INT196340:INT196542 IDX196340:IDX196542 HUB196340:HUB196542 HKF196340:HKF196542 HAJ196340:HAJ196542 GQN196340:GQN196542 GGR196340:GGR196542 FWV196340:FWV196542 FMZ196340:FMZ196542 FDD196340:FDD196542 ETH196340:ETH196542 EJL196340:EJL196542 DZP196340:DZP196542 DPT196340:DPT196542 DFX196340:DFX196542 CWB196340:CWB196542 CMF196340:CMF196542 CCJ196340:CCJ196542 BSN196340:BSN196542 BIR196340:BIR196542 AYV196340:AYV196542 AOZ196340:AOZ196542 AFD196340:AFD196542 VH196340:VH196542 LL196340:LL196542 BN196340:BN196542 WXX130804:WXX131006 WOB130804:WOB131006 WEF130804:WEF131006 VUJ130804:VUJ131006 VKN130804:VKN131006 VAR130804:VAR131006 UQV130804:UQV131006 UGZ130804:UGZ131006 TXD130804:TXD131006 TNH130804:TNH131006 TDL130804:TDL131006 STP130804:STP131006 SJT130804:SJT131006 RZX130804:RZX131006 RQB130804:RQB131006 RGF130804:RGF131006 QWJ130804:QWJ131006 QMN130804:QMN131006 QCR130804:QCR131006 PSV130804:PSV131006 PIZ130804:PIZ131006 OZD130804:OZD131006 OPH130804:OPH131006 OFL130804:OFL131006 NVP130804:NVP131006 NLT130804:NLT131006 NBX130804:NBX131006 MSB130804:MSB131006 MIF130804:MIF131006 LYJ130804:LYJ131006 LON130804:LON131006 LER130804:LER131006 KUV130804:KUV131006 KKZ130804:KKZ131006 KBD130804:KBD131006 JRH130804:JRH131006 JHL130804:JHL131006 IXP130804:IXP131006 INT130804:INT131006 IDX130804:IDX131006 HUB130804:HUB131006 HKF130804:HKF131006 HAJ130804:HAJ131006 GQN130804:GQN131006 GGR130804:GGR131006 FWV130804:FWV131006 FMZ130804:FMZ131006 FDD130804:FDD131006 ETH130804:ETH131006 EJL130804:EJL131006 DZP130804:DZP131006 DPT130804:DPT131006 DFX130804:DFX131006 CWB130804:CWB131006 CMF130804:CMF131006 CCJ130804:CCJ131006 BSN130804:BSN131006 BIR130804:BIR131006 AYV130804:AYV131006 AOZ130804:AOZ131006 AFD130804:AFD131006 VH130804:VH131006 LL130804:LL131006 BN130804:BN131006 WXX65268:WXX65470 WOB65268:WOB65470 WEF65268:WEF65470 VUJ65268:VUJ65470 VKN65268:VKN65470 VAR65268:VAR65470 UQV65268:UQV65470 UGZ65268:UGZ65470 TXD65268:TXD65470 TNH65268:TNH65470 TDL65268:TDL65470 STP65268:STP65470 SJT65268:SJT65470 RZX65268:RZX65470 RQB65268:RQB65470 RGF65268:RGF65470 QWJ65268:QWJ65470 QMN65268:QMN65470 QCR65268:QCR65470 PSV65268:PSV65470 PIZ65268:PIZ65470 OZD65268:OZD65470 OPH65268:OPH65470 OFL65268:OFL65470 NVP65268:NVP65470 NLT65268:NLT65470 NBX65268:NBX65470 MSB65268:MSB65470 MIF65268:MIF65470 LYJ65268:LYJ65470 LON65268:LON65470 LER65268:LER65470 KUV65268:KUV65470 KKZ65268:KKZ65470 KBD65268:KBD65470 JRH65268:JRH65470 JHL65268:JHL65470 IXP65268:IXP65470 INT65268:INT65470 IDX65268:IDX65470 HUB65268:HUB65470 HKF65268:HKF65470 HAJ65268:HAJ65470 GQN65268:GQN65470 GGR65268:GGR65470 FWV65268:FWV65470 FMZ65268:FMZ65470 FDD65268:FDD65470 ETH65268:ETH65470 EJL65268:EJL65470 DZP65268:DZP65470 DPT65268:DPT65470 DFX65268:DFX65470 CWB65268:CWB65470 CMF65268:CMF65470 CCJ65268:CCJ65470 BSN65268:BSN65470 BIR65268:BIR65470 AYV65268:AYV65470 AOZ65268:AOZ65470 AFD65268:AFD65470 VH65268:VH65470 LL65268:LL65470 WXX5:WXX11 WOB5:WOB11 WEF5:WEF11 VUJ5:VUJ11 VKN5:VKN11 VAR5:VAR11 UQV5:UQV11 UGZ5:UGZ11 TXD5:TXD11 TNH5:TNH11 TDL5:TDL11 STP5:STP11 SJT5:SJT11 RZX5:RZX11 RQB5:RQB11 RGF5:RGF11 QWJ5:QWJ11 QMN5:QMN11 QCR5:QCR11 PSV5:PSV11 PIZ5:PIZ11 OZD5:OZD11 OPH5:OPH11 OFL5:OFL11 NVP5:NVP11 NLT5:NLT11 NBX5:NBX11 MSB5:MSB11 MIF5:MIF11 LYJ5:LYJ11 LON5:LON11 LER5:LER11 KUV5:KUV11 KKZ5:KKZ11 KBD5:KBD11 JRH5:JRH11 JHL5:JHL11 IXP5:IXP11 INT5:INT11 IDX5:IDX11 HUB5:HUB11 HKF5:HKF11 HAJ5:HAJ11 GQN5:GQN11 GGR5:GGR11 FWV5:FWV11 FMZ5:FMZ11 FDD5:FDD11 ETH5:ETH11 EJL5:EJL11 DZP5:DZP11 DPT5:DPT11 DFX5:DFX11 CWB5:CWB11 CMF5:CMF11 CCJ5:CCJ11 BSN5:BSN11 BIR5:BIR11 AYV5:AYV11 AOZ5:AOZ11 AFD5:AFD11">
      <formula1>$E$12:$E$12</formula1>
    </dataValidation>
    <dataValidation type="whole" allowBlank="1" showInputMessage="1" showErrorMessage="1" sqref="BM65268:BM65474 LK65268:LK65474 VG65268:VG65474 AFC65268:AFC65474 AOY65268:AOY65474 AYU65268:AYU65474 BIQ65268:BIQ65474 BSM65268:BSM65474 CCI65268:CCI65474 CME65268:CME65474 CWA65268:CWA65474 DFW65268:DFW65474 DPS65268:DPS65474 DZO65268:DZO65474 EJK65268:EJK65474 ETG65268:ETG65474 FDC65268:FDC65474 FMY65268:FMY65474 FWU65268:FWU65474 GGQ65268:GGQ65474 GQM65268:GQM65474 HAI65268:HAI65474 HKE65268:HKE65474 HUA65268:HUA65474 IDW65268:IDW65474 INS65268:INS65474 IXO65268:IXO65474 JHK65268:JHK65474 JRG65268:JRG65474 KBC65268:KBC65474 KKY65268:KKY65474 KUU65268:KUU65474 LEQ65268:LEQ65474 LOM65268:LOM65474 LYI65268:LYI65474 MIE65268:MIE65474 MSA65268:MSA65474 NBW65268:NBW65474 NLS65268:NLS65474 NVO65268:NVO65474 OFK65268:OFK65474 OPG65268:OPG65474 OZC65268:OZC65474 PIY65268:PIY65474 PSU65268:PSU65474 QCQ65268:QCQ65474 QMM65268:QMM65474 QWI65268:QWI65474 RGE65268:RGE65474 RQA65268:RQA65474 RZW65268:RZW65474 SJS65268:SJS65474 STO65268:STO65474 TDK65268:TDK65474 TNG65268:TNG65474 TXC65268:TXC65474 UGY65268:UGY65474 UQU65268:UQU65474 VAQ65268:VAQ65474 VKM65268:VKM65474 VUI65268:VUI65474 WEE65268:WEE65474 WOA65268:WOA65474 WXW65268:WXW65474 BM130804:BM131010 LK130804:LK131010 VG130804:VG131010 AFC130804:AFC131010 AOY130804:AOY131010 AYU130804:AYU131010 BIQ130804:BIQ131010 BSM130804:BSM131010 CCI130804:CCI131010 CME130804:CME131010 CWA130804:CWA131010 DFW130804:DFW131010 DPS130804:DPS131010 DZO130804:DZO131010 EJK130804:EJK131010 ETG130804:ETG131010 FDC130804:FDC131010 FMY130804:FMY131010 FWU130804:FWU131010 GGQ130804:GGQ131010 GQM130804:GQM131010 HAI130804:HAI131010 HKE130804:HKE131010 HUA130804:HUA131010 IDW130804:IDW131010 INS130804:INS131010 IXO130804:IXO131010 JHK130804:JHK131010 JRG130804:JRG131010 KBC130804:KBC131010 KKY130804:KKY131010 KUU130804:KUU131010 LEQ130804:LEQ131010 LOM130804:LOM131010 LYI130804:LYI131010 MIE130804:MIE131010 MSA130804:MSA131010 NBW130804:NBW131010 NLS130804:NLS131010 NVO130804:NVO131010 OFK130804:OFK131010 OPG130804:OPG131010 OZC130804:OZC131010 PIY130804:PIY131010 PSU130804:PSU131010 QCQ130804:QCQ131010 QMM130804:QMM131010 QWI130804:QWI131010 RGE130804:RGE131010 RQA130804:RQA131010 RZW130804:RZW131010 SJS130804:SJS131010 STO130804:STO131010 TDK130804:TDK131010 TNG130804:TNG131010 TXC130804:TXC131010 UGY130804:UGY131010 UQU130804:UQU131010 VAQ130804:VAQ131010 VKM130804:VKM131010 VUI130804:VUI131010 WEE130804:WEE131010 WOA130804:WOA131010 WXW130804:WXW131010 BM196340:BM196546 LK196340:LK196546 VG196340:VG196546 AFC196340:AFC196546 AOY196340:AOY196546 AYU196340:AYU196546 BIQ196340:BIQ196546 BSM196340:BSM196546 CCI196340:CCI196546 CME196340:CME196546 CWA196340:CWA196546 DFW196340:DFW196546 DPS196340:DPS196546 DZO196340:DZO196546 EJK196340:EJK196546 ETG196340:ETG196546 FDC196340:FDC196546 FMY196340:FMY196546 FWU196340:FWU196546 GGQ196340:GGQ196546 GQM196340:GQM196546 HAI196340:HAI196546 HKE196340:HKE196546 HUA196340:HUA196546 IDW196340:IDW196546 INS196340:INS196546 IXO196340:IXO196546 JHK196340:JHK196546 JRG196340:JRG196546 KBC196340:KBC196546 KKY196340:KKY196546 KUU196340:KUU196546 LEQ196340:LEQ196546 LOM196340:LOM196546 LYI196340:LYI196546 MIE196340:MIE196546 MSA196340:MSA196546 NBW196340:NBW196546 NLS196340:NLS196546 NVO196340:NVO196546 OFK196340:OFK196546 OPG196340:OPG196546 OZC196340:OZC196546 PIY196340:PIY196546 PSU196340:PSU196546 QCQ196340:QCQ196546 QMM196340:QMM196546 QWI196340:QWI196546 RGE196340:RGE196546 RQA196340:RQA196546 RZW196340:RZW196546 SJS196340:SJS196546 STO196340:STO196546 TDK196340:TDK196546 TNG196340:TNG196546 TXC196340:TXC196546 UGY196340:UGY196546 UQU196340:UQU196546 VAQ196340:VAQ196546 VKM196340:VKM196546 VUI196340:VUI196546 WEE196340:WEE196546 WOA196340:WOA196546 WXW196340:WXW196546 BM261876:BM262082 LK261876:LK262082 VG261876:VG262082 AFC261876:AFC262082 AOY261876:AOY262082 AYU261876:AYU262082 BIQ261876:BIQ262082 BSM261876:BSM262082 CCI261876:CCI262082 CME261876:CME262082 CWA261876:CWA262082 DFW261876:DFW262082 DPS261876:DPS262082 DZO261876:DZO262082 EJK261876:EJK262082 ETG261876:ETG262082 FDC261876:FDC262082 FMY261876:FMY262082 FWU261876:FWU262082 GGQ261876:GGQ262082 GQM261876:GQM262082 HAI261876:HAI262082 HKE261876:HKE262082 HUA261876:HUA262082 IDW261876:IDW262082 INS261876:INS262082 IXO261876:IXO262082 JHK261876:JHK262082 JRG261876:JRG262082 KBC261876:KBC262082 KKY261876:KKY262082 KUU261876:KUU262082 LEQ261876:LEQ262082 LOM261876:LOM262082 LYI261876:LYI262082 MIE261876:MIE262082 MSA261876:MSA262082 NBW261876:NBW262082 NLS261876:NLS262082 NVO261876:NVO262082 OFK261876:OFK262082 OPG261876:OPG262082 OZC261876:OZC262082 PIY261876:PIY262082 PSU261876:PSU262082 QCQ261876:QCQ262082 QMM261876:QMM262082 QWI261876:QWI262082 RGE261876:RGE262082 RQA261876:RQA262082 RZW261876:RZW262082 SJS261876:SJS262082 STO261876:STO262082 TDK261876:TDK262082 TNG261876:TNG262082 TXC261876:TXC262082 UGY261876:UGY262082 UQU261876:UQU262082 VAQ261876:VAQ262082 VKM261876:VKM262082 VUI261876:VUI262082 WEE261876:WEE262082 WOA261876:WOA262082 WXW261876:WXW262082 BM327412:BM327618 LK327412:LK327618 VG327412:VG327618 AFC327412:AFC327618 AOY327412:AOY327618 AYU327412:AYU327618 BIQ327412:BIQ327618 BSM327412:BSM327618 CCI327412:CCI327618 CME327412:CME327618 CWA327412:CWA327618 DFW327412:DFW327618 DPS327412:DPS327618 DZO327412:DZO327618 EJK327412:EJK327618 ETG327412:ETG327618 FDC327412:FDC327618 FMY327412:FMY327618 FWU327412:FWU327618 GGQ327412:GGQ327618 GQM327412:GQM327618 HAI327412:HAI327618 HKE327412:HKE327618 HUA327412:HUA327618 IDW327412:IDW327618 INS327412:INS327618 IXO327412:IXO327618 JHK327412:JHK327618 JRG327412:JRG327618 KBC327412:KBC327618 KKY327412:KKY327618 KUU327412:KUU327618 LEQ327412:LEQ327618 LOM327412:LOM327618 LYI327412:LYI327618 MIE327412:MIE327618 MSA327412:MSA327618 NBW327412:NBW327618 NLS327412:NLS327618 NVO327412:NVO327618 OFK327412:OFK327618 OPG327412:OPG327618 OZC327412:OZC327618 PIY327412:PIY327618 PSU327412:PSU327618 QCQ327412:QCQ327618 QMM327412:QMM327618 QWI327412:QWI327618 RGE327412:RGE327618 RQA327412:RQA327618 RZW327412:RZW327618 SJS327412:SJS327618 STO327412:STO327618 TDK327412:TDK327618 TNG327412:TNG327618 TXC327412:TXC327618 UGY327412:UGY327618 UQU327412:UQU327618 VAQ327412:VAQ327618 VKM327412:VKM327618 VUI327412:VUI327618 WEE327412:WEE327618 WOA327412:WOA327618 WXW327412:WXW327618 BM392948:BM393154 LK392948:LK393154 VG392948:VG393154 AFC392948:AFC393154 AOY392948:AOY393154 AYU392948:AYU393154 BIQ392948:BIQ393154 BSM392948:BSM393154 CCI392948:CCI393154 CME392948:CME393154 CWA392948:CWA393154 DFW392948:DFW393154 DPS392948:DPS393154 DZO392948:DZO393154 EJK392948:EJK393154 ETG392948:ETG393154 FDC392948:FDC393154 FMY392948:FMY393154 FWU392948:FWU393154 GGQ392948:GGQ393154 GQM392948:GQM393154 HAI392948:HAI393154 HKE392948:HKE393154 HUA392948:HUA393154 IDW392948:IDW393154 INS392948:INS393154 IXO392948:IXO393154 JHK392948:JHK393154 JRG392948:JRG393154 KBC392948:KBC393154 KKY392948:KKY393154 KUU392948:KUU393154 LEQ392948:LEQ393154 LOM392948:LOM393154 LYI392948:LYI393154 MIE392948:MIE393154 MSA392948:MSA393154 NBW392948:NBW393154 NLS392948:NLS393154 NVO392948:NVO393154 OFK392948:OFK393154 OPG392948:OPG393154 OZC392948:OZC393154 PIY392948:PIY393154 PSU392948:PSU393154 QCQ392948:QCQ393154 QMM392948:QMM393154 QWI392948:QWI393154 RGE392948:RGE393154 RQA392948:RQA393154 RZW392948:RZW393154 SJS392948:SJS393154 STO392948:STO393154 TDK392948:TDK393154 TNG392948:TNG393154 TXC392948:TXC393154 UGY392948:UGY393154 UQU392948:UQU393154 VAQ392948:VAQ393154 VKM392948:VKM393154 VUI392948:VUI393154 WEE392948:WEE393154 WOA392948:WOA393154 WXW392948:WXW393154 BM458484:BM458690 LK458484:LK458690 VG458484:VG458690 AFC458484:AFC458690 AOY458484:AOY458690 AYU458484:AYU458690 BIQ458484:BIQ458690 BSM458484:BSM458690 CCI458484:CCI458690 CME458484:CME458690 CWA458484:CWA458690 DFW458484:DFW458690 DPS458484:DPS458690 DZO458484:DZO458690 EJK458484:EJK458690 ETG458484:ETG458690 FDC458484:FDC458690 FMY458484:FMY458690 FWU458484:FWU458690 GGQ458484:GGQ458690 GQM458484:GQM458690 HAI458484:HAI458690 HKE458484:HKE458690 HUA458484:HUA458690 IDW458484:IDW458690 INS458484:INS458690 IXO458484:IXO458690 JHK458484:JHK458690 JRG458484:JRG458690 KBC458484:KBC458690 KKY458484:KKY458690 KUU458484:KUU458690 LEQ458484:LEQ458690 LOM458484:LOM458690 LYI458484:LYI458690 MIE458484:MIE458690 MSA458484:MSA458690 NBW458484:NBW458690 NLS458484:NLS458690 NVO458484:NVO458690 OFK458484:OFK458690 OPG458484:OPG458690 OZC458484:OZC458690 PIY458484:PIY458690 PSU458484:PSU458690 QCQ458484:QCQ458690 QMM458484:QMM458690 QWI458484:QWI458690 RGE458484:RGE458690 RQA458484:RQA458690 RZW458484:RZW458690 SJS458484:SJS458690 STO458484:STO458690 TDK458484:TDK458690 TNG458484:TNG458690 TXC458484:TXC458690 UGY458484:UGY458690 UQU458484:UQU458690 VAQ458484:VAQ458690 VKM458484:VKM458690 VUI458484:VUI458690 WEE458484:WEE458690 WOA458484:WOA458690 WXW458484:WXW458690 BM524020:BM524226 LK524020:LK524226 VG524020:VG524226 AFC524020:AFC524226 AOY524020:AOY524226 AYU524020:AYU524226 BIQ524020:BIQ524226 BSM524020:BSM524226 CCI524020:CCI524226 CME524020:CME524226 CWA524020:CWA524226 DFW524020:DFW524226 DPS524020:DPS524226 DZO524020:DZO524226 EJK524020:EJK524226 ETG524020:ETG524226 FDC524020:FDC524226 FMY524020:FMY524226 FWU524020:FWU524226 GGQ524020:GGQ524226 GQM524020:GQM524226 HAI524020:HAI524226 HKE524020:HKE524226 HUA524020:HUA524226 IDW524020:IDW524226 INS524020:INS524226 IXO524020:IXO524226 JHK524020:JHK524226 JRG524020:JRG524226 KBC524020:KBC524226 KKY524020:KKY524226 KUU524020:KUU524226 LEQ524020:LEQ524226 LOM524020:LOM524226 LYI524020:LYI524226 MIE524020:MIE524226 MSA524020:MSA524226 NBW524020:NBW524226 NLS524020:NLS524226 NVO524020:NVO524226 OFK524020:OFK524226 OPG524020:OPG524226 OZC524020:OZC524226 PIY524020:PIY524226 PSU524020:PSU524226 QCQ524020:QCQ524226 QMM524020:QMM524226 QWI524020:QWI524226 RGE524020:RGE524226 RQA524020:RQA524226 RZW524020:RZW524226 SJS524020:SJS524226 STO524020:STO524226 TDK524020:TDK524226 TNG524020:TNG524226 TXC524020:TXC524226 UGY524020:UGY524226 UQU524020:UQU524226 VAQ524020:VAQ524226 VKM524020:VKM524226 VUI524020:VUI524226 WEE524020:WEE524226 WOA524020:WOA524226 WXW524020:WXW524226 BM589556:BM589762 LK589556:LK589762 VG589556:VG589762 AFC589556:AFC589762 AOY589556:AOY589762 AYU589556:AYU589762 BIQ589556:BIQ589762 BSM589556:BSM589762 CCI589556:CCI589762 CME589556:CME589762 CWA589556:CWA589762 DFW589556:DFW589762 DPS589556:DPS589762 DZO589556:DZO589762 EJK589556:EJK589762 ETG589556:ETG589762 FDC589556:FDC589762 FMY589556:FMY589762 FWU589556:FWU589762 GGQ589556:GGQ589762 GQM589556:GQM589762 HAI589556:HAI589762 HKE589556:HKE589762 HUA589556:HUA589762 IDW589556:IDW589762 INS589556:INS589762 IXO589556:IXO589762 JHK589556:JHK589762 JRG589556:JRG589762 KBC589556:KBC589762 KKY589556:KKY589762 KUU589556:KUU589762 LEQ589556:LEQ589762 LOM589556:LOM589762 LYI589556:LYI589762 MIE589556:MIE589762 MSA589556:MSA589762 NBW589556:NBW589762 NLS589556:NLS589762 NVO589556:NVO589762 OFK589556:OFK589762 OPG589556:OPG589762 OZC589556:OZC589762 PIY589556:PIY589762 PSU589556:PSU589762 QCQ589556:QCQ589762 QMM589556:QMM589762 QWI589556:QWI589762 RGE589556:RGE589762 RQA589556:RQA589762 RZW589556:RZW589762 SJS589556:SJS589762 STO589556:STO589762 TDK589556:TDK589762 TNG589556:TNG589762 TXC589556:TXC589762 UGY589556:UGY589762 UQU589556:UQU589762 VAQ589556:VAQ589762 VKM589556:VKM589762 VUI589556:VUI589762 WEE589556:WEE589762 WOA589556:WOA589762 WXW589556:WXW589762 BM655092:BM655298 LK655092:LK655298 VG655092:VG655298 AFC655092:AFC655298 AOY655092:AOY655298 AYU655092:AYU655298 BIQ655092:BIQ655298 BSM655092:BSM655298 CCI655092:CCI655298 CME655092:CME655298 CWA655092:CWA655298 DFW655092:DFW655298 DPS655092:DPS655298 DZO655092:DZO655298 EJK655092:EJK655298 ETG655092:ETG655298 FDC655092:FDC655298 FMY655092:FMY655298 FWU655092:FWU655298 GGQ655092:GGQ655298 GQM655092:GQM655298 HAI655092:HAI655298 HKE655092:HKE655298 HUA655092:HUA655298 IDW655092:IDW655298 INS655092:INS655298 IXO655092:IXO655298 JHK655092:JHK655298 JRG655092:JRG655298 KBC655092:KBC655298 KKY655092:KKY655298 KUU655092:KUU655298 LEQ655092:LEQ655298 LOM655092:LOM655298 LYI655092:LYI655298 MIE655092:MIE655298 MSA655092:MSA655298 NBW655092:NBW655298 NLS655092:NLS655298 NVO655092:NVO655298 OFK655092:OFK655298 OPG655092:OPG655298 OZC655092:OZC655298 PIY655092:PIY655298 PSU655092:PSU655298 QCQ655092:QCQ655298 QMM655092:QMM655298 QWI655092:QWI655298 RGE655092:RGE655298 RQA655092:RQA655298 RZW655092:RZW655298 SJS655092:SJS655298 STO655092:STO655298 TDK655092:TDK655298 TNG655092:TNG655298 TXC655092:TXC655298 UGY655092:UGY655298 UQU655092:UQU655298 VAQ655092:VAQ655298 VKM655092:VKM655298 VUI655092:VUI655298 WEE655092:WEE655298 WOA655092:WOA655298 WXW655092:WXW655298 BM720628:BM720834 LK720628:LK720834 VG720628:VG720834 AFC720628:AFC720834 AOY720628:AOY720834 AYU720628:AYU720834 BIQ720628:BIQ720834 BSM720628:BSM720834 CCI720628:CCI720834 CME720628:CME720834 CWA720628:CWA720834 DFW720628:DFW720834 DPS720628:DPS720834 DZO720628:DZO720834 EJK720628:EJK720834 ETG720628:ETG720834 FDC720628:FDC720834 FMY720628:FMY720834 FWU720628:FWU720834 GGQ720628:GGQ720834 GQM720628:GQM720834 HAI720628:HAI720834 HKE720628:HKE720834 HUA720628:HUA720834 IDW720628:IDW720834 INS720628:INS720834 IXO720628:IXO720834 JHK720628:JHK720834 JRG720628:JRG720834 KBC720628:KBC720834 KKY720628:KKY720834 KUU720628:KUU720834 LEQ720628:LEQ720834 LOM720628:LOM720834 LYI720628:LYI720834 MIE720628:MIE720834 MSA720628:MSA720834 NBW720628:NBW720834 NLS720628:NLS720834 NVO720628:NVO720834 OFK720628:OFK720834 OPG720628:OPG720834 OZC720628:OZC720834 PIY720628:PIY720834 PSU720628:PSU720834 QCQ720628:QCQ720834 QMM720628:QMM720834 QWI720628:QWI720834 RGE720628:RGE720834 RQA720628:RQA720834 RZW720628:RZW720834 SJS720628:SJS720834 STO720628:STO720834 TDK720628:TDK720834 TNG720628:TNG720834 TXC720628:TXC720834 UGY720628:UGY720834 UQU720628:UQU720834 VAQ720628:VAQ720834 VKM720628:VKM720834 VUI720628:VUI720834 WEE720628:WEE720834 WOA720628:WOA720834 WXW720628:WXW720834 BM786164:BM786370 LK786164:LK786370 VG786164:VG786370 AFC786164:AFC786370 AOY786164:AOY786370 AYU786164:AYU786370 BIQ786164:BIQ786370 BSM786164:BSM786370 CCI786164:CCI786370 CME786164:CME786370 CWA786164:CWA786370 DFW786164:DFW786370 DPS786164:DPS786370 DZO786164:DZO786370 EJK786164:EJK786370 ETG786164:ETG786370 FDC786164:FDC786370 FMY786164:FMY786370 FWU786164:FWU786370 GGQ786164:GGQ786370 GQM786164:GQM786370 HAI786164:HAI786370 HKE786164:HKE786370 HUA786164:HUA786370 IDW786164:IDW786370 INS786164:INS786370 IXO786164:IXO786370 JHK786164:JHK786370 JRG786164:JRG786370 KBC786164:KBC786370 KKY786164:KKY786370 KUU786164:KUU786370 LEQ786164:LEQ786370 LOM786164:LOM786370 LYI786164:LYI786370 MIE786164:MIE786370 MSA786164:MSA786370 NBW786164:NBW786370 NLS786164:NLS786370 NVO786164:NVO786370 OFK786164:OFK786370 OPG786164:OPG786370 OZC786164:OZC786370 PIY786164:PIY786370 PSU786164:PSU786370 QCQ786164:QCQ786370 QMM786164:QMM786370 QWI786164:QWI786370 RGE786164:RGE786370 RQA786164:RQA786370 RZW786164:RZW786370 SJS786164:SJS786370 STO786164:STO786370 TDK786164:TDK786370 TNG786164:TNG786370 TXC786164:TXC786370 UGY786164:UGY786370 UQU786164:UQU786370 VAQ786164:VAQ786370 VKM786164:VKM786370 VUI786164:VUI786370 WEE786164:WEE786370 WOA786164:WOA786370 WXW786164:WXW786370 BM851700:BM851906 LK851700:LK851906 VG851700:VG851906 AFC851700:AFC851906 AOY851700:AOY851906 AYU851700:AYU851906 BIQ851700:BIQ851906 BSM851700:BSM851906 CCI851700:CCI851906 CME851700:CME851906 CWA851700:CWA851906 DFW851700:DFW851906 DPS851700:DPS851906 DZO851700:DZO851906 EJK851700:EJK851906 ETG851700:ETG851906 FDC851700:FDC851906 FMY851700:FMY851906 FWU851700:FWU851906 GGQ851700:GGQ851906 GQM851700:GQM851906 HAI851700:HAI851906 HKE851700:HKE851906 HUA851700:HUA851906 IDW851700:IDW851906 INS851700:INS851906 IXO851700:IXO851906 JHK851700:JHK851906 JRG851700:JRG851906 KBC851700:KBC851906 KKY851700:KKY851906 KUU851700:KUU851906 LEQ851700:LEQ851906 LOM851700:LOM851906 LYI851700:LYI851906 MIE851700:MIE851906 MSA851700:MSA851906 NBW851700:NBW851906 NLS851700:NLS851906 NVO851700:NVO851906 OFK851700:OFK851906 OPG851700:OPG851906 OZC851700:OZC851906 PIY851700:PIY851906 PSU851700:PSU851906 QCQ851700:QCQ851906 QMM851700:QMM851906 QWI851700:QWI851906 RGE851700:RGE851906 RQA851700:RQA851906 RZW851700:RZW851906 SJS851700:SJS851906 STO851700:STO851906 TDK851700:TDK851906 TNG851700:TNG851906 TXC851700:TXC851906 UGY851700:UGY851906 UQU851700:UQU851906 VAQ851700:VAQ851906 VKM851700:VKM851906 VUI851700:VUI851906 WEE851700:WEE851906 WOA851700:WOA851906 WXW851700:WXW851906 BM917236:BM917442 LK917236:LK917442 VG917236:VG917442 AFC917236:AFC917442 AOY917236:AOY917442 AYU917236:AYU917442 BIQ917236:BIQ917442 BSM917236:BSM917442 CCI917236:CCI917442 CME917236:CME917442 CWA917236:CWA917442 DFW917236:DFW917442 DPS917236:DPS917442 DZO917236:DZO917442 EJK917236:EJK917442 ETG917236:ETG917442 FDC917236:FDC917442 FMY917236:FMY917442 FWU917236:FWU917442 GGQ917236:GGQ917442 GQM917236:GQM917442 HAI917236:HAI917442 HKE917236:HKE917442 HUA917236:HUA917442 IDW917236:IDW917442 INS917236:INS917442 IXO917236:IXO917442 JHK917236:JHK917442 JRG917236:JRG917442 KBC917236:KBC917442 KKY917236:KKY917442 KUU917236:KUU917442 LEQ917236:LEQ917442 LOM917236:LOM917442 LYI917236:LYI917442 MIE917236:MIE917442 MSA917236:MSA917442 NBW917236:NBW917442 NLS917236:NLS917442 NVO917236:NVO917442 OFK917236:OFK917442 OPG917236:OPG917442 OZC917236:OZC917442 PIY917236:PIY917442 PSU917236:PSU917442 QCQ917236:QCQ917442 QMM917236:QMM917442 QWI917236:QWI917442 RGE917236:RGE917442 RQA917236:RQA917442 RZW917236:RZW917442 SJS917236:SJS917442 STO917236:STO917442 TDK917236:TDK917442 TNG917236:TNG917442 TXC917236:TXC917442 UGY917236:UGY917442 UQU917236:UQU917442 VAQ917236:VAQ917442 VKM917236:VKM917442 VUI917236:VUI917442 WEE917236:WEE917442 WOA917236:WOA917442 WXW917236:WXW917442 BM982772:BM982978 LK982772:LK982978 VG982772:VG982978 AFC982772:AFC982978 AOY982772:AOY982978 AYU982772:AYU982978 BIQ982772:BIQ982978 BSM982772:BSM982978 CCI982772:CCI982978 CME982772:CME982978 CWA982772:CWA982978 DFW982772:DFW982978 DPS982772:DPS982978 DZO982772:DZO982978 EJK982772:EJK982978 ETG982772:ETG982978 FDC982772:FDC982978 FMY982772:FMY982978 FWU982772:FWU982978 GGQ982772:GGQ982978 GQM982772:GQM982978 HAI982772:HAI982978 HKE982772:HKE982978 HUA982772:HUA982978 IDW982772:IDW982978 INS982772:INS982978 IXO982772:IXO982978 JHK982772:JHK982978 JRG982772:JRG982978 KBC982772:KBC982978 KKY982772:KKY982978 KUU982772:KUU982978 LEQ982772:LEQ982978 LOM982772:LOM982978 LYI982772:LYI982978 MIE982772:MIE982978 MSA982772:MSA982978 NBW982772:NBW982978 NLS982772:NLS982978 NVO982772:NVO982978 OFK982772:OFK982978 OPG982772:OPG982978 OZC982772:OZC982978 PIY982772:PIY982978 PSU982772:PSU982978 QCQ982772:QCQ982978 QMM982772:QMM982978 QWI982772:QWI982978 RGE982772:RGE982978 RQA982772:RQA982978 RZW982772:RZW982978 SJS982772:SJS982978 STO982772:STO982978 TDK982772:TDK982978 TNG982772:TNG982978 TXC982772:TXC982978 UGY982772:UGY982978 UQU982772:UQU982978 VAQ982772:VAQ982978 VKM982772:VKM982978 VUI982772:VUI982978 WEE982772:WEE982978 WOA982772:WOA982978 WXW982772:WXW982978 WXW5:WXW11 LK5:LK11 VG5:VG11 AFC5:AFC11 AOY5:AOY11 AYU5:AYU11 BIQ5:BIQ11 BSM5:BSM11 CCI5:CCI11 CME5:CME11 CWA5:CWA11 DFW5:DFW11 DPS5:DPS11 DZO5:DZO11 EJK5:EJK11 ETG5:ETG11 FDC5:FDC11 FMY5:FMY11 FWU5:FWU11 GGQ5:GGQ11 GQM5:GQM11 HAI5:HAI11 HKE5:HKE11 HUA5:HUA11 IDW5:IDW11 INS5:INS11 IXO5:IXO11 JHK5:JHK11 JRG5:JRG11 KBC5:KBC11 KKY5:KKY11 KUU5:KUU11 LEQ5:LEQ11 LOM5:LOM11 LYI5:LYI11 MIE5:MIE11 MSA5:MSA11 NBW5:NBW11 NLS5:NLS11 NVO5:NVO11 OFK5:OFK11 OPG5:OPG11 OZC5:OZC11 PIY5:PIY11 PSU5:PSU11 QCQ5:QCQ11 QMM5:QMM11 QWI5:QWI11 RGE5:RGE11 RQA5:RQA11 RZW5:RZW11 SJS5:SJS11 STO5:STO11 TDK5:TDK11 TNG5:TNG11 TXC5:TXC11 UGY5:UGY11 UQU5:UQU11 VAQ5:VAQ11 VKM5:VKM11 VUI5:VUI11 WEE5:WEE11 WOA5:WOA11">
      <formula1>0</formula1>
      <formula2>1000000000</formula2>
    </dataValidation>
    <dataValidation type="whole" allowBlank="1" showInputMessage="1" showErrorMessage="1" sqref="BT65268:BT65474 LO65268:LO65474 VK65268:VK65474 AFG65268:AFG65474 APC65268:APC65474 AYY65268:AYY65474 BIU65268:BIU65474 BSQ65268:BSQ65474 CCM65268:CCM65474 CMI65268:CMI65474 CWE65268:CWE65474 DGA65268:DGA65474 DPW65268:DPW65474 DZS65268:DZS65474 EJO65268:EJO65474 ETK65268:ETK65474 FDG65268:FDG65474 FNC65268:FNC65474 FWY65268:FWY65474 GGU65268:GGU65474 GQQ65268:GQQ65474 HAM65268:HAM65474 HKI65268:HKI65474 HUE65268:HUE65474 IEA65268:IEA65474 INW65268:INW65474 IXS65268:IXS65474 JHO65268:JHO65474 JRK65268:JRK65474 KBG65268:KBG65474 KLC65268:KLC65474 KUY65268:KUY65474 LEU65268:LEU65474 LOQ65268:LOQ65474 LYM65268:LYM65474 MII65268:MII65474 MSE65268:MSE65474 NCA65268:NCA65474 NLW65268:NLW65474 NVS65268:NVS65474 OFO65268:OFO65474 OPK65268:OPK65474 OZG65268:OZG65474 PJC65268:PJC65474 PSY65268:PSY65474 QCU65268:QCU65474 QMQ65268:QMQ65474 QWM65268:QWM65474 RGI65268:RGI65474 RQE65268:RQE65474 SAA65268:SAA65474 SJW65268:SJW65474 STS65268:STS65474 TDO65268:TDO65474 TNK65268:TNK65474 TXG65268:TXG65474 UHC65268:UHC65474 UQY65268:UQY65474 VAU65268:VAU65474 VKQ65268:VKQ65474 VUM65268:VUM65474 WEI65268:WEI65474 WOE65268:WOE65474 WYA65268:WYA65474 BT130804:BT131010 LO130804:LO131010 VK130804:VK131010 AFG130804:AFG131010 APC130804:APC131010 AYY130804:AYY131010 BIU130804:BIU131010 BSQ130804:BSQ131010 CCM130804:CCM131010 CMI130804:CMI131010 CWE130804:CWE131010 DGA130804:DGA131010 DPW130804:DPW131010 DZS130804:DZS131010 EJO130804:EJO131010 ETK130804:ETK131010 FDG130804:FDG131010 FNC130804:FNC131010 FWY130804:FWY131010 GGU130804:GGU131010 GQQ130804:GQQ131010 HAM130804:HAM131010 HKI130804:HKI131010 HUE130804:HUE131010 IEA130804:IEA131010 INW130804:INW131010 IXS130804:IXS131010 JHO130804:JHO131010 JRK130804:JRK131010 KBG130804:KBG131010 KLC130804:KLC131010 KUY130804:KUY131010 LEU130804:LEU131010 LOQ130804:LOQ131010 LYM130804:LYM131010 MII130804:MII131010 MSE130804:MSE131010 NCA130804:NCA131010 NLW130804:NLW131010 NVS130804:NVS131010 OFO130804:OFO131010 OPK130804:OPK131010 OZG130804:OZG131010 PJC130804:PJC131010 PSY130804:PSY131010 QCU130804:QCU131010 QMQ130804:QMQ131010 QWM130804:QWM131010 RGI130804:RGI131010 RQE130804:RQE131010 SAA130804:SAA131010 SJW130804:SJW131010 STS130804:STS131010 TDO130804:TDO131010 TNK130804:TNK131010 TXG130804:TXG131010 UHC130804:UHC131010 UQY130804:UQY131010 VAU130804:VAU131010 VKQ130804:VKQ131010 VUM130804:VUM131010 WEI130804:WEI131010 WOE130804:WOE131010 WYA130804:WYA131010 BT196340:BT196546 LO196340:LO196546 VK196340:VK196546 AFG196340:AFG196546 APC196340:APC196546 AYY196340:AYY196546 BIU196340:BIU196546 BSQ196340:BSQ196546 CCM196340:CCM196546 CMI196340:CMI196546 CWE196340:CWE196546 DGA196340:DGA196546 DPW196340:DPW196546 DZS196340:DZS196546 EJO196340:EJO196546 ETK196340:ETK196546 FDG196340:FDG196546 FNC196340:FNC196546 FWY196340:FWY196546 GGU196340:GGU196546 GQQ196340:GQQ196546 HAM196340:HAM196546 HKI196340:HKI196546 HUE196340:HUE196546 IEA196340:IEA196546 INW196340:INW196546 IXS196340:IXS196546 JHO196340:JHO196546 JRK196340:JRK196546 KBG196340:KBG196546 KLC196340:KLC196546 KUY196340:KUY196546 LEU196340:LEU196546 LOQ196340:LOQ196546 LYM196340:LYM196546 MII196340:MII196546 MSE196340:MSE196546 NCA196340:NCA196546 NLW196340:NLW196546 NVS196340:NVS196546 OFO196340:OFO196546 OPK196340:OPK196546 OZG196340:OZG196546 PJC196340:PJC196546 PSY196340:PSY196546 QCU196340:QCU196546 QMQ196340:QMQ196546 QWM196340:QWM196546 RGI196340:RGI196546 RQE196340:RQE196546 SAA196340:SAA196546 SJW196340:SJW196546 STS196340:STS196546 TDO196340:TDO196546 TNK196340:TNK196546 TXG196340:TXG196546 UHC196340:UHC196546 UQY196340:UQY196546 VAU196340:VAU196546 VKQ196340:VKQ196546 VUM196340:VUM196546 WEI196340:WEI196546 WOE196340:WOE196546 WYA196340:WYA196546 BT261876:BT262082 LO261876:LO262082 VK261876:VK262082 AFG261876:AFG262082 APC261876:APC262082 AYY261876:AYY262082 BIU261876:BIU262082 BSQ261876:BSQ262082 CCM261876:CCM262082 CMI261876:CMI262082 CWE261876:CWE262082 DGA261876:DGA262082 DPW261876:DPW262082 DZS261876:DZS262082 EJO261876:EJO262082 ETK261876:ETK262082 FDG261876:FDG262082 FNC261876:FNC262082 FWY261876:FWY262082 GGU261876:GGU262082 GQQ261876:GQQ262082 HAM261876:HAM262082 HKI261876:HKI262082 HUE261876:HUE262082 IEA261876:IEA262082 INW261876:INW262082 IXS261876:IXS262082 JHO261876:JHO262082 JRK261876:JRK262082 KBG261876:KBG262082 KLC261876:KLC262082 KUY261876:KUY262082 LEU261876:LEU262082 LOQ261876:LOQ262082 LYM261876:LYM262082 MII261876:MII262082 MSE261876:MSE262082 NCA261876:NCA262082 NLW261876:NLW262082 NVS261876:NVS262082 OFO261876:OFO262082 OPK261876:OPK262082 OZG261876:OZG262082 PJC261876:PJC262082 PSY261876:PSY262082 QCU261876:QCU262082 QMQ261876:QMQ262082 QWM261876:QWM262082 RGI261876:RGI262082 RQE261876:RQE262082 SAA261876:SAA262082 SJW261876:SJW262082 STS261876:STS262082 TDO261876:TDO262082 TNK261876:TNK262082 TXG261876:TXG262082 UHC261876:UHC262082 UQY261876:UQY262082 VAU261876:VAU262082 VKQ261876:VKQ262082 VUM261876:VUM262082 WEI261876:WEI262082 WOE261876:WOE262082 WYA261876:WYA262082 BT327412:BT327618 LO327412:LO327618 VK327412:VK327618 AFG327412:AFG327618 APC327412:APC327618 AYY327412:AYY327618 BIU327412:BIU327618 BSQ327412:BSQ327618 CCM327412:CCM327618 CMI327412:CMI327618 CWE327412:CWE327618 DGA327412:DGA327618 DPW327412:DPW327618 DZS327412:DZS327618 EJO327412:EJO327618 ETK327412:ETK327618 FDG327412:FDG327618 FNC327412:FNC327618 FWY327412:FWY327618 GGU327412:GGU327618 GQQ327412:GQQ327618 HAM327412:HAM327618 HKI327412:HKI327618 HUE327412:HUE327618 IEA327412:IEA327618 INW327412:INW327618 IXS327412:IXS327618 JHO327412:JHO327618 JRK327412:JRK327618 KBG327412:KBG327618 KLC327412:KLC327618 KUY327412:KUY327618 LEU327412:LEU327618 LOQ327412:LOQ327618 LYM327412:LYM327618 MII327412:MII327618 MSE327412:MSE327618 NCA327412:NCA327618 NLW327412:NLW327618 NVS327412:NVS327618 OFO327412:OFO327618 OPK327412:OPK327618 OZG327412:OZG327618 PJC327412:PJC327618 PSY327412:PSY327618 QCU327412:QCU327618 QMQ327412:QMQ327618 QWM327412:QWM327618 RGI327412:RGI327618 RQE327412:RQE327618 SAA327412:SAA327618 SJW327412:SJW327618 STS327412:STS327618 TDO327412:TDO327618 TNK327412:TNK327618 TXG327412:TXG327618 UHC327412:UHC327618 UQY327412:UQY327618 VAU327412:VAU327618 VKQ327412:VKQ327618 VUM327412:VUM327618 WEI327412:WEI327618 WOE327412:WOE327618 WYA327412:WYA327618 BT392948:BT393154 LO392948:LO393154 VK392948:VK393154 AFG392948:AFG393154 APC392948:APC393154 AYY392948:AYY393154 BIU392948:BIU393154 BSQ392948:BSQ393154 CCM392948:CCM393154 CMI392948:CMI393154 CWE392948:CWE393154 DGA392948:DGA393154 DPW392948:DPW393154 DZS392948:DZS393154 EJO392948:EJO393154 ETK392948:ETK393154 FDG392948:FDG393154 FNC392948:FNC393154 FWY392948:FWY393154 GGU392948:GGU393154 GQQ392948:GQQ393154 HAM392948:HAM393154 HKI392948:HKI393154 HUE392948:HUE393154 IEA392948:IEA393154 INW392948:INW393154 IXS392948:IXS393154 JHO392948:JHO393154 JRK392948:JRK393154 KBG392948:KBG393154 KLC392948:KLC393154 KUY392948:KUY393154 LEU392948:LEU393154 LOQ392948:LOQ393154 LYM392948:LYM393154 MII392948:MII393154 MSE392948:MSE393154 NCA392948:NCA393154 NLW392948:NLW393154 NVS392948:NVS393154 OFO392948:OFO393154 OPK392948:OPK393154 OZG392948:OZG393154 PJC392948:PJC393154 PSY392948:PSY393154 QCU392948:QCU393154 QMQ392948:QMQ393154 QWM392948:QWM393154 RGI392948:RGI393154 RQE392948:RQE393154 SAA392948:SAA393154 SJW392948:SJW393154 STS392948:STS393154 TDO392948:TDO393154 TNK392948:TNK393154 TXG392948:TXG393154 UHC392948:UHC393154 UQY392948:UQY393154 VAU392948:VAU393154 VKQ392948:VKQ393154 VUM392948:VUM393154 WEI392948:WEI393154 WOE392948:WOE393154 WYA392948:WYA393154 BT458484:BT458690 LO458484:LO458690 VK458484:VK458690 AFG458484:AFG458690 APC458484:APC458690 AYY458484:AYY458690 BIU458484:BIU458690 BSQ458484:BSQ458690 CCM458484:CCM458690 CMI458484:CMI458690 CWE458484:CWE458690 DGA458484:DGA458690 DPW458484:DPW458690 DZS458484:DZS458690 EJO458484:EJO458690 ETK458484:ETK458690 FDG458484:FDG458690 FNC458484:FNC458690 FWY458484:FWY458690 GGU458484:GGU458690 GQQ458484:GQQ458690 HAM458484:HAM458690 HKI458484:HKI458690 HUE458484:HUE458690 IEA458484:IEA458690 INW458484:INW458690 IXS458484:IXS458690 JHO458484:JHO458690 JRK458484:JRK458690 KBG458484:KBG458690 KLC458484:KLC458690 KUY458484:KUY458690 LEU458484:LEU458690 LOQ458484:LOQ458690 LYM458484:LYM458690 MII458484:MII458690 MSE458484:MSE458690 NCA458484:NCA458690 NLW458484:NLW458690 NVS458484:NVS458690 OFO458484:OFO458690 OPK458484:OPK458690 OZG458484:OZG458690 PJC458484:PJC458690 PSY458484:PSY458690 QCU458484:QCU458690 QMQ458484:QMQ458690 QWM458484:QWM458690 RGI458484:RGI458690 RQE458484:RQE458690 SAA458484:SAA458690 SJW458484:SJW458690 STS458484:STS458690 TDO458484:TDO458690 TNK458484:TNK458690 TXG458484:TXG458690 UHC458484:UHC458690 UQY458484:UQY458690 VAU458484:VAU458690 VKQ458484:VKQ458690 VUM458484:VUM458690 WEI458484:WEI458690 WOE458484:WOE458690 WYA458484:WYA458690 BT524020:BT524226 LO524020:LO524226 VK524020:VK524226 AFG524020:AFG524226 APC524020:APC524226 AYY524020:AYY524226 BIU524020:BIU524226 BSQ524020:BSQ524226 CCM524020:CCM524226 CMI524020:CMI524226 CWE524020:CWE524226 DGA524020:DGA524226 DPW524020:DPW524226 DZS524020:DZS524226 EJO524020:EJO524226 ETK524020:ETK524226 FDG524020:FDG524226 FNC524020:FNC524226 FWY524020:FWY524226 GGU524020:GGU524226 GQQ524020:GQQ524226 HAM524020:HAM524226 HKI524020:HKI524226 HUE524020:HUE524226 IEA524020:IEA524226 INW524020:INW524226 IXS524020:IXS524226 JHO524020:JHO524226 JRK524020:JRK524226 KBG524020:KBG524226 KLC524020:KLC524226 KUY524020:KUY524226 LEU524020:LEU524226 LOQ524020:LOQ524226 LYM524020:LYM524226 MII524020:MII524226 MSE524020:MSE524226 NCA524020:NCA524226 NLW524020:NLW524226 NVS524020:NVS524226 OFO524020:OFO524226 OPK524020:OPK524226 OZG524020:OZG524226 PJC524020:PJC524226 PSY524020:PSY524226 QCU524020:QCU524226 QMQ524020:QMQ524226 QWM524020:QWM524226 RGI524020:RGI524226 RQE524020:RQE524226 SAA524020:SAA524226 SJW524020:SJW524226 STS524020:STS524226 TDO524020:TDO524226 TNK524020:TNK524226 TXG524020:TXG524226 UHC524020:UHC524226 UQY524020:UQY524226 VAU524020:VAU524226 VKQ524020:VKQ524226 VUM524020:VUM524226 WEI524020:WEI524226 WOE524020:WOE524226 WYA524020:WYA524226 BT589556:BT589762 LO589556:LO589762 VK589556:VK589762 AFG589556:AFG589762 APC589556:APC589762 AYY589556:AYY589762 BIU589556:BIU589762 BSQ589556:BSQ589762 CCM589556:CCM589762 CMI589556:CMI589762 CWE589556:CWE589762 DGA589556:DGA589762 DPW589556:DPW589762 DZS589556:DZS589762 EJO589556:EJO589762 ETK589556:ETK589762 FDG589556:FDG589762 FNC589556:FNC589762 FWY589556:FWY589762 GGU589556:GGU589762 GQQ589556:GQQ589762 HAM589556:HAM589762 HKI589556:HKI589762 HUE589556:HUE589762 IEA589556:IEA589762 INW589556:INW589762 IXS589556:IXS589762 JHO589556:JHO589762 JRK589556:JRK589762 KBG589556:KBG589762 KLC589556:KLC589762 KUY589556:KUY589762 LEU589556:LEU589762 LOQ589556:LOQ589762 LYM589556:LYM589762 MII589556:MII589762 MSE589556:MSE589762 NCA589556:NCA589762 NLW589556:NLW589762 NVS589556:NVS589762 OFO589556:OFO589762 OPK589556:OPK589762 OZG589556:OZG589762 PJC589556:PJC589762 PSY589556:PSY589762 QCU589556:QCU589762 QMQ589556:QMQ589762 QWM589556:QWM589762 RGI589556:RGI589762 RQE589556:RQE589762 SAA589556:SAA589762 SJW589556:SJW589762 STS589556:STS589762 TDO589556:TDO589762 TNK589556:TNK589762 TXG589556:TXG589762 UHC589556:UHC589762 UQY589556:UQY589762 VAU589556:VAU589762 VKQ589556:VKQ589762 VUM589556:VUM589762 WEI589556:WEI589762 WOE589556:WOE589762 WYA589556:WYA589762 BT655092:BT655298 LO655092:LO655298 VK655092:VK655298 AFG655092:AFG655298 APC655092:APC655298 AYY655092:AYY655298 BIU655092:BIU655298 BSQ655092:BSQ655298 CCM655092:CCM655298 CMI655092:CMI655298 CWE655092:CWE655298 DGA655092:DGA655298 DPW655092:DPW655298 DZS655092:DZS655298 EJO655092:EJO655298 ETK655092:ETK655298 FDG655092:FDG655298 FNC655092:FNC655298 FWY655092:FWY655298 GGU655092:GGU655298 GQQ655092:GQQ655298 HAM655092:HAM655298 HKI655092:HKI655298 HUE655092:HUE655298 IEA655092:IEA655298 INW655092:INW655298 IXS655092:IXS655298 JHO655092:JHO655298 JRK655092:JRK655298 KBG655092:KBG655298 KLC655092:KLC655298 KUY655092:KUY655298 LEU655092:LEU655298 LOQ655092:LOQ655298 LYM655092:LYM655298 MII655092:MII655298 MSE655092:MSE655298 NCA655092:NCA655298 NLW655092:NLW655298 NVS655092:NVS655298 OFO655092:OFO655298 OPK655092:OPK655298 OZG655092:OZG655298 PJC655092:PJC655298 PSY655092:PSY655298 QCU655092:QCU655298 QMQ655092:QMQ655298 QWM655092:QWM655298 RGI655092:RGI655298 RQE655092:RQE655298 SAA655092:SAA655298 SJW655092:SJW655298 STS655092:STS655298 TDO655092:TDO655298 TNK655092:TNK655298 TXG655092:TXG655298 UHC655092:UHC655298 UQY655092:UQY655298 VAU655092:VAU655298 VKQ655092:VKQ655298 VUM655092:VUM655298 WEI655092:WEI655298 WOE655092:WOE655298 WYA655092:WYA655298 BT720628:BT720834 LO720628:LO720834 VK720628:VK720834 AFG720628:AFG720834 APC720628:APC720834 AYY720628:AYY720834 BIU720628:BIU720834 BSQ720628:BSQ720834 CCM720628:CCM720834 CMI720628:CMI720834 CWE720628:CWE720834 DGA720628:DGA720834 DPW720628:DPW720834 DZS720628:DZS720834 EJO720628:EJO720834 ETK720628:ETK720834 FDG720628:FDG720834 FNC720628:FNC720834 FWY720628:FWY720834 GGU720628:GGU720834 GQQ720628:GQQ720834 HAM720628:HAM720834 HKI720628:HKI720834 HUE720628:HUE720834 IEA720628:IEA720834 INW720628:INW720834 IXS720628:IXS720834 JHO720628:JHO720834 JRK720628:JRK720834 KBG720628:KBG720834 KLC720628:KLC720834 KUY720628:KUY720834 LEU720628:LEU720834 LOQ720628:LOQ720834 LYM720628:LYM720834 MII720628:MII720834 MSE720628:MSE720834 NCA720628:NCA720834 NLW720628:NLW720834 NVS720628:NVS720834 OFO720628:OFO720834 OPK720628:OPK720834 OZG720628:OZG720834 PJC720628:PJC720834 PSY720628:PSY720834 QCU720628:QCU720834 QMQ720628:QMQ720834 QWM720628:QWM720834 RGI720628:RGI720834 RQE720628:RQE720834 SAA720628:SAA720834 SJW720628:SJW720834 STS720628:STS720834 TDO720628:TDO720834 TNK720628:TNK720834 TXG720628:TXG720834 UHC720628:UHC720834 UQY720628:UQY720834 VAU720628:VAU720834 VKQ720628:VKQ720834 VUM720628:VUM720834 WEI720628:WEI720834 WOE720628:WOE720834 WYA720628:WYA720834 BT786164:BT786370 LO786164:LO786370 VK786164:VK786370 AFG786164:AFG786370 APC786164:APC786370 AYY786164:AYY786370 BIU786164:BIU786370 BSQ786164:BSQ786370 CCM786164:CCM786370 CMI786164:CMI786370 CWE786164:CWE786370 DGA786164:DGA786370 DPW786164:DPW786370 DZS786164:DZS786370 EJO786164:EJO786370 ETK786164:ETK786370 FDG786164:FDG786370 FNC786164:FNC786370 FWY786164:FWY786370 GGU786164:GGU786370 GQQ786164:GQQ786370 HAM786164:HAM786370 HKI786164:HKI786370 HUE786164:HUE786370 IEA786164:IEA786370 INW786164:INW786370 IXS786164:IXS786370 JHO786164:JHO786370 JRK786164:JRK786370 KBG786164:KBG786370 KLC786164:KLC786370 KUY786164:KUY786370 LEU786164:LEU786370 LOQ786164:LOQ786370 LYM786164:LYM786370 MII786164:MII786370 MSE786164:MSE786370 NCA786164:NCA786370 NLW786164:NLW786370 NVS786164:NVS786370 OFO786164:OFO786370 OPK786164:OPK786370 OZG786164:OZG786370 PJC786164:PJC786370 PSY786164:PSY786370 QCU786164:QCU786370 QMQ786164:QMQ786370 QWM786164:QWM786370 RGI786164:RGI786370 RQE786164:RQE786370 SAA786164:SAA786370 SJW786164:SJW786370 STS786164:STS786370 TDO786164:TDO786370 TNK786164:TNK786370 TXG786164:TXG786370 UHC786164:UHC786370 UQY786164:UQY786370 VAU786164:VAU786370 VKQ786164:VKQ786370 VUM786164:VUM786370 WEI786164:WEI786370 WOE786164:WOE786370 WYA786164:WYA786370 BT851700:BT851906 LO851700:LO851906 VK851700:VK851906 AFG851700:AFG851906 APC851700:APC851906 AYY851700:AYY851906 BIU851700:BIU851906 BSQ851700:BSQ851906 CCM851700:CCM851906 CMI851700:CMI851906 CWE851700:CWE851906 DGA851700:DGA851906 DPW851700:DPW851906 DZS851700:DZS851906 EJO851700:EJO851906 ETK851700:ETK851906 FDG851700:FDG851906 FNC851700:FNC851906 FWY851700:FWY851906 GGU851700:GGU851906 GQQ851700:GQQ851906 HAM851700:HAM851906 HKI851700:HKI851906 HUE851700:HUE851906 IEA851700:IEA851906 INW851700:INW851906 IXS851700:IXS851906 JHO851700:JHO851906 JRK851700:JRK851906 KBG851700:KBG851906 KLC851700:KLC851906 KUY851700:KUY851906 LEU851700:LEU851906 LOQ851700:LOQ851906 LYM851700:LYM851906 MII851700:MII851906 MSE851700:MSE851906 NCA851700:NCA851906 NLW851700:NLW851906 NVS851700:NVS851906 OFO851700:OFO851906 OPK851700:OPK851906 OZG851700:OZG851906 PJC851700:PJC851906 PSY851700:PSY851906 QCU851700:QCU851906 QMQ851700:QMQ851906 QWM851700:QWM851906 RGI851700:RGI851906 RQE851700:RQE851906 SAA851700:SAA851906 SJW851700:SJW851906 STS851700:STS851906 TDO851700:TDO851906 TNK851700:TNK851906 TXG851700:TXG851906 UHC851700:UHC851906 UQY851700:UQY851906 VAU851700:VAU851906 VKQ851700:VKQ851906 VUM851700:VUM851906 WEI851700:WEI851906 WOE851700:WOE851906 WYA851700:WYA851906 BT917236:BT917442 LO917236:LO917442 VK917236:VK917442 AFG917236:AFG917442 APC917236:APC917442 AYY917236:AYY917442 BIU917236:BIU917442 BSQ917236:BSQ917442 CCM917236:CCM917442 CMI917236:CMI917442 CWE917236:CWE917442 DGA917236:DGA917442 DPW917236:DPW917442 DZS917236:DZS917442 EJO917236:EJO917442 ETK917236:ETK917442 FDG917236:FDG917442 FNC917236:FNC917442 FWY917236:FWY917442 GGU917236:GGU917442 GQQ917236:GQQ917442 HAM917236:HAM917442 HKI917236:HKI917442 HUE917236:HUE917442 IEA917236:IEA917442 INW917236:INW917442 IXS917236:IXS917442 JHO917236:JHO917442 JRK917236:JRK917442 KBG917236:KBG917442 KLC917236:KLC917442 KUY917236:KUY917442 LEU917236:LEU917442 LOQ917236:LOQ917442 LYM917236:LYM917442 MII917236:MII917442 MSE917236:MSE917442 NCA917236:NCA917442 NLW917236:NLW917442 NVS917236:NVS917442 OFO917236:OFO917442 OPK917236:OPK917442 OZG917236:OZG917442 PJC917236:PJC917442 PSY917236:PSY917442 QCU917236:QCU917442 QMQ917236:QMQ917442 QWM917236:QWM917442 RGI917236:RGI917442 RQE917236:RQE917442 SAA917236:SAA917442 SJW917236:SJW917442 STS917236:STS917442 TDO917236:TDO917442 TNK917236:TNK917442 TXG917236:TXG917442 UHC917236:UHC917442 UQY917236:UQY917442 VAU917236:VAU917442 VKQ917236:VKQ917442 VUM917236:VUM917442 WEI917236:WEI917442 WOE917236:WOE917442 WYA917236:WYA917442 BT982772:BT982978 LO982772:LO982978 VK982772:VK982978 AFG982772:AFG982978 APC982772:APC982978 AYY982772:AYY982978 BIU982772:BIU982978 BSQ982772:BSQ982978 CCM982772:CCM982978 CMI982772:CMI982978 CWE982772:CWE982978 DGA982772:DGA982978 DPW982772:DPW982978 DZS982772:DZS982978 EJO982772:EJO982978 ETK982772:ETK982978 FDG982772:FDG982978 FNC982772:FNC982978 FWY982772:FWY982978 GGU982772:GGU982978 GQQ982772:GQQ982978 HAM982772:HAM982978 HKI982772:HKI982978 HUE982772:HUE982978 IEA982772:IEA982978 INW982772:INW982978 IXS982772:IXS982978 JHO982772:JHO982978 JRK982772:JRK982978 KBG982772:KBG982978 KLC982772:KLC982978 KUY982772:KUY982978 LEU982772:LEU982978 LOQ982772:LOQ982978 LYM982772:LYM982978 MII982772:MII982978 MSE982772:MSE982978 NCA982772:NCA982978 NLW982772:NLW982978 NVS982772:NVS982978 OFO982772:OFO982978 OPK982772:OPK982978 OZG982772:OZG982978 PJC982772:PJC982978 PSY982772:PSY982978 QCU982772:QCU982978 QMQ982772:QMQ982978 QWM982772:QWM982978 RGI982772:RGI982978 RQE982772:RQE982978 SAA982772:SAA982978 SJW982772:SJW982978 STS982772:STS982978 TDO982772:TDO982978 TNK982772:TNK982978 TXG982772:TXG982978 UHC982772:UHC982978 UQY982772:UQY982978 VAU982772:VAU982978 VKQ982772:VKQ982978 VUM982772:VUM982978 WEI982772:WEI982978 WOE982772:WOE982978 WYA982772:WYA982978 WYA5:WYA11 LO5:LO11 VK5:VK11 AFG5:AFG11 APC5:APC11 AYY5:AYY11 BIU5:BIU11 BSQ5:BSQ11 CCM5:CCM11 CMI5:CMI11 CWE5:CWE11 DGA5:DGA11 DPW5:DPW11 DZS5:DZS11 EJO5:EJO11 ETK5:ETK11 FDG5:FDG11 FNC5:FNC11 FWY5:FWY11 GGU5:GGU11 GQQ5:GQQ11 HAM5:HAM11 HKI5:HKI11 HUE5:HUE11 IEA5:IEA11 INW5:INW11 IXS5:IXS11 JHO5:JHO11 JRK5:JRK11 KBG5:KBG11 KLC5:KLC11 KUY5:KUY11 LEU5:LEU11 LOQ5:LOQ11 LYM5:LYM11 MII5:MII11 MSE5:MSE11 NCA5:NCA11 NLW5:NLW11 NVS5:NVS11 OFO5:OFO11 OPK5:OPK11 OZG5:OZG11 PJC5:PJC11 PSY5:PSY11 QCU5:QCU11 QMQ5:QMQ11 QWM5:QWM11 RGI5:RGI11 RQE5:RQE11 SAA5:SAA11 SJW5:SJW11 STS5:STS11 TDO5:TDO11 TNK5:TNK11 TXG5:TXG11 UHC5:UHC11 UQY5:UQY11 VAU5:VAU11 VKQ5:VKQ11 VUM5:VUM11 WEI5:WEI11 WOE5:WOE11">
      <formula1>0</formula1>
      <formula2>100000000</formula2>
    </dataValidation>
    <dataValidation type="whole" allowBlank="1" showInputMessage="1" showErrorMessage="1" sqref="BY65268:CC65474 LW65268:LW65474 VS65268:VS65474 AFO65268:AFO65474 APK65268:APK65474 AZG65268:AZG65474 BJC65268:BJC65474 BSY65268:BSY65474 CCU65268:CCU65474 CMQ65268:CMQ65474 CWM65268:CWM65474 DGI65268:DGI65474 DQE65268:DQE65474 EAA65268:EAA65474 EJW65268:EJW65474 ETS65268:ETS65474 FDO65268:FDO65474 FNK65268:FNK65474 FXG65268:FXG65474 GHC65268:GHC65474 GQY65268:GQY65474 HAU65268:HAU65474 HKQ65268:HKQ65474 HUM65268:HUM65474 IEI65268:IEI65474 IOE65268:IOE65474 IYA65268:IYA65474 JHW65268:JHW65474 JRS65268:JRS65474 KBO65268:KBO65474 KLK65268:KLK65474 KVG65268:KVG65474 LFC65268:LFC65474 LOY65268:LOY65474 LYU65268:LYU65474 MIQ65268:MIQ65474 MSM65268:MSM65474 NCI65268:NCI65474 NME65268:NME65474 NWA65268:NWA65474 OFW65268:OFW65474 OPS65268:OPS65474 OZO65268:OZO65474 PJK65268:PJK65474 PTG65268:PTG65474 QDC65268:QDC65474 QMY65268:QMY65474 QWU65268:QWU65474 RGQ65268:RGQ65474 RQM65268:RQM65474 SAI65268:SAI65474 SKE65268:SKE65474 SUA65268:SUA65474 TDW65268:TDW65474 TNS65268:TNS65474 TXO65268:TXO65474 UHK65268:UHK65474 URG65268:URG65474 VBC65268:VBC65474 VKY65268:VKY65474 VUU65268:VUU65474 WEQ65268:WEQ65474 WOM65268:WOM65474 WYI65268:WYI65474 BY130804:CC131010 LW130804:LW131010 VS130804:VS131010 AFO130804:AFO131010 APK130804:APK131010 AZG130804:AZG131010 BJC130804:BJC131010 BSY130804:BSY131010 CCU130804:CCU131010 CMQ130804:CMQ131010 CWM130804:CWM131010 DGI130804:DGI131010 DQE130804:DQE131010 EAA130804:EAA131010 EJW130804:EJW131010 ETS130804:ETS131010 FDO130804:FDO131010 FNK130804:FNK131010 FXG130804:FXG131010 GHC130804:GHC131010 GQY130804:GQY131010 HAU130804:HAU131010 HKQ130804:HKQ131010 HUM130804:HUM131010 IEI130804:IEI131010 IOE130804:IOE131010 IYA130804:IYA131010 JHW130804:JHW131010 JRS130804:JRS131010 KBO130804:KBO131010 KLK130804:KLK131010 KVG130804:KVG131010 LFC130804:LFC131010 LOY130804:LOY131010 LYU130804:LYU131010 MIQ130804:MIQ131010 MSM130804:MSM131010 NCI130804:NCI131010 NME130804:NME131010 NWA130804:NWA131010 OFW130804:OFW131010 OPS130804:OPS131010 OZO130804:OZO131010 PJK130804:PJK131010 PTG130804:PTG131010 QDC130804:QDC131010 QMY130804:QMY131010 QWU130804:QWU131010 RGQ130804:RGQ131010 RQM130804:RQM131010 SAI130804:SAI131010 SKE130804:SKE131010 SUA130804:SUA131010 TDW130804:TDW131010 TNS130804:TNS131010 TXO130804:TXO131010 UHK130804:UHK131010 URG130804:URG131010 VBC130804:VBC131010 VKY130804:VKY131010 VUU130804:VUU131010 WEQ130804:WEQ131010 WOM130804:WOM131010 WYI130804:WYI131010 BY196340:CC196546 LW196340:LW196546 VS196340:VS196546 AFO196340:AFO196546 APK196340:APK196546 AZG196340:AZG196546 BJC196340:BJC196546 BSY196340:BSY196546 CCU196340:CCU196546 CMQ196340:CMQ196546 CWM196340:CWM196546 DGI196340:DGI196546 DQE196340:DQE196546 EAA196340:EAA196546 EJW196340:EJW196546 ETS196340:ETS196546 FDO196340:FDO196546 FNK196340:FNK196546 FXG196340:FXG196546 GHC196340:GHC196546 GQY196340:GQY196546 HAU196340:HAU196546 HKQ196340:HKQ196546 HUM196340:HUM196546 IEI196340:IEI196546 IOE196340:IOE196546 IYA196340:IYA196546 JHW196340:JHW196546 JRS196340:JRS196546 KBO196340:KBO196546 KLK196340:KLK196546 KVG196340:KVG196546 LFC196340:LFC196546 LOY196340:LOY196546 LYU196340:LYU196546 MIQ196340:MIQ196546 MSM196340:MSM196546 NCI196340:NCI196546 NME196340:NME196546 NWA196340:NWA196546 OFW196340:OFW196546 OPS196340:OPS196546 OZO196340:OZO196546 PJK196340:PJK196546 PTG196340:PTG196546 QDC196340:QDC196546 QMY196340:QMY196546 QWU196340:QWU196546 RGQ196340:RGQ196546 RQM196340:RQM196546 SAI196340:SAI196546 SKE196340:SKE196546 SUA196340:SUA196546 TDW196340:TDW196546 TNS196340:TNS196546 TXO196340:TXO196546 UHK196340:UHK196546 URG196340:URG196546 VBC196340:VBC196546 VKY196340:VKY196546 VUU196340:VUU196546 WEQ196340:WEQ196546 WOM196340:WOM196546 WYI196340:WYI196546 BY261876:CC262082 LW261876:LW262082 VS261876:VS262082 AFO261876:AFO262082 APK261876:APK262082 AZG261876:AZG262082 BJC261876:BJC262082 BSY261876:BSY262082 CCU261876:CCU262082 CMQ261876:CMQ262082 CWM261876:CWM262082 DGI261876:DGI262082 DQE261876:DQE262082 EAA261876:EAA262082 EJW261876:EJW262082 ETS261876:ETS262082 FDO261876:FDO262082 FNK261876:FNK262082 FXG261876:FXG262082 GHC261876:GHC262082 GQY261876:GQY262082 HAU261876:HAU262082 HKQ261876:HKQ262082 HUM261876:HUM262082 IEI261876:IEI262082 IOE261876:IOE262082 IYA261876:IYA262082 JHW261876:JHW262082 JRS261876:JRS262082 KBO261876:KBO262082 KLK261876:KLK262082 KVG261876:KVG262082 LFC261876:LFC262082 LOY261876:LOY262082 LYU261876:LYU262082 MIQ261876:MIQ262082 MSM261876:MSM262082 NCI261876:NCI262082 NME261876:NME262082 NWA261876:NWA262082 OFW261876:OFW262082 OPS261876:OPS262082 OZO261876:OZO262082 PJK261876:PJK262082 PTG261876:PTG262082 QDC261876:QDC262082 QMY261876:QMY262082 QWU261876:QWU262082 RGQ261876:RGQ262082 RQM261876:RQM262082 SAI261876:SAI262082 SKE261876:SKE262082 SUA261876:SUA262082 TDW261876:TDW262082 TNS261876:TNS262082 TXO261876:TXO262082 UHK261876:UHK262082 URG261876:URG262082 VBC261876:VBC262082 VKY261876:VKY262082 VUU261876:VUU262082 WEQ261876:WEQ262082 WOM261876:WOM262082 WYI261876:WYI262082 BY327412:CC327618 LW327412:LW327618 VS327412:VS327618 AFO327412:AFO327618 APK327412:APK327618 AZG327412:AZG327618 BJC327412:BJC327618 BSY327412:BSY327618 CCU327412:CCU327618 CMQ327412:CMQ327618 CWM327412:CWM327618 DGI327412:DGI327618 DQE327412:DQE327618 EAA327412:EAA327618 EJW327412:EJW327618 ETS327412:ETS327618 FDO327412:FDO327618 FNK327412:FNK327618 FXG327412:FXG327618 GHC327412:GHC327618 GQY327412:GQY327618 HAU327412:HAU327618 HKQ327412:HKQ327618 HUM327412:HUM327618 IEI327412:IEI327618 IOE327412:IOE327618 IYA327412:IYA327618 JHW327412:JHW327618 JRS327412:JRS327618 KBO327412:KBO327618 KLK327412:KLK327618 KVG327412:KVG327618 LFC327412:LFC327618 LOY327412:LOY327618 LYU327412:LYU327618 MIQ327412:MIQ327618 MSM327412:MSM327618 NCI327412:NCI327618 NME327412:NME327618 NWA327412:NWA327618 OFW327412:OFW327618 OPS327412:OPS327618 OZO327412:OZO327618 PJK327412:PJK327618 PTG327412:PTG327618 QDC327412:QDC327618 QMY327412:QMY327618 QWU327412:QWU327618 RGQ327412:RGQ327618 RQM327412:RQM327618 SAI327412:SAI327618 SKE327412:SKE327618 SUA327412:SUA327618 TDW327412:TDW327618 TNS327412:TNS327618 TXO327412:TXO327618 UHK327412:UHK327618 URG327412:URG327618 VBC327412:VBC327618 VKY327412:VKY327618 VUU327412:VUU327618 WEQ327412:WEQ327618 WOM327412:WOM327618 WYI327412:WYI327618 BY392948:CC393154 LW392948:LW393154 VS392948:VS393154 AFO392948:AFO393154 APK392948:APK393154 AZG392948:AZG393154 BJC392948:BJC393154 BSY392948:BSY393154 CCU392948:CCU393154 CMQ392948:CMQ393154 CWM392948:CWM393154 DGI392948:DGI393154 DQE392948:DQE393154 EAA392948:EAA393154 EJW392948:EJW393154 ETS392948:ETS393154 FDO392948:FDO393154 FNK392948:FNK393154 FXG392948:FXG393154 GHC392948:GHC393154 GQY392948:GQY393154 HAU392948:HAU393154 HKQ392948:HKQ393154 HUM392948:HUM393154 IEI392948:IEI393154 IOE392948:IOE393154 IYA392948:IYA393154 JHW392948:JHW393154 JRS392948:JRS393154 KBO392948:KBO393154 KLK392948:KLK393154 KVG392948:KVG393154 LFC392948:LFC393154 LOY392948:LOY393154 LYU392948:LYU393154 MIQ392948:MIQ393154 MSM392948:MSM393154 NCI392948:NCI393154 NME392948:NME393154 NWA392948:NWA393154 OFW392948:OFW393154 OPS392948:OPS393154 OZO392948:OZO393154 PJK392948:PJK393154 PTG392948:PTG393154 QDC392948:QDC393154 QMY392948:QMY393154 QWU392948:QWU393154 RGQ392948:RGQ393154 RQM392948:RQM393154 SAI392948:SAI393154 SKE392948:SKE393154 SUA392948:SUA393154 TDW392948:TDW393154 TNS392948:TNS393154 TXO392948:TXO393154 UHK392948:UHK393154 URG392948:URG393154 VBC392948:VBC393154 VKY392948:VKY393154 VUU392948:VUU393154 WEQ392948:WEQ393154 WOM392948:WOM393154 WYI392948:WYI393154 BY458484:CC458690 LW458484:LW458690 VS458484:VS458690 AFO458484:AFO458690 APK458484:APK458690 AZG458484:AZG458690 BJC458484:BJC458690 BSY458484:BSY458690 CCU458484:CCU458690 CMQ458484:CMQ458690 CWM458484:CWM458690 DGI458484:DGI458690 DQE458484:DQE458690 EAA458484:EAA458690 EJW458484:EJW458690 ETS458484:ETS458690 FDO458484:FDO458690 FNK458484:FNK458690 FXG458484:FXG458690 GHC458484:GHC458690 GQY458484:GQY458690 HAU458484:HAU458690 HKQ458484:HKQ458690 HUM458484:HUM458690 IEI458484:IEI458690 IOE458484:IOE458690 IYA458484:IYA458690 JHW458484:JHW458690 JRS458484:JRS458690 KBO458484:KBO458690 KLK458484:KLK458690 KVG458484:KVG458690 LFC458484:LFC458690 LOY458484:LOY458690 LYU458484:LYU458690 MIQ458484:MIQ458690 MSM458484:MSM458690 NCI458484:NCI458690 NME458484:NME458690 NWA458484:NWA458690 OFW458484:OFW458690 OPS458484:OPS458690 OZO458484:OZO458690 PJK458484:PJK458690 PTG458484:PTG458690 QDC458484:QDC458690 QMY458484:QMY458690 QWU458484:QWU458690 RGQ458484:RGQ458690 RQM458484:RQM458690 SAI458484:SAI458690 SKE458484:SKE458690 SUA458484:SUA458690 TDW458484:TDW458690 TNS458484:TNS458690 TXO458484:TXO458690 UHK458484:UHK458690 URG458484:URG458690 VBC458484:VBC458690 VKY458484:VKY458690 VUU458484:VUU458690 WEQ458484:WEQ458690 WOM458484:WOM458690 WYI458484:WYI458690 BY524020:CC524226 LW524020:LW524226 VS524020:VS524226 AFO524020:AFO524226 APK524020:APK524226 AZG524020:AZG524226 BJC524020:BJC524226 BSY524020:BSY524226 CCU524020:CCU524226 CMQ524020:CMQ524226 CWM524020:CWM524226 DGI524020:DGI524226 DQE524020:DQE524226 EAA524020:EAA524226 EJW524020:EJW524226 ETS524020:ETS524226 FDO524020:FDO524226 FNK524020:FNK524226 FXG524020:FXG524226 GHC524020:GHC524226 GQY524020:GQY524226 HAU524020:HAU524226 HKQ524020:HKQ524226 HUM524020:HUM524226 IEI524020:IEI524226 IOE524020:IOE524226 IYA524020:IYA524226 JHW524020:JHW524226 JRS524020:JRS524226 KBO524020:KBO524226 KLK524020:KLK524226 KVG524020:KVG524226 LFC524020:LFC524226 LOY524020:LOY524226 LYU524020:LYU524226 MIQ524020:MIQ524226 MSM524020:MSM524226 NCI524020:NCI524226 NME524020:NME524226 NWA524020:NWA524226 OFW524020:OFW524226 OPS524020:OPS524226 OZO524020:OZO524226 PJK524020:PJK524226 PTG524020:PTG524226 QDC524020:QDC524226 QMY524020:QMY524226 QWU524020:QWU524226 RGQ524020:RGQ524226 RQM524020:RQM524226 SAI524020:SAI524226 SKE524020:SKE524226 SUA524020:SUA524226 TDW524020:TDW524226 TNS524020:TNS524226 TXO524020:TXO524226 UHK524020:UHK524226 URG524020:URG524226 VBC524020:VBC524226 VKY524020:VKY524226 VUU524020:VUU524226 WEQ524020:WEQ524226 WOM524020:WOM524226 WYI524020:WYI524226 BY589556:CC589762 LW589556:LW589762 VS589556:VS589762 AFO589556:AFO589762 APK589556:APK589762 AZG589556:AZG589762 BJC589556:BJC589762 BSY589556:BSY589762 CCU589556:CCU589762 CMQ589556:CMQ589762 CWM589556:CWM589762 DGI589556:DGI589762 DQE589556:DQE589762 EAA589556:EAA589762 EJW589556:EJW589762 ETS589556:ETS589762 FDO589556:FDO589762 FNK589556:FNK589762 FXG589556:FXG589762 GHC589556:GHC589762 GQY589556:GQY589762 HAU589556:HAU589762 HKQ589556:HKQ589762 HUM589556:HUM589762 IEI589556:IEI589762 IOE589556:IOE589762 IYA589556:IYA589762 JHW589556:JHW589762 JRS589556:JRS589762 KBO589556:KBO589762 KLK589556:KLK589762 KVG589556:KVG589762 LFC589556:LFC589762 LOY589556:LOY589762 LYU589556:LYU589762 MIQ589556:MIQ589762 MSM589556:MSM589762 NCI589556:NCI589762 NME589556:NME589762 NWA589556:NWA589762 OFW589556:OFW589762 OPS589556:OPS589762 OZO589556:OZO589762 PJK589556:PJK589762 PTG589556:PTG589762 QDC589556:QDC589762 QMY589556:QMY589762 QWU589556:QWU589762 RGQ589556:RGQ589762 RQM589556:RQM589762 SAI589556:SAI589762 SKE589556:SKE589762 SUA589556:SUA589762 TDW589556:TDW589762 TNS589556:TNS589762 TXO589556:TXO589762 UHK589556:UHK589762 URG589556:URG589762 VBC589556:VBC589762 VKY589556:VKY589762 VUU589556:VUU589762 WEQ589556:WEQ589762 WOM589556:WOM589762 WYI589556:WYI589762 BY655092:CC655298 LW655092:LW655298 VS655092:VS655298 AFO655092:AFO655298 APK655092:APK655298 AZG655092:AZG655298 BJC655092:BJC655298 BSY655092:BSY655298 CCU655092:CCU655298 CMQ655092:CMQ655298 CWM655092:CWM655298 DGI655092:DGI655298 DQE655092:DQE655298 EAA655092:EAA655298 EJW655092:EJW655298 ETS655092:ETS655298 FDO655092:FDO655298 FNK655092:FNK655298 FXG655092:FXG655298 GHC655092:GHC655298 GQY655092:GQY655298 HAU655092:HAU655298 HKQ655092:HKQ655298 HUM655092:HUM655298 IEI655092:IEI655298 IOE655092:IOE655298 IYA655092:IYA655298 JHW655092:JHW655298 JRS655092:JRS655298 KBO655092:KBO655298 KLK655092:KLK655298 KVG655092:KVG655298 LFC655092:LFC655298 LOY655092:LOY655298 LYU655092:LYU655298 MIQ655092:MIQ655298 MSM655092:MSM655298 NCI655092:NCI655298 NME655092:NME655298 NWA655092:NWA655298 OFW655092:OFW655298 OPS655092:OPS655298 OZO655092:OZO655298 PJK655092:PJK655298 PTG655092:PTG655298 QDC655092:QDC655298 QMY655092:QMY655298 QWU655092:QWU655298 RGQ655092:RGQ655298 RQM655092:RQM655298 SAI655092:SAI655298 SKE655092:SKE655298 SUA655092:SUA655298 TDW655092:TDW655298 TNS655092:TNS655298 TXO655092:TXO655298 UHK655092:UHK655298 URG655092:URG655298 VBC655092:VBC655298 VKY655092:VKY655298 VUU655092:VUU655298 WEQ655092:WEQ655298 WOM655092:WOM655298 WYI655092:WYI655298 BY720628:CC720834 LW720628:LW720834 VS720628:VS720834 AFO720628:AFO720834 APK720628:APK720834 AZG720628:AZG720834 BJC720628:BJC720834 BSY720628:BSY720834 CCU720628:CCU720834 CMQ720628:CMQ720834 CWM720628:CWM720834 DGI720628:DGI720834 DQE720628:DQE720834 EAA720628:EAA720834 EJW720628:EJW720834 ETS720628:ETS720834 FDO720628:FDO720834 FNK720628:FNK720834 FXG720628:FXG720834 GHC720628:GHC720834 GQY720628:GQY720834 HAU720628:HAU720834 HKQ720628:HKQ720834 HUM720628:HUM720834 IEI720628:IEI720834 IOE720628:IOE720834 IYA720628:IYA720834 JHW720628:JHW720834 JRS720628:JRS720834 KBO720628:KBO720834 KLK720628:KLK720834 KVG720628:KVG720834 LFC720628:LFC720834 LOY720628:LOY720834 LYU720628:LYU720834 MIQ720628:MIQ720834 MSM720628:MSM720834 NCI720628:NCI720834 NME720628:NME720834 NWA720628:NWA720834 OFW720628:OFW720834 OPS720628:OPS720834 OZO720628:OZO720834 PJK720628:PJK720834 PTG720628:PTG720834 QDC720628:QDC720834 QMY720628:QMY720834 QWU720628:QWU720834 RGQ720628:RGQ720834 RQM720628:RQM720834 SAI720628:SAI720834 SKE720628:SKE720834 SUA720628:SUA720834 TDW720628:TDW720834 TNS720628:TNS720834 TXO720628:TXO720834 UHK720628:UHK720834 URG720628:URG720834 VBC720628:VBC720834 VKY720628:VKY720834 VUU720628:VUU720834 WEQ720628:WEQ720834 WOM720628:WOM720834 WYI720628:WYI720834 BY786164:CC786370 LW786164:LW786370 VS786164:VS786370 AFO786164:AFO786370 APK786164:APK786370 AZG786164:AZG786370 BJC786164:BJC786370 BSY786164:BSY786370 CCU786164:CCU786370 CMQ786164:CMQ786370 CWM786164:CWM786370 DGI786164:DGI786370 DQE786164:DQE786370 EAA786164:EAA786370 EJW786164:EJW786370 ETS786164:ETS786370 FDO786164:FDO786370 FNK786164:FNK786370 FXG786164:FXG786370 GHC786164:GHC786370 GQY786164:GQY786370 HAU786164:HAU786370 HKQ786164:HKQ786370 HUM786164:HUM786370 IEI786164:IEI786370 IOE786164:IOE786370 IYA786164:IYA786370 JHW786164:JHW786370 JRS786164:JRS786370 KBO786164:KBO786370 KLK786164:KLK786370 KVG786164:KVG786370 LFC786164:LFC786370 LOY786164:LOY786370 LYU786164:LYU786370 MIQ786164:MIQ786370 MSM786164:MSM786370 NCI786164:NCI786370 NME786164:NME786370 NWA786164:NWA786370 OFW786164:OFW786370 OPS786164:OPS786370 OZO786164:OZO786370 PJK786164:PJK786370 PTG786164:PTG786370 QDC786164:QDC786370 QMY786164:QMY786370 QWU786164:QWU786370 RGQ786164:RGQ786370 RQM786164:RQM786370 SAI786164:SAI786370 SKE786164:SKE786370 SUA786164:SUA786370 TDW786164:TDW786370 TNS786164:TNS786370 TXO786164:TXO786370 UHK786164:UHK786370 URG786164:URG786370 VBC786164:VBC786370 VKY786164:VKY786370 VUU786164:VUU786370 WEQ786164:WEQ786370 WOM786164:WOM786370 WYI786164:WYI786370 BY851700:CC851906 LW851700:LW851906 VS851700:VS851906 AFO851700:AFO851906 APK851700:APK851906 AZG851700:AZG851906 BJC851700:BJC851906 BSY851700:BSY851906 CCU851700:CCU851906 CMQ851700:CMQ851906 CWM851700:CWM851906 DGI851700:DGI851906 DQE851700:DQE851906 EAA851700:EAA851906 EJW851700:EJW851906 ETS851700:ETS851906 FDO851700:FDO851906 FNK851700:FNK851906 FXG851700:FXG851906 GHC851700:GHC851906 GQY851700:GQY851906 HAU851700:HAU851906 HKQ851700:HKQ851906 HUM851700:HUM851906 IEI851700:IEI851906 IOE851700:IOE851906 IYA851700:IYA851906 JHW851700:JHW851906 JRS851700:JRS851906 KBO851700:KBO851906 KLK851700:KLK851906 KVG851700:KVG851906 LFC851700:LFC851906 LOY851700:LOY851906 LYU851700:LYU851906 MIQ851700:MIQ851906 MSM851700:MSM851906 NCI851700:NCI851906 NME851700:NME851906 NWA851700:NWA851906 OFW851700:OFW851906 OPS851700:OPS851906 OZO851700:OZO851906 PJK851700:PJK851906 PTG851700:PTG851906 QDC851700:QDC851906 QMY851700:QMY851906 QWU851700:QWU851906 RGQ851700:RGQ851906 RQM851700:RQM851906 SAI851700:SAI851906 SKE851700:SKE851906 SUA851700:SUA851906 TDW851700:TDW851906 TNS851700:TNS851906 TXO851700:TXO851906 UHK851700:UHK851906 URG851700:URG851906 VBC851700:VBC851906 VKY851700:VKY851906 VUU851700:VUU851906 WEQ851700:WEQ851906 WOM851700:WOM851906 WYI851700:WYI851906 BY917236:CC917442 LW917236:LW917442 VS917236:VS917442 AFO917236:AFO917442 APK917236:APK917442 AZG917236:AZG917442 BJC917236:BJC917442 BSY917236:BSY917442 CCU917236:CCU917442 CMQ917236:CMQ917442 CWM917236:CWM917442 DGI917236:DGI917442 DQE917236:DQE917442 EAA917236:EAA917442 EJW917236:EJW917442 ETS917236:ETS917442 FDO917236:FDO917442 FNK917236:FNK917442 FXG917236:FXG917442 GHC917236:GHC917442 GQY917236:GQY917442 HAU917236:HAU917442 HKQ917236:HKQ917442 HUM917236:HUM917442 IEI917236:IEI917442 IOE917236:IOE917442 IYA917236:IYA917442 JHW917236:JHW917442 JRS917236:JRS917442 KBO917236:KBO917442 KLK917236:KLK917442 KVG917236:KVG917442 LFC917236:LFC917442 LOY917236:LOY917442 LYU917236:LYU917442 MIQ917236:MIQ917442 MSM917236:MSM917442 NCI917236:NCI917442 NME917236:NME917442 NWA917236:NWA917442 OFW917236:OFW917442 OPS917236:OPS917442 OZO917236:OZO917442 PJK917236:PJK917442 PTG917236:PTG917442 QDC917236:QDC917442 QMY917236:QMY917442 QWU917236:QWU917442 RGQ917236:RGQ917442 RQM917236:RQM917442 SAI917236:SAI917442 SKE917236:SKE917442 SUA917236:SUA917442 TDW917236:TDW917442 TNS917236:TNS917442 TXO917236:TXO917442 UHK917236:UHK917442 URG917236:URG917442 VBC917236:VBC917442 VKY917236:VKY917442 VUU917236:VUU917442 WEQ917236:WEQ917442 WOM917236:WOM917442 WYI917236:WYI917442 BY982772:CC982978 LW982772:LW982978 VS982772:VS982978 AFO982772:AFO982978 APK982772:APK982978 AZG982772:AZG982978 BJC982772:BJC982978 BSY982772:BSY982978 CCU982772:CCU982978 CMQ982772:CMQ982978 CWM982772:CWM982978 DGI982772:DGI982978 DQE982772:DQE982978 EAA982772:EAA982978 EJW982772:EJW982978 ETS982772:ETS982978 FDO982772:FDO982978 FNK982772:FNK982978 FXG982772:FXG982978 GHC982772:GHC982978 GQY982772:GQY982978 HAU982772:HAU982978 HKQ982772:HKQ982978 HUM982772:HUM982978 IEI982772:IEI982978 IOE982772:IOE982978 IYA982772:IYA982978 JHW982772:JHW982978 JRS982772:JRS982978 KBO982772:KBO982978 KLK982772:KLK982978 KVG982772:KVG982978 LFC982772:LFC982978 LOY982772:LOY982978 LYU982772:LYU982978 MIQ982772:MIQ982978 MSM982772:MSM982978 NCI982772:NCI982978 NME982772:NME982978 NWA982772:NWA982978 OFW982772:OFW982978 OPS982772:OPS982978 OZO982772:OZO982978 PJK982772:PJK982978 PTG982772:PTG982978 QDC982772:QDC982978 QMY982772:QMY982978 QWU982772:QWU982978 RGQ982772:RGQ982978 RQM982772:RQM982978 SAI982772:SAI982978 SKE982772:SKE982978 SUA982772:SUA982978 TDW982772:TDW982978 TNS982772:TNS982978 TXO982772:TXO982978 UHK982772:UHK982978 URG982772:URG982978 VBC982772:VBC982978 VKY982772:VKY982978 VUU982772:VUU982978 WEQ982772:WEQ982978 WOM982772:WOM982978 WYI982772:WYI982978 WOM5:WOM11 WYI5:WYI11 LW5:LW11 VS5:VS11 AFO5:AFO11 APK5:APK11 AZG5:AZG11 BJC5:BJC11 BSY5:BSY11 CCU5:CCU11 CMQ5:CMQ11 CWM5:CWM11 DGI5:DGI11 DQE5:DQE11 EAA5:EAA11 EJW5:EJW11 ETS5:ETS11 FDO5:FDO11 FNK5:FNK11 FXG5:FXG11 GHC5:GHC11 GQY5:GQY11 HAU5:HAU11 HKQ5:HKQ11 HUM5:HUM11 IEI5:IEI11 IOE5:IOE11 IYA5:IYA11 JHW5:JHW11 JRS5:JRS11 KBO5:KBO11 KLK5:KLK11 KVG5:KVG11 LFC5:LFC11 LOY5:LOY11 LYU5:LYU11 MIQ5:MIQ11 MSM5:MSM11 NCI5:NCI11 NME5:NME11 NWA5:NWA11 OFW5:OFW11 OPS5:OPS11 OZO5:OZO11 PJK5:PJK11 PTG5:PTG11 QDC5:QDC11 QMY5:QMY11 QWU5:QWU11 RGQ5:RGQ11 RQM5:RQM11 SAI5:SAI11 SKE5:SKE11 SUA5:SUA11 TDW5:TDW11 TNS5:TNS11 TXO5:TXO11 UHK5:UHK11 URG5:URG11 VBC5:VBC11 VKY5:VKY11 VUU5:VUU11 WEQ5:WEQ11">
      <formula1>0</formula1>
      <formula2>1000000000000000</formula2>
    </dataValidation>
    <dataValidation type="whole" allowBlank="1" showInputMessage="1" showErrorMessage="1" sqref="CD65268:CD65474 LX65268:LX65474 VT65268:VT65474 AFP65268:AFP65474 APL65268:APL65474 AZH65268:AZH65474 BJD65268:BJD65474 BSZ65268:BSZ65474 CCV65268:CCV65474 CMR65268:CMR65474 CWN65268:CWN65474 DGJ65268:DGJ65474 DQF65268:DQF65474 EAB65268:EAB65474 EJX65268:EJX65474 ETT65268:ETT65474 FDP65268:FDP65474 FNL65268:FNL65474 FXH65268:FXH65474 GHD65268:GHD65474 GQZ65268:GQZ65474 HAV65268:HAV65474 HKR65268:HKR65474 HUN65268:HUN65474 IEJ65268:IEJ65474 IOF65268:IOF65474 IYB65268:IYB65474 JHX65268:JHX65474 JRT65268:JRT65474 KBP65268:KBP65474 KLL65268:KLL65474 KVH65268:KVH65474 LFD65268:LFD65474 LOZ65268:LOZ65474 LYV65268:LYV65474 MIR65268:MIR65474 MSN65268:MSN65474 NCJ65268:NCJ65474 NMF65268:NMF65474 NWB65268:NWB65474 OFX65268:OFX65474 OPT65268:OPT65474 OZP65268:OZP65474 PJL65268:PJL65474 PTH65268:PTH65474 QDD65268:QDD65474 QMZ65268:QMZ65474 QWV65268:QWV65474 RGR65268:RGR65474 RQN65268:RQN65474 SAJ65268:SAJ65474 SKF65268:SKF65474 SUB65268:SUB65474 TDX65268:TDX65474 TNT65268:TNT65474 TXP65268:TXP65474 UHL65268:UHL65474 URH65268:URH65474 VBD65268:VBD65474 VKZ65268:VKZ65474 VUV65268:VUV65474 WER65268:WER65474 WON65268:WON65474 WYJ65268:WYJ65474 CD130804:CD131010 LX130804:LX131010 VT130804:VT131010 AFP130804:AFP131010 APL130804:APL131010 AZH130804:AZH131010 BJD130804:BJD131010 BSZ130804:BSZ131010 CCV130804:CCV131010 CMR130804:CMR131010 CWN130804:CWN131010 DGJ130804:DGJ131010 DQF130804:DQF131010 EAB130804:EAB131010 EJX130804:EJX131010 ETT130804:ETT131010 FDP130804:FDP131010 FNL130804:FNL131010 FXH130804:FXH131010 GHD130804:GHD131010 GQZ130804:GQZ131010 HAV130804:HAV131010 HKR130804:HKR131010 HUN130804:HUN131010 IEJ130804:IEJ131010 IOF130804:IOF131010 IYB130804:IYB131010 JHX130804:JHX131010 JRT130804:JRT131010 KBP130804:KBP131010 KLL130804:KLL131010 KVH130804:KVH131010 LFD130804:LFD131010 LOZ130804:LOZ131010 LYV130804:LYV131010 MIR130804:MIR131010 MSN130804:MSN131010 NCJ130804:NCJ131010 NMF130804:NMF131010 NWB130804:NWB131010 OFX130804:OFX131010 OPT130804:OPT131010 OZP130804:OZP131010 PJL130804:PJL131010 PTH130804:PTH131010 QDD130804:QDD131010 QMZ130804:QMZ131010 QWV130804:QWV131010 RGR130804:RGR131010 RQN130804:RQN131010 SAJ130804:SAJ131010 SKF130804:SKF131010 SUB130804:SUB131010 TDX130804:TDX131010 TNT130804:TNT131010 TXP130804:TXP131010 UHL130804:UHL131010 URH130804:URH131010 VBD130804:VBD131010 VKZ130804:VKZ131010 VUV130804:VUV131010 WER130804:WER131010 WON130804:WON131010 WYJ130804:WYJ131010 CD196340:CD196546 LX196340:LX196546 VT196340:VT196546 AFP196340:AFP196546 APL196340:APL196546 AZH196340:AZH196546 BJD196340:BJD196546 BSZ196340:BSZ196546 CCV196340:CCV196546 CMR196340:CMR196546 CWN196340:CWN196546 DGJ196340:DGJ196546 DQF196340:DQF196546 EAB196340:EAB196546 EJX196340:EJX196546 ETT196340:ETT196546 FDP196340:FDP196546 FNL196340:FNL196546 FXH196340:FXH196546 GHD196340:GHD196546 GQZ196340:GQZ196546 HAV196340:HAV196546 HKR196340:HKR196546 HUN196340:HUN196546 IEJ196340:IEJ196546 IOF196340:IOF196546 IYB196340:IYB196546 JHX196340:JHX196546 JRT196340:JRT196546 KBP196340:KBP196546 KLL196340:KLL196546 KVH196340:KVH196546 LFD196340:LFD196546 LOZ196340:LOZ196546 LYV196340:LYV196546 MIR196340:MIR196546 MSN196340:MSN196546 NCJ196340:NCJ196546 NMF196340:NMF196546 NWB196340:NWB196546 OFX196340:OFX196546 OPT196340:OPT196546 OZP196340:OZP196546 PJL196340:PJL196546 PTH196340:PTH196546 QDD196340:QDD196546 QMZ196340:QMZ196546 QWV196340:QWV196546 RGR196340:RGR196546 RQN196340:RQN196546 SAJ196340:SAJ196546 SKF196340:SKF196546 SUB196340:SUB196546 TDX196340:TDX196546 TNT196340:TNT196546 TXP196340:TXP196546 UHL196340:UHL196546 URH196340:URH196546 VBD196340:VBD196546 VKZ196340:VKZ196546 VUV196340:VUV196546 WER196340:WER196546 WON196340:WON196546 WYJ196340:WYJ196546 CD261876:CD262082 LX261876:LX262082 VT261876:VT262082 AFP261876:AFP262082 APL261876:APL262082 AZH261876:AZH262082 BJD261876:BJD262082 BSZ261876:BSZ262082 CCV261876:CCV262082 CMR261876:CMR262082 CWN261876:CWN262082 DGJ261876:DGJ262082 DQF261876:DQF262082 EAB261876:EAB262082 EJX261876:EJX262082 ETT261876:ETT262082 FDP261876:FDP262082 FNL261876:FNL262082 FXH261876:FXH262082 GHD261876:GHD262082 GQZ261876:GQZ262082 HAV261876:HAV262082 HKR261876:HKR262082 HUN261876:HUN262082 IEJ261876:IEJ262082 IOF261876:IOF262082 IYB261876:IYB262082 JHX261876:JHX262082 JRT261876:JRT262082 KBP261876:KBP262082 KLL261876:KLL262082 KVH261876:KVH262082 LFD261876:LFD262082 LOZ261876:LOZ262082 LYV261876:LYV262082 MIR261876:MIR262082 MSN261876:MSN262082 NCJ261876:NCJ262082 NMF261876:NMF262082 NWB261876:NWB262082 OFX261876:OFX262082 OPT261876:OPT262082 OZP261876:OZP262082 PJL261876:PJL262082 PTH261876:PTH262082 QDD261876:QDD262082 QMZ261876:QMZ262082 QWV261876:QWV262082 RGR261876:RGR262082 RQN261876:RQN262082 SAJ261876:SAJ262082 SKF261876:SKF262082 SUB261876:SUB262082 TDX261876:TDX262082 TNT261876:TNT262082 TXP261876:TXP262082 UHL261876:UHL262082 URH261876:URH262082 VBD261876:VBD262082 VKZ261876:VKZ262082 VUV261876:VUV262082 WER261876:WER262082 WON261876:WON262082 WYJ261876:WYJ262082 CD327412:CD327618 LX327412:LX327618 VT327412:VT327618 AFP327412:AFP327618 APL327412:APL327618 AZH327412:AZH327618 BJD327412:BJD327618 BSZ327412:BSZ327618 CCV327412:CCV327618 CMR327412:CMR327618 CWN327412:CWN327618 DGJ327412:DGJ327618 DQF327412:DQF327618 EAB327412:EAB327618 EJX327412:EJX327618 ETT327412:ETT327618 FDP327412:FDP327618 FNL327412:FNL327618 FXH327412:FXH327618 GHD327412:GHD327618 GQZ327412:GQZ327618 HAV327412:HAV327618 HKR327412:HKR327618 HUN327412:HUN327618 IEJ327412:IEJ327618 IOF327412:IOF327618 IYB327412:IYB327618 JHX327412:JHX327618 JRT327412:JRT327618 KBP327412:KBP327618 KLL327412:KLL327618 KVH327412:KVH327618 LFD327412:LFD327618 LOZ327412:LOZ327618 LYV327412:LYV327618 MIR327412:MIR327618 MSN327412:MSN327618 NCJ327412:NCJ327618 NMF327412:NMF327618 NWB327412:NWB327618 OFX327412:OFX327618 OPT327412:OPT327618 OZP327412:OZP327618 PJL327412:PJL327618 PTH327412:PTH327618 QDD327412:QDD327618 QMZ327412:QMZ327618 QWV327412:QWV327618 RGR327412:RGR327618 RQN327412:RQN327618 SAJ327412:SAJ327618 SKF327412:SKF327618 SUB327412:SUB327618 TDX327412:TDX327618 TNT327412:TNT327618 TXP327412:TXP327618 UHL327412:UHL327618 URH327412:URH327618 VBD327412:VBD327618 VKZ327412:VKZ327618 VUV327412:VUV327618 WER327412:WER327618 WON327412:WON327618 WYJ327412:WYJ327618 CD392948:CD393154 LX392948:LX393154 VT392948:VT393154 AFP392948:AFP393154 APL392948:APL393154 AZH392948:AZH393154 BJD392948:BJD393154 BSZ392948:BSZ393154 CCV392948:CCV393154 CMR392948:CMR393154 CWN392948:CWN393154 DGJ392948:DGJ393154 DQF392948:DQF393154 EAB392948:EAB393154 EJX392948:EJX393154 ETT392948:ETT393154 FDP392948:FDP393154 FNL392948:FNL393154 FXH392948:FXH393154 GHD392948:GHD393154 GQZ392948:GQZ393154 HAV392948:HAV393154 HKR392948:HKR393154 HUN392948:HUN393154 IEJ392948:IEJ393154 IOF392948:IOF393154 IYB392948:IYB393154 JHX392948:JHX393154 JRT392948:JRT393154 KBP392948:KBP393154 KLL392948:KLL393154 KVH392948:KVH393154 LFD392948:LFD393154 LOZ392948:LOZ393154 LYV392948:LYV393154 MIR392948:MIR393154 MSN392948:MSN393154 NCJ392948:NCJ393154 NMF392948:NMF393154 NWB392948:NWB393154 OFX392948:OFX393154 OPT392948:OPT393154 OZP392948:OZP393154 PJL392948:PJL393154 PTH392948:PTH393154 QDD392948:QDD393154 QMZ392948:QMZ393154 QWV392948:QWV393154 RGR392948:RGR393154 RQN392948:RQN393154 SAJ392948:SAJ393154 SKF392948:SKF393154 SUB392948:SUB393154 TDX392948:TDX393154 TNT392948:TNT393154 TXP392948:TXP393154 UHL392948:UHL393154 URH392948:URH393154 VBD392948:VBD393154 VKZ392948:VKZ393154 VUV392948:VUV393154 WER392948:WER393154 WON392948:WON393154 WYJ392948:WYJ393154 CD458484:CD458690 LX458484:LX458690 VT458484:VT458690 AFP458484:AFP458690 APL458484:APL458690 AZH458484:AZH458690 BJD458484:BJD458690 BSZ458484:BSZ458690 CCV458484:CCV458690 CMR458484:CMR458690 CWN458484:CWN458690 DGJ458484:DGJ458690 DQF458484:DQF458690 EAB458484:EAB458690 EJX458484:EJX458690 ETT458484:ETT458690 FDP458484:FDP458690 FNL458484:FNL458690 FXH458484:FXH458690 GHD458484:GHD458690 GQZ458484:GQZ458690 HAV458484:HAV458690 HKR458484:HKR458690 HUN458484:HUN458690 IEJ458484:IEJ458690 IOF458484:IOF458690 IYB458484:IYB458690 JHX458484:JHX458690 JRT458484:JRT458690 KBP458484:KBP458690 KLL458484:KLL458690 KVH458484:KVH458690 LFD458484:LFD458690 LOZ458484:LOZ458690 LYV458484:LYV458690 MIR458484:MIR458690 MSN458484:MSN458690 NCJ458484:NCJ458690 NMF458484:NMF458690 NWB458484:NWB458690 OFX458484:OFX458690 OPT458484:OPT458690 OZP458484:OZP458690 PJL458484:PJL458690 PTH458484:PTH458690 QDD458484:QDD458690 QMZ458484:QMZ458690 QWV458484:QWV458690 RGR458484:RGR458690 RQN458484:RQN458690 SAJ458484:SAJ458690 SKF458484:SKF458690 SUB458484:SUB458690 TDX458484:TDX458690 TNT458484:TNT458690 TXP458484:TXP458690 UHL458484:UHL458690 URH458484:URH458690 VBD458484:VBD458690 VKZ458484:VKZ458690 VUV458484:VUV458690 WER458484:WER458690 WON458484:WON458690 WYJ458484:WYJ458690 CD524020:CD524226 LX524020:LX524226 VT524020:VT524226 AFP524020:AFP524226 APL524020:APL524226 AZH524020:AZH524226 BJD524020:BJD524226 BSZ524020:BSZ524226 CCV524020:CCV524226 CMR524020:CMR524226 CWN524020:CWN524226 DGJ524020:DGJ524226 DQF524020:DQF524226 EAB524020:EAB524226 EJX524020:EJX524226 ETT524020:ETT524226 FDP524020:FDP524226 FNL524020:FNL524226 FXH524020:FXH524226 GHD524020:GHD524226 GQZ524020:GQZ524226 HAV524020:HAV524226 HKR524020:HKR524226 HUN524020:HUN524226 IEJ524020:IEJ524226 IOF524020:IOF524226 IYB524020:IYB524226 JHX524020:JHX524226 JRT524020:JRT524226 KBP524020:KBP524226 KLL524020:KLL524226 KVH524020:KVH524226 LFD524020:LFD524226 LOZ524020:LOZ524226 LYV524020:LYV524226 MIR524020:MIR524226 MSN524020:MSN524226 NCJ524020:NCJ524226 NMF524020:NMF524226 NWB524020:NWB524226 OFX524020:OFX524226 OPT524020:OPT524226 OZP524020:OZP524226 PJL524020:PJL524226 PTH524020:PTH524226 QDD524020:QDD524226 QMZ524020:QMZ524226 QWV524020:QWV524226 RGR524020:RGR524226 RQN524020:RQN524226 SAJ524020:SAJ524226 SKF524020:SKF524226 SUB524020:SUB524226 TDX524020:TDX524226 TNT524020:TNT524226 TXP524020:TXP524226 UHL524020:UHL524226 URH524020:URH524226 VBD524020:VBD524226 VKZ524020:VKZ524226 VUV524020:VUV524226 WER524020:WER524226 WON524020:WON524226 WYJ524020:WYJ524226 CD589556:CD589762 LX589556:LX589762 VT589556:VT589762 AFP589556:AFP589762 APL589556:APL589762 AZH589556:AZH589762 BJD589556:BJD589762 BSZ589556:BSZ589762 CCV589556:CCV589762 CMR589556:CMR589762 CWN589556:CWN589762 DGJ589556:DGJ589762 DQF589556:DQF589762 EAB589556:EAB589762 EJX589556:EJX589762 ETT589556:ETT589762 FDP589556:FDP589762 FNL589556:FNL589762 FXH589556:FXH589762 GHD589556:GHD589762 GQZ589556:GQZ589762 HAV589556:HAV589762 HKR589556:HKR589762 HUN589556:HUN589762 IEJ589556:IEJ589762 IOF589556:IOF589762 IYB589556:IYB589762 JHX589556:JHX589762 JRT589556:JRT589762 KBP589556:KBP589762 KLL589556:KLL589762 KVH589556:KVH589762 LFD589556:LFD589762 LOZ589556:LOZ589762 LYV589556:LYV589762 MIR589556:MIR589762 MSN589556:MSN589762 NCJ589556:NCJ589762 NMF589556:NMF589762 NWB589556:NWB589762 OFX589556:OFX589762 OPT589556:OPT589762 OZP589556:OZP589762 PJL589556:PJL589762 PTH589556:PTH589762 QDD589556:QDD589762 QMZ589556:QMZ589762 QWV589556:QWV589762 RGR589556:RGR589762 RQN589556:RQN589762 SAJ589556:SAJ589762 SKF589556:SKF589762 SUB589556:SUB589762 TDX589556:TDX589762 TNT589556:TNT589762 TXP589556:TXP589762 UHL589556:UHL589762 URH589556:URH589762 VBD589556:VBD589762 VKZ589556:VKZ589762 VUV589556:VUV589762 WER589556:WER589762 WON589556:WON589762 WYJ589556:WYJ589762 CD655092:CD655298 LX655092:LX655298 VT655092:VT655298 AFP655092:AFP655298 APL655092:APL655298 AZH655092:AZH655298 BJD655092:BJD655298 BSZ655092:BSZ655298 CCV655092:CCV655298 CMR655092:CMR655298 CWN655092:CWN655298 DGJ655092:DGJ655298 DQF655092:DQF655298 EAB655092:EAB655298 EJX655092:EJX655298 ETT655092:ETT655298 FDP655092:FDP655298 FNL655092:FNL655298 FXH655092:FXH655298 GHD655092:GHD655298 GQZ655092:GQZ655298 HAV655092:HAV655298 HKR655092:HKR655298 HUN655092:HUN655298 IEJ655092:IEJ655298 IOF655092:IOF655298 IYB655092:IYB655298 JHX655092:JHX655298 JRT655092:JRT655298 KBP655092:KBP655298 KLL655092:KLL655298 KVH655092:KVH655298 LFD655092:LFD655298 LOZ655092:LOZ655298 LYV655092:LYV655298 MIR655092:MIR655298 MSN655092:MSN655298 NCJ655092:NCJ655298 NMF655092:NMF655298 NWB655092:NWB655298 OFX655092:OFX655298 OPT655092:OPT655298 OZP655092:OZP655298 PJL655092:PJL655298 PTH655092:PTH655298 QDD655092:QDD655298 QMZ655092:QMZ655298 QWV655092:QWV655298 RGR655092:RGR655298 RQN655092:RQN655298 SAJ655092:SAJ655298 SKF655092:SKF655298 SUB655092:SUB655298 TDX655092:TDX655298 TNT655092:TNT655298 TXP655092:TXP655298 UHL655092:UHL655298 URH655092:URH655298 VBD655092:VBD655298 VKZ655092:VKZ655298 VUV655092:VUV655298 WER655092:WER655298 WON655092:WON655298 WYJ655092:WYJ655298 CD720628:CD720834 LX720628:LX720834 VT720628:VT720834 AFP720628:AFP720834 APL720628:APL720834 AZH720628:AZH720834 BJD720628:BJD720834 BSZ720628:BSZ720834 CCV720628:CCV720834 CMR720628:CMR720834 CWN720628:CWN720834 DGJ720628:DGJ720834 DQF720628:DQF720834 EAB720628:EAB720834 EJX720628:EJX720834 ETT720628:ETT720834 FDP720628:FDP720834 FNL720628:FNL720834 FXH720628:FXH720834 GHD720628:GHD720834 GQZ720628:GQZ720834 HAV720628:HAV720834 HKR720628:HKR720834 HUN720628:HUN720834 IEJ720628:IEJ720834 IOF720628:IOF720834 IYB720628:IYB720834 JHX720628:JHX720834 JRT720628:JRT720834 KBP720628:KBP720834 KLL720628:KLL720834 KVH720628:KVH720834 LFD720628:LFD720834 LOZ720628:LOZ720834 LYV720628:LYV720834 MIR720628:MIR720834 MSN720628:MSN720834 NCJ720628:NCJ720834 NMF720628:NMF720834 NWB720628:NWB720834 OFX720628:OFX720834 OPT720628:OPT720834 OZP720628:OZP720834 PJL720628:PJL720834 PTH720628:PTH720834 QDD720628:QDD720834 QMZ720628:QMZ720834 QWV720628:QWV720834 RGR720628:RGR720834 RQN720628:RQN720834 SAJ720628:SAJ720834 SKF720628:SKF720834 SUB720628:SUB720834 TDX720628:TDX720834 TNT720628:TNT720834 TXP720628:TXP720834 UHL720628:UHL720834 URH720628:URH720834 VBD720628:VBD720834 VKZ720628:VKZ720834 VUV720628:VUV720834 WER720628:WER720834 WON720628:WON720834 WYJ720628:WYJ720834 CD786164:CD786370 LX786164:LX786370 VT786164:VT786370 AFP786164:AFP786370 APL786164:APL786370 AZH786164:AZH786370 BJD786164:BJD786370 BSZ786164:BSZ786370 CCV786164:CCV786370 CMR786164:CMR786370 CWN786164:CWN786370 DGJ786164:DGJ786370 DQF786164:DQF786370 EAB786164:EAB786370 EJX786164:EJX786370 ETT786164:ETT786370 FDP786164:FDP786370 FNL786164:FNL786370 FXH786164:FXH786370 GHD786164:GHD786370 GQZ786164:GQZ786370 HAV786164:HAV786370 HKR786164:HKR786370 HUN786164:HUN786370 IEJ786164:IEJ786370 IOF786164:IOF786370 IYB786164:IYB786370 JHX786164:JHX786370 JRT786164:JRT786370 KBP786164:KBP786370 KLL786164:KLL786370 KVH786164:KVH786370 LFD786164:LFD786370 LOZ786164:LOZ786370 LYV786164:LYV786370 MIR786164:MIR786370 MSN786164:MSN786370 NCJ786164:NCJ786370 NMF786164:NMF786370 NWB786164:NWB786370 OFX786164:OFX786370 OPT786164:OPT786370 OZP786164:OZP786370 PJL786164:PJL786370 PTH786164:PTH786370 QDD786164:QDD786370 QMZ786164:QMZ786370 QWV786164:QWV786370 RGR786164:RGR786370 RQN786164:RQN786370 SAJ786164:SAJ786370 SKF786164:SKF786370 SUB786164:SUB786370 TDX786164:TDX786370 TNT786164:TNT786370 TXP786164:TXP786370 UHL786164:UHL786370 URH786164:URH786370 VBD786164:VBD786370 VKZ786164:VKZ786370 VUV786164:VUV786370 WER786164:WER786370 WON786164:WON786370 WYJ786164:WYJ786370 CD851700:CD851906 LX851700:LX851906 VT851700:VT851906 AFP851700:AFP851906 APL851700:APL851906 AZH851700:AZH851906 BJD851700:BJD851906 BSZ851700:BSZ851906 CCV851700:CCV851906 CMR851700:CMR851906 CWN851700:CWN851906 DGJ851700:DGJ851906 DQF851700:DQF851906 EAB851700:EAB851906 EJX851700:EJX851906 ETT851700:ETT851906 FDP851700:FDP851906 FNL851700:FNL851906 FXH851700:FXH851906 GHD851700:GHD851906 GQZ851700:GQZ851906 HAV851700:HAV851906 HKR851700:HKR851906 HUN851700:HUN851906 IEJ851700:IEJ851906 IOF851700:IOF851906 IYB851700:IYB851906 JHX851700:JHX851906 JRT851700:JRT851906 KBP851700:KBP851906 KLL851700:KLL851906 KVH851700:KVH851906 LFD851700:LFD851906 LOZ851700:LOZ851906 LYV851700:LYV851906 MIR851700:MIR851906 MSN851700:MSN851906 NCJ851700:NCJ851906 NMF851700:NMF851906 NWB851700:NWB851906 OFX851700:OFX851906 OPT851700:OPT851906 OZP851700:OZP851906 PJL851700:PJL851906 PTH851700:PTH851906 QDD851700:QDD851906 QMZ851700:QMZ851906 QWV851700:QWV851906 RGR851700:RGR851906 RQN851700:RQN851906 SAJ851700:SAJ851906 SKF851700:SKF851906 SUB851700:SUB851906 TDX851700:TDX851906 TNT851700:TNT851906 TXP851700:TXP851906 UHL851700:UHL851906 URH851700:URH851906 VBD851700:VBD851906 VKZ851700:VKZ851906 VUV851700:VUV851906 WER851700:WER851906 WON851700:WON851906 WYJ851700:WYJ851906 CD917236:CD917442 LX917236:LX917442 VT917236:VT917442 AFP917236:AFP917442 APL917236:APL917442 AZH917236:AZH917442 BJD917236:BJD917442 BSZ917236:BSZ917442 CCV917236:CCV917442 CMR917236:CMR917442 CWN917236:CWN917442 DGJ917236:DGJ917442 DQF917236:DQF917442 EAB917236:EAB917442 EJX917236:EJX917442 ETT917236:ETT917442 FDP917236:FDP917442 FNL917236:FNL917442 FXH917236:FXH917442 GHD917236:GHD917442 GQZ917236:GQZ917442 HAV917236:HAV917442 HKR917236:HKR917442 HUN917236:HUN917442 IEJ917236:IEJ917442 IOF917236:IOF917442 IYB917236:IYB917442 JHX917236:JHX917442 JRT917236:JRT917442 KBP917236:KBP917442 KLL917236:KLL917442 KVH917236:KVH917442 LFD917236:LFD917442 LOZ917236:LOZ917442 LYV917236:LYV917442 MIR917236:MIR917442 MSN917236:MSN917442 NCJ917236:NCJ917442 NMF917236:NMF917442 NWB917236:NWB917442 OFX917236:OFX917442 OPT917236:OPT917442 OZP917236:OZP917442 PJL917236:PJL917442 PTH917236:PTH917442 QDD917236:QDD917442 QMZ917236:QMZ917442 QWV917236:QWV917442 RGR917236:RGR917442 RQN917236:RQN917442 SAJ917236:SAJ917442 SKF917236:SKF917442 SUB917236:SUB917442 TDX917236:TDX917442 TNT917236:TNT917442 TXP917236:TXP917442 UHL917236:UHL917442 URH917236:URH917442 VBD917236:VBD917442 VKZ917236:VKZ917442 VUV917236:VUV917442 WER917236:WER917442 WON917236:WON917442 WYJ917236:WYJ917442 CD982772:CD982978 LX982772:LX982978 VT982772:VT982978 AFP982772:AFP982978 APL982772:APL982978 AZH982772:AZH982978 BJD982772:BJD982978 BSZ982772:BSZ982978 CCV982772:CCV982978 CMR982772:CMR982978 CWN982772:CWN982978 DGJ982772:DGJ982978 DQF982772:DQF982978 EAB982772:EAB982978 EJX982772:EJX982978 ETT982772:ETT982978 FDP982772:FDP982978 FNL982772:FNL982978 FXH982772:FXH982978 GHD982772:GHD982978 GQZ982772:GQZ982978 HAV982772:HAV982978 HKR982772:HKR982978 HUN982772:HUN982978 IEJ982772:IEJ982978 IOF982772:IOF982978 IYB982772:IYB982978 JHX982772:JHX982978 JRT982772:JRT982978 KBP982772:KBP982978 KLL982772:KLL982978 KVH982772:KVH982978 LFD982772:LFD982978 LOZ982772:LOZ982978 LYV982772:LYV982978 MIR982772:MIR982978 MSN982772:MSN982978 NCJ982772:NCJ982978 NMF982772:NMF982978 NWB982772:NWB982978 OFX982772:OFX982978 OPT982772:OPT982978 OZP982772:OZP982978 PJL982772:PJL982978 PTH982772:PTH982978 QDD982772:QDD982978 QMZ982772:QMZ982978 QWV982772:QWV982978 RGR982772:RGR982978 RQN982772:RQN982978 SAJ982772:SAJ982978 SKF982772:SKF982978 SUB982772:SUB982978 TDX982772:TDX982978 TNT982772:TNT982978 TXP982772:TXP982978 UHL982772:UHL982978 URH982772:URH982978 VBD982772:VBD982978 VKZ982772:VKZ982978 VUV982772:VUV982978 WER982772:WER982978 WON982772:WON982978 WYJ982772:WYJ982978 WYJ5:WYJ11 LX5:LX11 VT5:VT11 AFP5:AFP11 APL5:APL11 AZH5:AZH11 BJD5:BJD11 BSZ5:BSZ11 CCV5:CCV11 CMR5:CMR11 CWN5:CWN11 DGJ5:DGJ11 DQF5:DQF11 EAB5:EAB11 EJX5:EJX11 ETT5:ETT11 FDP5:FDP11 FNL5:FNL11 FXH5:FXH11 GHD5:GHD11 GQZ5:GQZ11 HAV5:HAV11 HKR5:HKR11 HUN5:HUN11 IEJ5:IEJ11 IOF5:IOF11 IYB5:IYB11 JHX5:JHX11 JRT5:JRT11 KBP5:KBP11 KLL5:KLL11 KVH5:KVH11 LFD5:LFD11 LOZ5:LOZ11 LYV5:LYV11 MIR5:MIR11 MSN5:MSN11 NCJ5:NCJ11 NMF5:NMF11 NWB5:NWB11 OFX5:OFX11 OPT5:OPT11 OZP5:OZP11 PJL5:PJL11 PTH5:PTH11 QDD5:QDD11 QMZ5:QMZ11 QWV5:QWV11 RGR5:RGR11 RQN5:RQN11 SAJ5:SAJ11 SKF5:SKF11 SUB5:SUB11 TDX5:TDX11 TNT5:TNT11 TXP5:TXP11 UHL5:UHL11 URH5:URH11 VBD5:VBD11 VKZ5:VKZ11 VUV5:VUV11 WER5:WER11 WON5:WON11">
      <formula1>1</formula1>
      <formula2>12</formula2>
    </dataValidation>
    <dataValidation type="list" allowBlank="1" showInputMessage="1" showErrorMessage="1" sqref="CO65268:CO65470 WYQ982772:WYS982974 ME5:MG11 WA5:WC11 AFW5:AFY11 APS5:APU11 AZO5:AZQ11 BJK5:BJM11 BTG5:BTI11 CDC5:CDE11 CMY5:CNA11 CWU5:CWW11 DGQ5:DGS11 DQM5:DQO11 EAI5:EAK11 EKE5:EKG11 EUA5:EUC11 FDW5:FDY11 FNS5:FNU11 FXO5:FXQ11 GHK5:GHM11 GRG5:GRI11 HBC5:HBE11 HKY5:HLA11 HUU5:HUW11 IEQ5:IES11 IOM5:IOO11 IYI5:IYK11 JIE5:JIG11 JSA5:JSC11 KBW5:KBY11 KLS5:KLU11 KVO5:KVQ11 LFK5:LFM11 LPG5:LPI11 LZC5:LZE11 MIY5:MJA11 MSU5:MSW11 NCQ5:NCS11 NMM5:NMO11 NWI5:NWK11 OGE5:OGG11 OQA5:OQC11 OZW5:OZY11 PJS5:PJU11 PTO5:PTQ11 QDK5:QDM11 QNG5:QNI11 QXC5:QXE11 RGY5:RHA11 RQU5:RQW11 SAQ5:SAS11 SKM5:SKO11 SUI5:SUK11 TEE5:TEG11 TOA5:TOC11 TXW5:TXY11 UHS5:UHU11 URO5:URQ11 VBK5:VBM11 VLG5:VLI11 VVC5:VVE11 WEY5:WFA11 WOU5:WOW11 WYQ5:WYS11 ME65268:MG65470 WA65268:WC65470 AFW65268:AFY65470 APS65268:APU65470 AZO65268:AZQ65470 BJK65268:BJM65470 BTG65268:BTI65470 CDC65268:CDE65470 CMY65268:CNA65470 CWU65268:CWW65470 DGQ65268:DGS65470 DQM65268:DQO65470 EAI65268:EAK65470 EKE65268:EKG65470 EUA65268:EUC65470 FDW65268:FDY65470 FNS65268:FNU65470 FXO65268:FXQ65470 GHK65268:GHM65470 GRG65268:GRI65470 HBC65268:HBE65470 HKY65268:HLA65470 HUU65268:HUW65470 IEQ65268:IES65470 IOM65268:IOO65470 IYI65268:IYK65470 JIE65268:JIG65470 JSA65268:JSC65470 KBW65268:KBY65470 KLS65268:KLU65470 KVO65268:KVQ65470 LFK65268:LFM65470 LPG65268:LPI65470 LZC65268:LZE65470 MIY65268:MJA65470 MSU65268:MSW65470 NCQ65268:NCS65470 NMM65268:NMO65470 NWI65268:NWK65470 OGE65268:OGG65470 OQA65268:OQC65470 OZW65268:OZY65470 PJS65268:PJU65470 PTO65268:PTQ65470 QDK65268:QDM65470 QNG65268:QNI65470 QXC65268:QXE65470 RGY65268:RHA65470 RQU65268:RQW65470 SAQ65268:SAS65470 SKM65268:SKO65470 SUI65268:SUK65470 TEE65268:TEG65470 TOA65268:TOC65470 TXW65268:TXY65470 UHS65268:UHU65470 URO65268:URQ65470 VBK65268:VBM65470 VLG65268:VLI65470 VVC65268:VVE65470 WEY65268:WFA65470 WOU65268:WOW65470 WYQ65268:WYS65470 CO130804:CO131006 ME130804:MG131006 WA130804:WC131006 AFW130804:AFY131006 APS130804:APU131006 AZO130804:AZQ131006 BJK130804:BJM131006 BTG130804:BTI131006 CDC130804:CDE131006 CMY130804:CNA131006 CWU130804:CWW131006 DGQ130804:DGS131006 DQM130804:DQO131006 EAI130804:EAK131006 EKE130804:EKG131006 EUA130804:EUC131006 FDW130804:FDY131006 FNS130804:FNU131006 FXO130804:FXQ131006 GHK130804:GHM131006 GRG130804:GRI131006 HBC130804:HBE131006 HKY130804:HLA131006 HUU130804:HUW131006 IEQ130804:IES131006 IOM130804:IOO131006 IYI130804:IYK131006 JIE130804:JIG131006 JSA130804:JSC131006 KBW130804:KBY131006 KLS130804:KLU131006 KVO130804:KVQ131006 LFK130804:LFM131006 LPG130804:LPI131006 LZC130804:LZE131006 MIY130804:MJA131006 MSU130804:MSW131006 NCQ130804:NCS131006 NMM130804:NMO131006 NWI130804:NWK131006 OGE130804:OGG131006 OQA130804:OQC131006 OZW130804:OZY131006 PJS130804:PJU131006 PTO130804:PTQ131006 QDK130804:QDM131006 QNG130804:QNI131006 QXC130804:QXE131006 RGY130804:RHA131006 RQU130804:RQW131006 SAQ130804:SAS131006 SKM130804:SKO131006 SUI130804:SUK131006 TEE130804:TEG131006 TOA130804:TOC131006 TXW130804:TXY131006 UHS130804:UHU131006 URO130804:URQ131006 VBK130804:VBM131006 VLG130804:VLI131006 VVC130804:VVE131006 WEY130804:WFA131006 WOU130804:WOW131006 WYQ130804:WYS131006 CO196340:CO196542 ME196340:MG196542 WA196340:WC196542 AFW196340:AFY196542 APS196340:APU196542 AZO196340:AZQ196542 BJK196340:BJM196542 BTG196340:BTI196542 CDC196340:CDE196542 CMY196340:CNA196542 CWU196340:CWW196542 DGQ196340:DGS196542 DQM196340:DQO196542 EAI196340:EAK196542 EKE196340:EKG196542 EUA196340:EUC196542 FDW196340:FDY196542 FNS196340:FNU196542 FXO196340:FXQ196542 GHK196340:GHM196542 GRG196340:GRI196542 HBC196340:HBE196542 HKY196340:HLA196542 HUU196340:HUW196542 IEQ196340:IES196542 IOM196340:IOO196542 IYI196340:IYK196542 JIE196340:JIG196542 JSA196340:JSC196542 KBW196340:KBY196542 KLS196340:KLU196542 KVO196340:KVQ196542 LFK196340:LFM196542 LPG196340:LPI196542 LZC196340:LZE196542 MIY196340:MJA196542 MSU196340:MSW196542 NCQ196340:NCS196542 NMM196340:NMO196542 NWI196340:NWK196542 OGE196340:OGG196542 OQA196340:OQC196542 OZW196340:OZY196542 PJS196340:PJU196542 PTO196340:PTQ196542 QDK196340:QDM196542 QNG196340:QNI196542 QXC196340:QXE196542 RGY196340:RHA196542 RQU196340:RQW196542 SAQ196340:SAS196542 SKM196340:SKO196542 SUI196340:SUK196542 TEE196340:TEG196542 TOA196340:TOC196542 TXW196340:TXY196542 UHS196340:UHU196542 URO196340:URQ196542 VBK196340:VBM196542 VLG196340:VLI196542 VVC196340:VVE196542 WEY196340:WFA196542 WOU196340:WOW196542 WYQ196340:WYS196542 CO261876:CO262078 ME261876:MG262078 WA261876:WC262078 AFW261876:AFY262078 APS261876:APU262078 AZO261876:AZQ262078 BJK261876:BJM262078 BTG261876:BTI262078 CDC261876:CDE262078 CMY261876:CNA262078 CWU261876:CWW262078 DGQ261876:DGS262078 DQM261876:DQO262078 EAI261876:EAK262078 EKE261876:EKG262078 EUA261876:EUC262078 FDW261876:FDY262078 FNS261876:FNU262078 FXO261876:FXQ262078 GHK261876:GHM262078 GRG261876:GRI262078 HBC261876:HBE262078 HKY261876:HLA262078 HUU261876:HUW262078 IEQ261876:IES262078 IOM261876:IOO262078 IYI261876:IYK262078 JIE261876:JIG262078 JSA261876:JSC262078 KBW261876:KBY262078 KLS261876:KLU262078 KVO261876:KVQ262078 LFK261876:LFM262078 LPG261876:LPI262078 LZC261876:LZE262078 MIY261876:MJA262078 MSU261876:MSW262078 NCQ261876:NCS262078 NMM261876:NMO262078 NWI261876:NWK262078 OGE261876:OGG262078 OQA261876:OQC262078 OZW261876:OZY262078 PJS261876:PJU262078 PTO261876:PTQ262078 QDK261876:QDM262078 QNG261876:QNI262078 QXC261876:QXE262078 RGY261876:RHA262078 RQU261876:RQW262078 SAQ261876:SAS262078 SKM261876:SKO262078 SUI261876:SUK262078 TEE261876:TEG262078 TOA261876:TOC262078 TXW261876:TXY262078 UHS261876:UHU262078 URO261876:URQ262078 VBK261876:VBM262078 VLG261876:VLI262078 VVC261876:VVE262078 WEY261876:WFA262078 WOU261876:WOW262078 WYQ261876:WYS262078 CO327412:CO327614 ME327412:MG327614 WA327412:WC327614 AFW327412:AFY327614 APS327412:APU327614 AZO327412:AZQ327614 BJK327412:BJM327614 BTG327412:BTI327614 CDC327412:CDE327614 CMY327412:CNA327614 CWU327412:CWW327614 DGQ327412:DGS327614 DQM327412:DQO327614 EAI327412:EAK327614 EKE327412:EKG327614 EUA327412:EUC327614 FDW327412:FDY327614 FNS327412:FNU327614 FXO327412:FXQ327614 GHK327412:GHM327614 GRG327412:GRI327614 HBC327412:HBE327614 HKY327412:HLA327614 HUU327412:HUW327614 IEQ327412:IES327614 IOM327412:IOO327614 IYI327412:IYK327614 JIE327412:JIG327614 JSA327412:JSC327614 KBW327412:KBY327614 KLS327412:KLU327614 KVO327412:KVQ327614 LFK327412:LFM327614 LPG327412:LPI327614 LZC327412:LZE327614 MIY327412:MJA327614 MSU327412:MSW327614 NCQ327412:NCS327614 NMM327412:NMO327614 NWI327412:NWK327614 OGE327412:OGG327614 OQA327412:OQC327614 OZW327412:OZY327614 PJS327412:PJU327614 PTO327412:PTQ327614 QDK327412:QDM327614 QNG327412:QNI327614 QXC327412:QXE327614 RGY327412:RHA327614 RQU327412:RQW327614 SAQ327412:SAS327614 SKM327412:SKO327614 SUI327412:SUK327614 TEE327412:TEG327614 TOA327412:TOC327614 TXW327412:TXY327614 UHS327412:UHU327614 URO327412:URQ327614 VBK327412:VBM327614 VLG327412:VLI327614 VVC327412:VVE327614 WEY327412:WFA327614 WOU327412:WOW327614 WYQ327412:WYS327614 CO392948:CO393150 ME392948:MG393150 WA392948:WC393150 AFW392948:AFY393150 APS392948:APU393150 AZO392948:AZQ393150 BJK392948:BJM393150 BTG392948:BTI393150 CDC392948:CDE393150 CMY392948:CNA393150 CWU392948:CWW393150 DGQ392948:DGS393150 DQM392948:DQO393150 EAI392948:EAK393150 EKE392948:EKG393150 EUA392948:EUC393150 FDW392948:FDY393150 FNS392948:FNU393150 FXO392948:FXQ393150 GHK392948:GHM393150 GRG392948:GRI393150 HBC392948:HBE393150 HKY392948:HLA393150 HUU392948:HUW393150 IEQ392948:IES393150 IOM392948:IOO393150 IYI392948:IYK393150 JIE392948:JIG393150 JSA392948:JSC393150 KBW392948:KBY393150 KLS392948:KLU393150 KVO392948:KVQ393150 LFK392948:LFM393150 LPG392948:LPI393150 LZC392948:LZE393150 MIY392948:MJA393150 MSU392948:MSW393150 NCQ392948:NCS393150 NMM392948:NMO393150 NWI392948:NWK393150 OGE392948:OGG393150 OQA392948:OQC393150 OZW392948:OZY393150 PJS392948:PJU393150 PTO392948:PTQ393150 QDK392948:QDM393150 QNG392948:QNI393150 QXC392948:QXE393150 RGY392948:RHA393150 RQU392948:RQW393150 SAQ392948:SAS393150 SKM392948:SKO393150 SUI392948:SUK393150 TEE392948:TEG393150 TOA392948:TOC393150 TXW392948:TXY393150 UHS392948:UHU393150 URO392948:URQ393150 VBK392948:VBM393150 VLG392948:VLI393150 VVC392948:VVE393150 WEY392948:WFA393150 WOU392948:WOW393150 WYQ392948:WYS393150 CO458484:CO458686 ME458484:MG458686 WA458484:WC458686 AFW458484:AFY458686 APS458484:APU458686 AZO458484:AZQ458686 BJK458484:BJM458686 BTG458484:BTI458686 CDC458484:CDE458686 CMY458484:CNA458686 CWU458484:CWW458686 DGQ458484:DGS458686 DQM458484:DQO458686 EAI458484:EAK458686 EKE458484:EKG458686 EUA458484:EUC458686 FDW458484:FDY458686 FNS458484:FNU458686 FXO458484:FXQ458686 GHK458484:GHM458686 GRG458484:GRI458686 HBC458484:HBE458686 HKY458484:HLA458686 HUU458484:HUW458686 IEQ458484:IES458686 IOM458484:IOO458686 IYI458484:IYK458686 JIE458484:JIG458686 JSA458484:JSC458686 KBW458484:KBY458686 KLS458484:KLU458686 KVO458484:KVQ458686 LFK458484:LFM458686 LPG458484:LPI458686 LZC458484:LZE458686 MIY458484:MJA458686 MSU458484:MSW458686 NCQ458484:NCS458686 NMM458484:NMO458686 NWI458484:NWK458686 OGE458484:OGG458686 OQA458484:OQC458686 OZW458484:OZY458686 PJS458484:PJU458686 PTO458484:PTQ458686 QDK458484:QDM458686 QNG458484:QNI458686 QXC458484:QXE458686 RGY458484:RHA458686 RQU458484:RQW458686 SAQ458484:SAS458686 SKM458484:SKO458686 SUI458484:SUK458686 TEE458484:TEG458686 TOA458484:TOC458686 TXW458484:TXY458686 UHS458484:UHU458686 URO458484:URQ458686 VBK458484:VBM458686 VLG458484:VLI458686 VVC458484:VVE458686 WEY458484:WFA458686 WOU458484:WOW458686 WYQ458484:WYS458686 CO524020:CO524222 ME524020:MG524222 WA524020:WC524222 AFW524020:AFY524222 APS524020:APU524222 AZO524020:AZQ524222 BJK524020:BJM524222 BTG524020:BTI524222 CDC524020:CDE524222 CMY524020:CNA524222 CWU524020:CWW524222 DGQ524020:DGS524222 DQM524020:DQO524222 EAI524020:EAK524222 EKE524020:EKG524222 EUA524020:EUC524222 FDW524020:FDY524222 FNS524020:FNU524222 FXO524020:FXQ524222 GHK524020:GHM524222 GRG524020:GRI524222 HBC524020:HBE524222 HKY524020:HLA524222 HUU524020:HUW524222 IEQ524020:IES524222 IOM524020:IOO524222 IYI524020:IYK524222 JIE524020:JIG524222 JSA524020:JSC524222 KBW524020:KBY524222 KLS524020:KLU524222 KVO524020:KVQ524222 LFK524020:LFM524222 LPG524020:LPI524222 LZC524020:LZE524222 MIY524020:MJA524222 MSU524020:MSW524222 NCQ524020:NCS524222 NMM524020:NMO524222 NWI524020:NWK524222 OGE524020:OGG524222 OQA524020:OQC524222 OZW524020:OZY524222 PJS524020:PJU524222 PTO524020:PTQ524222 QDK524020:QDM524222 QNG524020:QNI524222 QXC524020:QXE524222 RGY524020:RHA524222 RQU524020:RQW524222 SAQ524020:SAS524222 SKM524020:SKO524222 SUI524020:SUK524222 TEE524020:TEG524222 TOA524020:TOC524222 TXW524020:TXY524222 UHS524020:UHU524222 URO524020:URQ524222 VBK524020:VBM524222 VLG524020:VLI524222 VVC524020:VVE524222 WEY524020:WFA524222 WOU524020:WOW524222 WYQ524020:WYS524222 CO589556:CO589758 ME589556:MG589758 WA589556:WC589758 AFW589556:AFY589758 APS589556:APU589758 AZO589556:AZQ589758 BJK589556:BJM589758 BTG589556:BTI589758 CDC589556:CDE589758 CMY589556:CNA589758 CWU589556:CWW589758 DGQ589556:DGS589758 DQM589556:DQO589758 EAI589556:EAK589758 EKE589556:EKG589758 EUA589556:EUC589758 FDW589556:FDY589758 FNS589556:FNU589758 FXO589556:FXQ589758 GHK589556:GHM589758 GRG589556:GRI589758 HBC589556:HBE589758 HKY589556:HLA589758 HUU589556:HUW589758 IEQ589556:IES589758 IOM589556:IOO589758 IYI589556:IYK589758 JIE589556:JIG589758 JSA589556:JSC589758 KBW589556:KBY589758 KLS589556:KLU589758 KVO589556:KVQ589758 LFK589556:LFM589758 LPG589556:LPI589758 LZC589556:LZE589758 MIY589556:MJA589758 MSU589556:MSW589758 NCQ589556:NCS589758 NMM589556:NMO589758 NWI589556:NWK589758 OGE589556:OGG589758 OQA589556:OQC589758 OZW589556:OZY589758 PJS589556:PJU589758 PTO589556:PTQ589758 QDK589556:QDM589758 QNG589556:QNI589758 QXC589556:QXE589758 RGY589556:RHA589758 RQU589556:RQW589758 SAQ589556:SAS589758 SKM589556:SKO589758 SUI589556:SUK589758 TEE589556:TEG589758 TOA589556:TOC589758 TXW589556:TXY589758 UHS589556:UHU589758 URO589556:URQ589758 VBK589556:VBM589758 VLG589556:VLI589758 VVC589556:VVE589758 WEY589556:WFA589758 WOU589556:WOW589758 WYQ589556:WYS589758 CO655092:CO655294 ME655092:MG655294 WA655092:WC655294 AFW655092:AFY655294 APS655092:APU655294 AZO655092:AZQ655294 BJK655092:BJM655294 BTG655092:BTI655294 CDC655092:CDE655294 CMY655092:CNA655294 CWU655092:CWW655294 DGQ655092:DGS655294 DQM655092:DQO655294 EAI655092:EAK655294 EKE655092:EKG655294 EUA655092:EUC655294 FDW655092:FDY655294 FNS655092:FNU655294 FXO655092:FXQ655294 GHK655092:GHM655294 GRG655092:GRI655294 HBC655092:HBE655294 HKY655092:HLA655294 HUU655092:HUW655294 IEQ655092:IES655294 IOM655092:IOO655294 IYI655092:IYK655294 JIE655092:JIG655294 JSA655092:JSC655294 KBW655092:KBY655294 KLS655092:KLU655294 KVO655092:KVQ655294 LFK655092:LFM655294 LPG655092:LPI655294 LZC655092:LZE655294 MIY655092:MJA655294 MSU655092:MSW655294 NCQ655092:NCS655294 NMM655092:NMO655294 NWI655092:NWK655294 OGE655092:OGG655294 OQA655092:OQC655294 OZW655092:OZY655294 PJS655092:PJU655294 PTO655092:PTQ655294 QDK655092:QDM655294 QNG655092:QNI655294 QXC655092:QXE655294 RGY655092:RHA655294 RQU655092:RQW655294 SAQ655092:SAS655294 SKM655092:SKO655294 SUI655092:SUK655294 TEE655092:TEG655294 TOA655092:TOC655294 TXW655092:TXY655294 UHS655092:UHU655294 URO655092:URQ655294 VBK655092:VBM655294 VLG655092:VLI655294 VVC655092:VVE655294 WEY655092:WFA655294 WOU655092:WOW655294 WYQ655092:WYS655294 CO720628:CO720830 ME720628:MG720830 WA720628:WC720830 AFW720628:AFY720830 APS720628:APU720830 AZO720628:AZQ720830 BJK720628:BJM720830 BTG720628:BTI720830 CDC720628:CDE720830 CMY720628:CNA720830 CWU720628:CWW720830 DGQ720628:DGS720830 DQM720628:DQO720830 EAI720628:EAK720830 EKE720628:EKG720830 EUA720628:EUC720830 FDW720628:FDY720830 FNS720628:FNU720830 FXO720628:FXQ720830 GHK720628:GHM720830 GRG720628:GRI720830 HBC720628:HBE720830 HKY720628:HLA720830 HUU720628:HUW720830 IEQ720628:IES720830 IOM720628:IOO720830 IYI720628:IYK720830 JIE720628:JIG720830 JSA720628:JSC720830 KBW720628:KBY720830 KLS720628:KLU720830 KVO720628:KVQ720830 LFK720628:LFM720830 LPG720628:LPI720830 LZC720628:LZE720830 MIY720628:MJA720830 MSU720628:MSW720830 NCQ720628:NCS720830 NMM720628:NMO720830 NWI720628:NWK720830 OGE720628:OGG720830 OQA720628:OQC720830 OZW720628:OZY720830 PJS720628:PJU720830 PTO720628:PTQ720830 QDK720628:QDM720830 QNG720628:QNI720830 QXC720628:QXE720830 RGY720628:RHA720830 RQU720628:RQW720830 SAQ720628:SAS720830 SKM720628:SKO720830 SUI720628:SUK720830 TEE720628:TEG720830 TOA720628:TOC720830 TXW720628:TXY720830 UHS720628:UHU720830 URO720628:URQ720830 VBK720628:VBM720830 VLG720628:VLI720830 VVC720628:VVE720830 WEY720628:WFA720830 WOU720628:WOW720830 WYQ720628:WYS720830 CO786164:CO786366 ME786164:MG786366 WA786164:WC786366 AFW786164:AFY786366 APS786164:APU786366 AZO786164:AZQ786366 BJK786164:BJM786366 BTG786164:BTI786366 CDC786164:CDE786366 CMY786164:CNA786366 CWU786164:CWW786366 DGQ786164:DGS786366 DQM786164:DQO786366 EAI786164:EAK786366 EKE786164:EKG786366 EUA786164:EUC786366 FDW786164:FDY786366 FNS786164:FNU786366 FXO786164:FXQ786366 GHK786164:GHM786366 GRG786164:GRI786366 HBC786164:HBE786366 HKY786164:HLA786366 HUU786164:HUW786366 IEQ786164:IES786366 IOM786164:IOO786366 IYI786164:IYK786366 JIE786164:JIG786366 JSA786164:JSC786366 KBW786164:KBY786366 KLS786164:KLU786366 KVO786164:KVQ786366 LFK786164:LFM786366 LPG786164:LPI786366 LZC786164:LZE786366 MIY786164:MJA786366 MSU786164:MSW786366 NCQ786164:NCS786366 NMM786164:NMO786366 NWI786164:NWK786366 OGE786164:OGG786366 OQA786164:OQC786366 OZW786164:OZY786366 PJS786164:PJU786366 PTO786164:PTQ786366 QDK786164:QDM786366 QNG786164:QNI786366 QXC786164:QXE786366 RGY786164:RHA786366 RQU786164:RQW786366 SAQ786164:SAS786366 SKM786164:SKO786366 SUI786164:SUK786366 TEE786164:TEG786366 TOA786164:TOC786366 TXW786164:TXY786366 UHS786164:UHU786366 URO786164:URQ786366 VBK786164:VBM786366 VLG786164:VLI786366 VVC786164:VVE786366 WEY786164:WFA786366 WOU786164:WOW786366 WYQ786164:WYS786366 CO851700:CO851902 ME851700:MG851902 WA851700:WC851902 AFW851700:AFY851902 APS851700:APU851902 AZO851700:AZQ851902 BJK851700:BJM851902 BTG851700:BTI851902 CDC851700:CDE851902 CMY851700:CNA851902 CWU851700:CWW851902 DGQ851700:DGS851902 DQM851700:DQO851902 EAI851700:EAK851902 EKE851700:EKG851902 EUA851700:EUC851902 FDW851700:FDY851902 FNS851700:FNU851902 FXO851700:FXQ851902 GHK851700:GHM851902 GRG851700:GRI851902 HBC851700:HBE851902 HKY851700:HLA851902 HUU851700:HUW851902 IEQ851700:IES851902 IOM851700:IOO851902 IYI851700:IYK851902 JIE851700:JIG851902 JSA851700:JSC851902 KBW851700:KBY851902 KLS851700:KLU851902 KVO851700:KVQ851902 LFK851700:LFM851902 LPG851700:LPI851902 LZC851700:LZE851902 MIY851700:MJA851902 MSU851700:MSW851902 NCQ851700:NCS851902 NMM851700:NMO851902 NWI851700:NWK851902 OGE851700:OGG851902 OQA851700:OQC851902 OZW851700:OZY851902 PJS851700:PJU851902 PTO851700:PTQ851902 QDK851700:QDM851902 QNG851700:QNI851902 QXC851700:QXE851902 RGY851700:RHA851902 RQU851700:RQW851902 SAQ851700:SAS851902 SKM851700:SKO851902 SUI851700:SUK851902 TEE851700:TEG851902 TOA851700:TOC851902 TXW851700:TXY851902 UHS851700:UHU851902 URO851700:URQ851902 VBK851700:VBM851902 VLG851700:VLI851902 VVC851700:VVE851902 WEY851700:WFA851902 WOU851700:WOW851902 WYQ851700:WYS851902 CO917236:CO917438 ME917236:MG917438 WA917236:WC917438 AFW917236:AFY917438 APS917236:APU917438 AZO917236:AZQ917438 BJK917236:BJM917438 BTG917236:BTI917438 CDC917236:CDE917438 CMY917236:CNA917438 CWU917236:CWW917438 DGQ917236:DGS917438 DQM917236:DQO917438 EAI917236:EAK917438 EKE917236:EKG917438 EUA917236:EUC917438 FDW917236:FDY917438 FNS917236:FNU917438 FXO917236:FXQ917438 GHK917236:GHM917438 GRG917236:GRI917438 HBC917236:HBE917438 HKY917236:HLA917438 HUU917236:HUW917438 IEQ917236:IES917438 IOM917236:IOO917438 IYI917236:IYK917438 JIE917236:JIG917438 JSA917236:JSC917438 KBW917236:KBY917438 KLS917236:KLU917438 KVO917236:KVQ917438 LFK917236:LFM917438 LPG917236:LPI917438 LZC917236:LZE917438 MIY917236:MJA917438 MSU917236:MSW917438 NCQ917236:NCS917438 NMM917236:NMO917438 NWI917236:NWK917438 OGE917236:OGG917438 OQA917236:OQC917438 OZW917236:OZY917438 PJS917236:PJU917438 PTO917236:PTQ917438 QDK917236:QDM917438 QNG917236:QNI917438 QXC917236:QXE917438 RGY917236:RHA917438 RQU917236:RQW917438 SAQ917236:SAS917438 SKM917236:SKO917438 SUI917236:SUK917438 TEE917236:TEG917438 TOA917236:TOC917438 TXW917236:TXY917438 UHS917236:UHU917438 URO917236:URQ917438 VBK917236:VBM917438 VLG917236:VLI917438 VVC917236:VVE917438 WEY917236:WFA917438 WOU917236:WOW917438 WYQ917236:WYS917438 CO982772:CO982974 ME982772:MG982974 WA982772:WC982974 AFW982772:AFY982974 APS982772:APU982974 AZO982772:AZQ982974 BJK982772:BJM982974 BTG982772:BTI982974 CDC982772:CDE982974 CMY982772:CNA982974 CWU982772:CWW982974 DGQ982772:DGS982974 DQM982772:DQO982974 EAI982772:EAK982974 EKE982772:EKG982974 EUA982772:EUC982974 FDW982772:FDY982974 FNS982772:FNU982974 FXO982772:FXQ982974 GHK982772:GHM982974 GRG982772:GRI982974 HBC982772:HBE982974 HKY982772:HLA982974 HUU982772:HUW982974 IEQ982772:IES982974 IOM982772:IOO982974 IYI982772:IYK982974 JIE982772:JIG982974 JSA982772:JSC982974 KBW982772:KBY982974 KLS982772:KLU982974 KVO982772:KVQ982974 LFK982772:LFM982974 LPG982772:LPI982974 LZC982772:LZE982974 MIY982772:MJA982974 MSU982772:MSW982974 NCQ982772:NCS982974 NMM982772:NMO982974 NWI982772:NWK982974 OGE982772:OGG982974 OQA982772:OQC982974 OZW982772:OZY982974 PJS982772:PJU982974 PTO982772:PTQ982974 QDK982772:QDM982974 QNG982772:QNI982974 QXC982772:QXE982974 RGY982772:RHA982974 RQU982772:RQW982974 SAQ982772:SAS982974 SKM982772:SKO982974 SUI982772:SUK982974 TEE982772:TEG982974 TOA982772:TOC982974 TXW982772:TXY982974 UHS982772:UHU982974 URO982772:URQ982974 VBK982772:VBM982974 VLG982772:VLI982974 VVC982772:VVE982974 WEY982772:WFA982974 WOU982772:WOW982974">
      <formula1>$G$12:$G$12</formula1>
    </dataValidation>
    <dataValidation type="list" allowBlank="1" showInputMessage="1" showErrorMessage="1" sqref="WWX982975:WWX982978 WNB982975:WNB982978 WDF982975:WDF982978 VTJ982975:VTJ982978 VJN982975:VJN982978 UZR982975:UZR982978 UPV982975:UPV982978 UFZ982975:UFZ982978 TWD982975:TWD982978 TMH982975:TMH982978 TCL982975:TCL982978 SSP982975:SSP982978 SIT982975:SIT982978 RYX982975:RYX982978 RPB982975:RPB982978 RFF982975:RFF982978 QVJ982975:QVJ982978 QLN982975:QLN982978 QBR982975:QBR982978 PRV982975:PRV982978 PHZ982975:PHZ982978 OYD982975:OYD982978 OOH982975:OOH982978 OEL982975:OEL982978 NUP982975:NUP982978 NKT982975:NKT982978 NAX982975:NAX982978 MRB982975:MRB982978 MHF982975:MHF982978 LXJ982975:LXJ982978 LNN982975:LNN982978 LDR982975:LDR982978 KTV982975:KTV982978 KJZ982975:KJZ982978 KAD982975:KAD982978 JQH982975:JQH982978 JGL982975:JGL982978 IWP982975:IWP982978 IMT982975:IMT982978 ICX982975:ICX982978 HTB982975:HTB982978 HJF982975:HJF982978 GZJ982975:GZJ982978 GPN982975:GPN982978 GFR982975:GFR982978 FVV982975:FVV982978 FLZ982975:FLZ982978 FCD982975:FCD982978 ESH982975:ESH982978 EIL982975:EIL982978 DYP982975:DYP982978 DOT982975:DOT982978 DEX982975:DEX982978 CVB982975:CVB982978 CLF982975:CLF982978 CBJ982975:CBJ982978 BRN982975:BRN982978 BHR982975:BHR982978 AXV982975:AXV982978 ANZ982975:ANZ982978 AED982975:AED982978 UH982975:UH982978 KL982975:KL982978 AA982975:AA982978 WWX917439:WWX917442 WNB917439:WNB917442 WDF917439:WDF917442 VTJ917439:VTJ917442 VJN917439:VJN917442 UZR917439:UZR917442 UPV917439:UPV917442 UFZ917439:UFZ917442 TWD917439:TWD917442 TMH917439:TMH917442 TCL917439:TCL917442 SSP917439:SSP917442 SIT917439:SIT917442 RYX917439:RYX917442 RPB917439:RPB917442 RFF917439:RFF917442 QVJ917439:QVJ917442 QLN917439:QLN917442 QBR917439:QBR917442 PRV917439:PRV917442 PHZ917439:PHZ917442 OYD917439:OYD917442 OOH917439:OOH917442 OEL917439:OEL917442 NUP917439:NUP917442 NKT917439:NKT917442 NAX917439:NAX917442 MRB917439:MRB917442 MHF917439:MHF917442 LXJ917439:LXJ917442 LNN917439:LNN917442 LDR917439:LDR917442 KTV917439:KTV917442 KJZ917439:KJZ917442 KAD917439:KAD917442 JQH917439:JQH917442 JGL917439:JGL917442 IWP917439:IWP917442 IMT917439:IMT917442 ICX917439:ICX917442 HTB917439:HTB917442 HJF917439:HJF917442 GZJ917439:GZJ917442 GPN917439:GPN917442 GFR917439:GFR917442 FVV917439:FVV917442 FLZ917439:FLZ917442 FCD917439:FCD917442 ESH917439:ESH917442 EIL917439:EIL917442 DYP917439:DYP917442 DOT917439:DOT917442 DEX917439:DEX917442 CVB917439:CVB917442 CLF917439:CLF917442 CBJ917439:CBJ917442 BRN917439:BRN917442 BHR917439:BHR917442 AXV917439:AXV917442 ANZ917439:ANZ917442 AED917439:AED917442 UH917439:UH917442 KL917439:KL917442 AA917439:AA917442 WWX851903:WWX851906 WNB851903:WNB851906 WDF851903:WDF851906 VTJ851903:VTJ851906 VJN851903:VJN851906 UZR851903:UZR851906 UPV851903:UPV851906 UFZ851903:UFZ851906 TWD851903:TWD851906 TMH851903:TMH851906 TCL851903:TCL851906 SSP851903:SSP851906 SIT851903:SIT851906 RYX851903:RYX851906 RPB851903:RPB851906 RFF851903:RFF851906 QVJ851903:QVJ851906 QLN851903:QLN851906 QBR851903:QBR851906 PRV851903:PRV851906 PHZ851903:PHZ851906 OYD851903:OYD851906 OOH851903:OOH851906 OEL851903:OEL851906 NUP851903:NUP851906 NKT851903:NKT851906 NAX851903:NAX851906 MRB851903:MRB851906 MHF851903:MHF851906 LXJ851903:LXJ851906 LNN851903:LNN851906 LDR851903:LDR851906 KTV851903:KTV851906 KJZ851903:KJZ851906 KAD851903:KAD851906 JQH851903:JQH851906 JGL851903:JGL851906 IWP851903:IWP851906 IMT851903:IMT851906 ICX851903:ICX851906 HTB851903:HTB851906 HJF851903:HJF851906 GZJ851903:GZJ851906 GPN851903:GPN851906 GFR851903:GFR851906 FVV851903:FVV851906 FLZ851903:FLZ851906 FCD851903:FCD851906 ESH851903:ESH851906 EIL851903:EIL851906 DYP851903:DYP851906 DOT851903:DOT851906 DEX851903:DEX851906 CVB851903:CVB851906 CLF851903:CLF851906 CBJ851903:CBJ851906 BRN851903:BRN851906 BHR851903:BHR851906 AXV851903:AXV851906 ANZ851903:ANZ851906 AED851903:AED851906 UH851903:UH851906 KL851903:KL851906 AA851903:AA851906 WWX786367:WWX786370 WNB786367:WNB786370 WDF786367:WDF786370 VTJ786367:VTJ786370 VJN786367:VJN786370 UZR786367:UZR786370 UPV786367:UPV786370 UFZ786367:UFZ786370 TWD786367:TWD786370 TMH786367:TMH786370 TCL786367:TCL786370 SSP786367:SSP786370 SIT786367:SIT786370 RYX786367:RYX786370 RPB786367:RPB786370 RFF786367:RFF786370 QVJ786367:QVJ786370 QLN786367:QLN786370 QBR786367:QBR786370 PRV786367:PRV786370 PHZ786367:PHZ786370 OYD786367:OYD786370 OOH786367:OOH786370 OEL786367:OEL786370 NUP786367:NUP786370 NKT786367:NKT786370 NAX786367:NAX786370 MRB786367:MRB786370 MHF786367:MHF786370 LXJ786367:LXJ786370 LNN786367:LNN786370 LDR786367:LDR786370 KTV786367:KTV786370 KJZ786367:KJZ786370 KAD786367:KAD786370 JQH786367:JQH786370 JGL786367:JGL786370 IWP786367:IWP786370 IMT786367:IMT786370 ICX786367:ICX786370 HTB786367:HTB786370 HJF786367:HJF786370 GZJ786367:GZJ786370 GPN786367:GPN786370 GFR786367:GFR786370 FVV786367:FVV786370 FLZ786367:FLZ786370 FCD786367:FCD786370 ESH786367:ESH786370 EIL786367:EIL786370 DYP786367:DYP786370 DOT786367:DOT786370 DEX786367:DEX786370 CVB786367:CVB786370 CLF786367:CLF786370 CBJ786367:CBJ786370 BRN786367:BRN786370 BHR786367:BHR786370 AXV786367:AXV786370 ANZ786367:ANZ786370 AED786367:AED786370 UH786367:UH786370 KL786367:KL786370 AA786367:AA786370 WWX720831:WWX720834 WNB720831:WNB720834 WDF720831:WDF720834 VTJ720831:VTJ720834 VJN720831:VJN720834 UZR720831:UZR720834 UPV720831:UPV720834 UFZ720831:UFZ720834 TWD720831:TWD720834 TMH720831:TMH720834 TCL720831:TCL720834 SSP720831:SSP720834 SIT720831:SIT720834 RYX720831:RYX720834 RPB720831:RPB720834 RFF720831:RFF720834 QVJ720831:QVJ720834 QLN720831:QLN720834 QBR720831:QBR720834 PRV720831:PRV720834 PHZ720831:PHZ720834 OYD720831:OYD720834 OOH720831:OOH720834 OEL720831:OEL720834 NUP720831:NUP720834 NKT720831:NKT720834 NAX720831:NAX720834 MRB720831:MRB720834 MHF720831:MHF720834 LXJ720831:LXJ720834 LNN720831:LNN720834 LDR720831:LDR720834 KTV720831:KTV720834 KJZ720831:KJZ720834 KAD720831:KAD720834 JQH720831:JQH720834 JGL720831:JGL720834 IWP720831:IWP720834 IMT720831:IMT720834 ICX720831:ICX720834 HTB720831:HTB720834 HJF720831:HJF720834 GZJ720831:GZJ720834 GPN720831:GPN720834 GFR720831:GFR720834 FVV720831:FVV720834 FLZ720831:FLZ720834 FCD720831:FCD720834 ESH720831:ESH720834 EIL720831:EIL720834 DYP720831:DYP720834 DOT720831:DOT720834 DEX720831:DEX720834 CVB720831:CVB720834 CLF720831:CLF720834 CBJ720831:CBJ720834 BRN720831:BRN720834 BHR720831:BHR720834 AXV720831:AXV720834 ANZ720831:ANZ720834 AED720831:AED720834 UH720831:UH720834 KL720831:KL720834 AA720831:AA720834 WWX655295:WWX655298 WNB655295:WNB655298 WDF655295:WDF655298 VTJ655295:VTJ655298 VJN655295:VJN655298 UZR655295:UZR655298 UPV655295:UPV655298 UFZ655295:UFZ655298 TWD655295:TWD655298 TMH655295:TMH655298 TCL655295:TCL655298 SSP655295:SSP655298 SIT655295:SIT655298 RYX655295:RYX655298 RPB655295:RPB655298 RFF655295:RFF655298 QVJ655295:QVJ655298 QLN655295:QLN655298 QBR655295:QBR655298 PRV655295:PRV655298 PHZ655295:PHZ655298 OYD655295:OYD655298 OOH655295:OOH655298 OEL655295:OEL655298 NUP655295:NUP655298 NKT655295:NKT655298 NAX655295:NAX655298 MRB655295:MRB655298 MHF655295:MHF655298 LXJ655295:LXJ655298 LNN655295:LNN655298 LDR655295:LDR655298 KTV655295:KTV655298 KJZ655295:KJZ655298 KAD655295:KAD655298 JQH655295:JQH655298 JGL655295:JGL655298 IWP655295:IWP655298 IMT655295:IMT655298 ICX655295:ICX655298 HTB655295:HTB655298 HJF655295:HJF655298 GZJ655295:GZJ655298 GPN655295:GPN655298 GFR655295:GFR655298 FVV655295:FVV655298 FLZ655295:FLZ655298 FCD655295:FCD655298 ESH655295:ESH655298 EIL655295:EIL655298 DYP655295:DYP655298 DOT655295:DOT655298 DEX655295:DEX655298 CVB655295:CVB655298 CLF655295:CLF655298 CBJ655295:CBJ655298 BRN655295:BRN655298 BHR655295:BHR655298 AXV655295:AXV655298 ANZ655295:ANZ655298 AED655295:AED655298 UH655295:UH655298 KL655295:KL655298 AA655295:AA655298 WWX589759:WWX589762 WNB589759:WNB589762 WDF589759:WDF589762 VTJ589759:VTJ589762 VJN589759:VJN589762 UZR589759:UZR589762 UPV589759:UPV589762 UFZ589759:UFZ589762 TWD589759:TWD589762 TMH589759:TMH589762 TCL589759:TCL589762 SSP589759:SSP589762 SIT589759:SIT589762 RYX589759:RYX589762 RPB589759:RPB589762 RFF589759:RFF589762 QVJ589759:QVJ589762 QLN589759:QLN589762 QBR589759:QBR589762 PRV589759:PRV589762 PHZ589759:PHZ589762 OYD589759:OYD589762 OOH589759:OOH589762 OEL589759:OEL589762 NUP589759:NUP589762 NKT589759:NKT589762 NAX589759:NAX589762 MRB589759:MRB589762 MHF589759:MHF589762 LXJ589759:LXJ589762 LNN589759:LNN589762 LDR589759:LDR589762 KTV589759:KTV589762 KJZ589759:KJZ589762 KAD589759:KAD589762 JQH589759:JQH589762 JGL589759:JGL589762 IWP589759:IWP589762 IMT589759:IMT589762 ICX589759:ICX589762 HTB589759:HTB589762 HJF589759:HJF589762 GZJ589759:GZJ589762 GPN589759:GPN589762 GFR589759:GFR589762 FVV589759:FVV589762 FLZ589759:FLZ589762 FCD589759:FCD589762 ESH589759:ESH589762 EIL589759:EIL589762 DYP589759:DYP589762 DOT589759:DOT589762 DEX589759:DEX589762 CVB589759:CVB589762 CLF589759:CLF589762 CBJ589759:CBJ589762 BRN589759:BRN589762 BHR589759:BHR589762 AXV589759:AXV589762 ANZ589759:ANZ589762 AED589759:AED589762 UH589759:UH589762 KL589759:KL589762 AA589759:AA589762 WWX524223:WWX524226 WNB524223:WNB524226 WDF524223:WDF524226 VTJ524223:VTJ524226 VJN524223:VJN524226 UZR524223:UZR524226 UPV524223:UPV524226 UFZ524223:UFZ524226 TWD524223:TWD524226 TMH524223:TMH524226 TCL524223:TCL524226 SSP524223:SSP524226 SIT524223:SIT524226 RYX524223:RYX524226 RPB524223:RPB524226 RFF524223:RFF524226 QVJ524223:QVJ524226 QLN524223:QLN524226 QBR524223:QBR524226 PRV524223:PRV524226 PHZ524223:PHZ524226 OYD524223:OYD524226 OOH524223:OOH524226 OEL524223:OEL524226 NUP524223:NUP524226 NKT524223:NKT524226 NAX524223:NAX524226 MRB524223:MRB524226 MHF524223:MHF524226 LXJ524223:LXJ524226 LNN524223:LNN524226 LDR524223:LDR524226 KTV524223:KTV524226 KJZ524223:KJZ524226 KAD524223:KAD524226 JQH524223:JQH524226 JGL524223:JGL524226 IWP524223:IWP524226 IMT524223:IMT524226 ICX524223:ICX524226 HTB524223:HTB524226 HJF524223:HJF524226 GZJ524223:GZJ524226 GPN524223:GPN524226 GFR524223:GFR524226 FVV524223:FVV524226 FLZ524223:FLZ524226 FCD524223:FCD524226 ESH524223:ESH524226 EIL524223:EIL524226 DYP524223:DYP524226 DOT524223:DOT524226 DEX524223:DEX524226 CVB524223:CVB524226 CLF524223:CLF524226 CBJ524223:CBJ524226 BRN524223:BRN524226 BHR524223:BHR524226 AXV524223:AXV524226 ANZ524223:ANZ524226 AED524223:AED524226 UH524223:UH524226 KL524223:KL524226 AA524223:AA524226 WWX458687:WWX458690 WNB458687:WNB458690 WDF458687:WDF458690 VTJ458687:VTJ458690 VJN458687:VJN458690 UZR458687:UZR458690 UPV458687:UPV458690 UFZ458687:UFZ458690 TWD458687:TWD458690 TMH458687:TMH458690 TCL458687:TCL458690 SSP458687:SSP458690 SIT458687:SIT458690 RYX458687:RYX458690 RPB458687:RPB458690 RFF458687:RFF458690 QVJ458687:QVJ458690 QLN458687:QLN458690 QBR458687:QBR458690 PRV458687:PRV458690 PHZ458687:PHZ458690 OYD458687:OYD458690 OOH458687:OOH458690 OEL458687:OEL458690 NUP458687:NUP458690 NKT458687:NKT458690 NAX458687:NAX458690 MRB458687:MRB458690 MHF458687:MHF458690 LXJ458687:LXJ458690 LNN458687:LNN458690 LDR458687:LDR458690 KTV458687:KTV458690 KJZ458687:KJZ458690 KAD458687:KAD458690 JQH458687:JQH458690 JGL458687:JGL458690 IWP458687:IWP458690 IMT458687:IMT458690 ICX458687:ICX458690 HTB458687:HTB458690 HJF458687:HJF458690 GZJ458687:GZJ458690 GPN458687:GPN458690 GFR458687:GFR458690 FVV458687:FVV458690 FLZ458687:FLZ458690 FCD458687:FCD458690 ESH458687:ESH458690 EIL458687:EIL458690 DYP458687:DYP458690 DOT458687:DOT458690 DEX458687:DEX458690 CVB458687:CVB458690 CLF458687:CLF458690 CBJ458687:CBJ458690 BRN458687:BRN458690 BHR458687:BHR458690 AXV458687:AXV458690 ANZ458687:ANZ458690 AED458687:AED458690 UH458687:UH458690 KL458687:KL458690 AA458687:AA458690 WWX393151:WWX393154 WNB393151:WNB393154 WDF393151:WDF393154 VTJ393151:VTJ393154 VJN393151:VJN393154 UZR393151:UZR393154 UPV393151:UPV393154 UFZ393151:UFZ393154 TWD393151:TWD393154 TMH393151:TMH393154 TCL393151:TCL393154 SSP393151:SSP393154 SIT393151:SIT393154 RYX393151:RYX393154 RPB393151:RPB393154 RFF393151:RFF393154 QVJ393151:QVJ393154 QLN393151:QLN393154 QBR393151:QBR393154 PRV393151:PRV393154 PHZ393151:PHZ393154 OYD393151:OYD393154 OOH393151:OOH393154 OEL393151:OEL393154 NUP393151:NUP393154 NKT393151:NKT393154 NAX393151:NAX393154 MRB393151:MRB393154 MHF393151:MHF393154 LXJ393151:LXJ393154 LNN393151:LNN393154 LDR393151:LDR393154 KTV393151:KTV393154 KJZ393151:KJZ393154 KAD393151:KAD393154 JQH393151:JQH393154 JGL393151:JGL393154 IWP393151:IWP393154 IMT393151:IMT393154 ICX393151:ICX393154 HTB393151:HTB393154 HJF393151:HJF393154 GZJ393151:GZJ393154 GPN393151:GPN393154 GFR393151:GFR393154 FVV393151:FVV393154 FLZ393151:FLZ393154 FCD393151:FCD393154 ESH393151:ESH393154 EIL393151:EIL393154 DYP393151:DYP393154 DOT393151:DOT393154 DEX393151:DEX393154 CVB393151:CVB393154 CLF393151:CLF393154 CBJ393151:CBJ393154 BRN393151:BRN393154 BHR393151:BHR393154 AXV393151:AXV393154 ANZ393151:ANZ393154 AED393151:AED393154 UH393151:UH393154 KL393151:KL393154 AA393151:AA393154 WWX327615:WWX327618 WNB327615:WNB327618 WDF327615:WDF327618 VTJ327615:VTJ327618 VJN327615:VJN327618 UZR327615:UZR327618 UPV327615:UPV327618 UFZ327615:UFZ327618 TWD327615:TWD327618 TMH327615:TMH327618 TCL327615:TCL327618 SSP327615:SSP327618 SIT327615:SIT327618 RYX327615:RYX327618 RPB327615:RPB327618 RFF327615:RFF327618 QVJ327615:QVJ327618 QLN327615:QLN327618 QBR327615:QBR327618 PRV327615:PRV327618 PHZ327615:PHZ327618 OYD327615:OYD327618 OOH327615:OOH327618 OEL327615:OEL327618 NUP327615:NUP327618 NKT327615:NKT327618 NAX327615:NAX327618 MRB327615:MRB327618 MHF327615:MHF327618 LXJ327615:LXJ327618 LNN327615:LNN327618 LDR327615:LDR327618 KTV327615:KTV327618 KJZ327615:KJZ327618 KAD327615:KAD327618 JQH327615:JQH327618 JGL327615:JGL327618 IWP327615:IWP327618 IMT327615:IMT327618 ICX327615:ICX327618 HTB327615:HTB327618 HJF327615:HJF327618 GZJ327615:GZJ327618 GPN327615:GPN327618 GFR327615:GFR327618 FVV327615:FVV327618 FLZ327615:FLZ327618 FCD327615:FCD327618 ESH327615:ESH327618 EIL327615:EIL327618 DYP327615:DYP327618 DOT327615:DOT327618 DEX327615:DEX327618 CVB327615:CVB327618 CLF327615:CLF327618 CBJ327615:CBJ327618 BRN327615:BRN327618 BHR327615:BHR327618 AXV327615:AXV327618 ANZ327615:ANZ327618 AED327615:AED327618 UH327615:UH327618 KL327615:KL327618 AA327615:AA327618 WWX262079:WWX262082 WNB262079:WNB262082 WDF262079:WDF262082 VTJ262079:VTJ262082 VJN262079:VJN262082 UZR262079:UZR262082 UPV262079:UPV262082 UFZ262079:UFZ262082 TWD262079:TWD262082 TMH262079:TMH262082 TCL262079:TCL262082 SSP262079:SSP262082 SIT262079:SIT262082 RYX262079:RYX262082 RPB262079:RPB262082 RFF262079:RFF262082 QVJ262079:QVJ262082 QLN262079:QLN262082 QBR262079:QBR262082 PRV262079:PRV262082 PHZ262079:PHZ262082 OYD262079:OYD262082 OOH262079:OOH262082 OEL262079:OEL262082 NUP262079:NUP262082 NKT262079:NKT262082 NAX262079:NAX262082 MRB262079:MRB262082 MHF262079:MHF262082 LXJ262079:LXJ262082 LNN262079:LNN262082 LDR262079:LDR262082 KTV262079:KTV262082 KJZ262079:KJZ262082 KAD262079:KAD262082 JQH262079:JQH262082 JGL262079:JGL262082 IWP262079:IWP262082 IMT262079:IMT262082 ICX262079:ICX262082 HTB262079:HTB262082 HJF262079:HJF262082 GZJ262079:GZJ262082 GPN262079:GPN262082 GFR262079:GFR262082 FVV262079:FVV262082 FLZ262079:FLZ262082 FCD262079:FCD262082 ESH262079:ESH262082 EIL262079:EIL262082 DYP262079:DYP262082 DOT262079:DOT262082 DEX262079:DEX262082 CVB262079:CVB262082 CLF262079:CLF262082 CBJ262079:CBJ262082 BRN262079:BRN262082 BHR262079:BHR262082 AXV262079:AXV262082 ANZ262079:ANZ262082 AED262079:AED262082 UH262079:UH262082 KL262079:KL262082 AA262079:AA262082 WWX196543:WWX196546 WNB196543:WNB196546 WDF196543:WDF196546 VTJ196543:VTJ196546 VJN196543:VJN196546 UZR196543:UZR196546 UPV196543:UPV196546 UFZ196543:UFZ196546 TWD196543:TWD196546 TMH196543:TMH196546 TCL196543:TCL196546 SSP196543:SSP196546 SIT196543:SIT196546 RYX196543:RYX196546 RPB196543:RPB196546 RFF196543:RFF196546 QVJ196543:QVJ196546 QLN196543:QLN196546 QBR196543:QBR196546 PRV196543:PRV196546 PHZ196543:PHZ196546 OYD196543:OYD196546 OOH196543:OOH196546 OEL196543:OEL196546 NUP196543:NUP196546 NKT196543:NKT196546 NAX196543:NAX196546 MRB196543:MRB196546 MHF196543:MHF196546 LXJ196543:LXJ196546 LNN196543:LNN196546 LDR196543:LDR196546 KTV196543:KTV196546 KJZ196543:KJZ196546 KAD196543:KAD196546 JQH196543:JQH196546 JGL196543:JGL196546 IWP196543:IWP196546 IMT196543:IMT196546 ICX196543:ICX196546 HTB196543:HTB196546 HJF196543:HJF196546 GZJ196543:GZJ196546 GPN196543:GPN196546 GFR196543:GFR196546 FVV196543:FVV196546 FLZ196543:FLZ196546 FCD196543:FCD196546 ESH196543:ESH196546 EIL196543:EIL196546 DYP196543:DYP196546 DOT196543:DOT196546 DEX196543:DEX196546 CVB196543:CVB196546 CLF196543:CLF196546 CBJ196543:CBJ196546 BRN196543:BRN196546 BHR196543:BHR196546 AXV196543:AXV196546 ANZ196543:ANZ196546 AED196543:AED196546 UH196543:UH196546 KL196543:KL196546 AA196543:AA196546 WWX131007:WWX131010 WNB131007:WNB131010 WDF131007:WDF131010 VTJ131007:VTJ131010 VJN131007:VJN131010 UZR131007:UZR131010 UPV131007:UPV131010 UFZ131007:UFZ131010 TWD131007:TWD131010 TMH131007:TMH131010 TCL131007:TCL131010 SSP131007:SSP131010 SIT131007:SIT131010 RYX131007:RYX131010 RPB131007:RPB131010 RFF131007:RFF131010 QVJ131007:QVJ131010 QLN131007:QLN131010 QBR131007:QBR131010 PRV131007:PRV131010 PHZ131007:PHZ131010 OYD131007:OYD131010 OOH131007:OOH131010 OEL131007:OEL131010 NUP131007:NUP131010 NKT131007:NKT131010 NAX131007:NAX131010 MRB131007:MRB131010 MHF131007:MHF131010 LXJ131007:LXJ131010 LNN131007:LNN131010 LDR131007:LDR131010 KTV131007:KTV131010 KJZ131007:KJZ131010 KAD131007:KAD131010 JQH131007:JQH131010 JGL131007:JGL131010 IWP131007:IWP131010 IMT131007:IMT131010 ICX131007:ICX131010 HTB131007:HTB131010 HJF131007:HJF131010 GZJ131007:GZJ131010 GPN131007:GPN131010 GFR131007:GFR131010 FVV131007:FVV131010 FLZ131007:FLZ131010 FCD131007:FCD131010 ESH131007:ESH131010 EIL131007:EIL131010 DYP131007:DYP131010 DOT131007:DOT131010 DEX131007:DEX131010 CVB131007:CVB131010 CLF131007:CLF131010 CBJ131007:CBJ131010 BRN131007:BRN131010 BHR131007:BHR131010 AXV131007:AXV131010 ANZ131007:ANZ131010 AED131007:AED131010 UH131007:UH131010 KL131007:KL131010 AA131007:AA131010 WWX65471:WWX65474 WNB65471:WNB65474 WDF65471:WDF65474 VTJ65471:VTJ65474 VJN65471:VJN65474 UZR65471:UZR65474 UPV65471:UPV65474 UFZ65471:UFZ65474 TWD65471:TWD65474 TMH65471:TMH65474 TCL65471:TCL65474 SSP65471:SSP65474 SIT65471:SIT65474 RYX65471:RYX65474 RPB65471:RPB65474 RFF65471:RFF65474 QVJ65471:QVJ65474 QLN65471:QLN65474 QBR65471:QBR65474 PRV65471:PRV65474 PHZ65471:PHZ65474 OYD65471:OYD65474 OOH65471:OOH65474 OEL65471:OEL65474 NUP65471:NUP65474 NKT65471:NKT65474 NAX65471:NAX65474 MRB65471:MRB65474 MHF65471:MHF65474 LXJ65471:LXJ65474 LNN65471:LNN65474 LDR65471:LDR65474 KTV65471:KTV65474 KJZ65471:KJZ65474 KAD65471:KAD65474 JQH65471:JQH65474 JGL65471:JGL65474 IWP65471:IWP65474 IMT65471:IMT65474 ICX65471:ICX65474 HTB65471:HTB65474 HJF65471:HJF65474 GZJ65471:GZJ65474 GPN65471:GPN65474 GFR65471:GFR65474 FVV65471:FVV65474 FLZ65471:FLZ65474 FCD65471:FCD65474 ESH65471:ESH65474 EIL65471:EIL65474 DYP65471:DYP65474 DOT65471:DOT65474 DEX65471:DEX65474 CVB65471:CVB65474 CLF65471:CLF65474 CBJ65471:CBJ65474 BRN65471:BRN65474 BHR65471:BHR65474 AXV65471:AXV65474 ANZ65471:ANZ65474 AED65471:AED65474 UH65471:UH65474 KL65471:KL65474 AA65471:AA65474">
      <formula1>$B$58:$B$61</formula1>
    </dataValidation>
    <dataValidation type="list" allowBlank="1" showInputMessage="1" showErrorMessage="1" sqref="WXX982975:WXX982978 WOB982975:WOB982978 WEF982975:WEF982978 VUJ982975:VUJ982978 VKN982975:VKN982978 VAR982975:VAR982978 UQV982975:UQV982978 UGZ982975:UGZ982978 TXD982975:TXD982978 TNH982975:TNH982978 TDL982975:TDL982978 STP982975:STP982978 SJT982975:SJT982978 RZX982975:RZX982978 RQB982975:RQB982978 RGF982975:RGF982978 QWJ982975:QWJ982978 QMN982975:QMN982978 QCR982975:QCR982978 PSV982975:PSV982978 PIZ982975:PIZ982978 OZD982975:OZD982978 OPH982975:OPH982978 OFL982975:OFL982978 NVP982975:NVP982978 NLT982975:NLT982978 NBX982975:NBX982978 MSB982975:MSB982978 MIF982975:MIF982978 LYJ982975:LYJ982978 LON982975:LON982978 LER982975:LER982978 KUV982975:KUV982978 KKZ982975:KKZ982978 KBD982975:KBD982978 JRH982975:JRH982978 JHL982975:JHL982978 IXP982975:IXP982978 INT982975:INT982978 IDX982975:IDX982978 HUB982975:HUB982978 HKF982975:HKF982978 HAJ982975:HAJ982978 GQN982975:GQN982978 GGR982975:GGR982978 FWV982975:FWV982978 FMZ982975:FMZ982978 FDD982975:FDD982978 ETH982975:ETH982978 EJL982975:EJL982978 DZP982975:DZP982978 DPT982975:DPT982978 DFX982975:DFX982978 CWB982975:CWB982978 CMF982975:CMF982978 CCJ982975:CCJ982978 BSN982975:BSN982978 BIR982975:BIR982978 AYV982975:AYV982978 AOZ982975:AOZ982978 AFD982975:AFD982978 VH982975:VH982978 LL982975:LL982978 BN982975:BN982978 WXX917439:WXX917442 WOB917439:WOB917442 WEF917439:WEF917442 VUJ917439:VUJ917442 VKN917439:VKN917442 VAR917439:VAR917442 UQV917439:UQV917442 UGZ917439:UGZ917442 TXD917439:TXD917442 TNH917439:TNH917442 TDL917439:TDL917442 STP917439:STP917442 SJT917439:SJT917442 RZX917439:RZX917442 RQB917439:RQB917442 RGF917439:RGF917442 QWJ917439:QWJ917442 QMN917439:QMN917442 QCR917439:QCR917442 PSV917439:PSV917442 PIZ917439:PIZ917442 OZD917439:OZD917442 OPH917439:OPH917442 OFL917439:OFL917442 NVP917439:NVP917442 NLT917439:NLT917442 NBX917439:NBX917442 MSB917439:MSB917442 MIF917439:MIF917442 LYJ917439:LYJ917442 LON917439:LON917442 LER917439:LER917442 KUV917439:KUV917442 KKZ917439:KKZ917442 KBD917439:KBD917442 JRH917439:JRH917442 JHL917439:JHL917442 IXP917439:IXP917442 INT917439:INT917442 IDX917439:IDX917442 HUB917439:HUB917442 HKF917439:HKF917442 HAJ917439:HAJ917442 GQN917439:GQN917442 GGR917439:GGR917442 FWV917439:FWV917442 FMZ917439:FMZ917442 FDD917439:FDD917442 ETH917439:ETH917442 EJL917439:EJL917442 DZP917439:DZP917442 DPT917439:DPT917442 DFX917439:DFX917442 CWB917439:CWB917442 CMF917439:CMF917442 CCJ917439:CCJ917442 BSN917439:BSN917442 BIR917439:BIR917442 AYV917439:AYV917442 AOZ917439:AOZ917442 AFD917439:AFD917442 VH917439:VH917442 LL917439:LL917442 BN917439:BN917442 WXX851903:WXX851906 WOB851903:WOB851906 WEF851903:WEF851906 VUJ851903:VUJ851906 VKN851903:VKN851906 VAR851903:VAR851906 UQV851903:UQV851906 UGZ851903:UGZ851906 TXD851903:TXD851906 TNH851903:TNH851906 TDL851903:TDL851906 STP851903:STP851906 SJT851903:SJT851906 RZX851903:RZX851906 RQB851903:RQB851906 RGF851903:RGF851906 QWJ851903:QWJ851906 QMN851903:QMN851906 QCR851903:QCR851906 PSV851903:PSV851906 PIZ851903:PIZ851906 OZD851903:OZD851906 OPH851903:OPH851906 OFL851903:OFL851906 NVP851903:NVP851906 NLT851903:NLT851906 NBX851903:NBX851906 MSB851903:MSB851906 MIF851903:MIF851906 LYJ851903:LYJ851906 LON851903:LON851906 LER851903:LER851906 KUV851903:KUV851906 KKZ851903:KKZ851906 KBD851903:KBD851906 JRH851903:JRH851906 JHL851903:JHL851906 IXP851903:IXP851906 INT851903:INT851906 IDX851903:IDX851906 HUB851903:HUB851906 HKF851903:HKF851906 HAJ851903:HAJ851906 GQN851903:GQN851906 GGR851903:GGR851906 FWV851903:FWV851906 FMZ851903:FMZ851906 FDD851903:FDD851906 ETH851903:ETH851906 EJL851903:EJL851906 DZP851903:DZP851906 DPT851903:DPT851906 DFX851903:DFX851906 CWB851903:CWB851906 CMF851903:CMF851906 CCJ851903:CCJ851906 BSN851903:BSN851906 BIR851903:BIR851906 AYV851903:AYV851906 AOZ851903:AOZ851906 AFD851903:AFD851906 VH851903:VH851906 LL851903:LL851906 BN851903:BN851906 WXX786367:WXX786370 WOB786367:WOB786370 WEF786367:WEF786370 VUJ786367:VUJ786370 VKN786367:VKN786370 VAR786367:VAR786370 UQV786367:UQV786370 UGZ786367:UGZ786370 TXD786367:TXD786370 TNH786367:TNH786370 TDL786367:TDL786370 STP786367:STP786370 SJT786367:SJT786370 RZX786367:RZX786370 RQB786367:RQB786370 RGF786367:RGF786370 QWJ786367:QWJ786370 QMN786367:QMN786370 QCR786367:QCR786370 PSV786367:PSV786370 PIZ786367:PIZ786370 OZD786367:OZD786370 OPH786367:OPH786370 OFL786367:OFL786370 NVP786367:NVP786370 NLT786367:NLT786370 NBX786367:NBX786370 MSB786367:MSB786370 MIF786367:MIF786370 LYJ786367:LYJ786370 LON786367:LON786370 LER786367:LER786370 KUV786367:KUV786370 KKZ786367:KKZ786370 KBD786367:KBD786370 JRH786367:JRH786370 JHL786367:JHL786370 IXP786367:IXP786370 INT786367:INT786370 IDX786367:IDX786370 HUB786367:HUB786370 HKF786367:HKF786370 HAJ786367:HAJ786370 GQN786367:GQN786370 GGR786367:GGR786370 FWV786367:FWV786370 FMZ786367:FMZ786370 FDD786367:FDD786370 ETH786367:ETH786370 EJL786367:EJL786370 DZP786367:DZP786370 DPT786367:DPT786370 DFX786367:DFX786370 CWB786367:CWB786370 CMF786367:CMF786370 CCJ786367:CCJ786370 BSN786367:BSN786370 BIR786367:BIR786370 AYV786367:AYV786370 AOZ786367:AOZ786370 AFD786367:AFD786370 VH786367:VH786370 LL786367:LL786370 BN786367:BN786370 WXX720831:WXX720834 WOB720831:WOB720834 WEF720831:WEF720834 VUJ720831:VUJ720834 VKN720831:VKN720834 VAR720831:VAR720834 UQV720831:UQV720834 UGZ720831:UGZ720834 TXD720831:TXD720834 TNH720831:TNH720834 TDL720831:TDL720834 STP720831:STP720834 SJT720831:SJT720834 RZX720831:RZX720834 RQB720831:RQB720834 RGF720831:RGF720834 QWJ720831:QWJ720834 QMN720831:QMN720834 QCR720831:QCR720834 PSV720831:PSV720834 PIZ720831:PIZ720834 OZD720831:OZD720834 OPH720831:OPH720834 OFL720831:OFL720834 NVP720831:NVP720834 NLT720831:NLT720834 NBX720831:NBX720834 MSB720831:MSB720834 MIF720831:MIF720834 LYJ720831:LYJ720834 LON720831:LON720834 LER720831:LER720834 KUV720831:KUV720834 KKZ720831:KKZ720834 KBD720831:KBD720834 JRH720831:JRH720834 JHL720831:JHL720834 IXP720831:IXP720834 INT720831:INT720834 IDX720831:IDX720834 HUB720831:HUB720834 HKF720831:HKF720834 HAJ720831:HAJ720834 GQN720831:GQN720834 GGR720831:GGR720834 FWV720831:FWV720834 FMZ720831:FMZ720834 FDD720831:FDD720834 ETH720831:ETH720834 EJL720831:EJL720834 DZP720831:DZP720834 DPT720831:DPT720834 DFX720831:DFX720834 CWB720831:CWB720834 CMF720831:CMF720834 CCJ720831:CCJ720834 BSN720831:BSN720834 BIR720831:BIR720834 AYV720831:AYV720834 AOZ720831:AOZ720834 AFD720831:AFD720834 VH720831:VH720834 LL720831:LL720834 BN720831:BN720834 WXX655295:WXX655298 WOB655295:WOB655298 WEF655295:WEF655298 VUJ655295:VUJ655298 VKN655295:VKN655298 VAR655295:VAR655298 UQV655295:UQV655298 UGZ655295:UGZ655298 TXD655295:TXD655298 TNH655295:TNH655298 TDL655295:TDL655298 STP655295:STP655298 SJT655295:SJT655298 RZX655295:RZX655298 RQB655295:RQB655298 RGF655295:RGF655298 QWJ655295:QWJ655298 QMN655295:QMN655298 QCR655295:QCR655298 PSV655295:PSV655298 PIZ655295:PIZ655298 OZD655295:OZD655298 OPH655295:OPH655298 OFL655295:OFL655298 NVP655295:NVP655298 NLT655295:NLT655298 NBX655295:NBX655298 MSB655295:MSB655298 MIF655295:MIF655298 LYJ655295:LYJ655298 LON655295:LON655298 LER655295:LER655298 KUV655295:KUV655298 KKZ655295:KKZ655298 KBD655295:KBD655298 JRH655295:JRH655298 JHL655295:JHL655298 IXP655295:IXP655298 INT655295:INT655298 IDX655295:IDX655298 HUB655295:HUB655298 HKF655295:HKF655298 HAJ655295:HAJ655298 GQN655295:GQN655298 GGR655295:GGR655298 FWV655295:FWV655298 FMZ655295:FMZ655298 FDD655295:FDD655298 ETH655295:ETH655298 EJL655295:EJL655298 DZP655295:DZP655298 DPT655295:DPT655298 DFX655295:DFX655298 CWB655295:CWB655298 CMF655295:CMF655298 CCJ655295:CCJ655298 BSN655295:BSN655298 BIR655295:BIR655298 AYV655295:AYV655298 AOZ655295:AOZ655298 AFD655295:AFD655298 VH655295:VH655298 LL655295:LL655298 BN655295:BN655298 WXX589759:WXX589762 WOB589759:WOB589762 WEF589759:WEF589762 VUJ589759:VUJ589762 VKN589759:VKN589762 VAR589759:VAR589762 UQV589759:UQV589762 UGZ589759:UGZ589762 TXD589759:TXD589762 TNH589759:TNH589762 TDL589759:TDL589762 STP589759:STP589762 SJT589759:SJT589762 RZX589759:RZX589762 RQB589759:RQB589762 RGF589759:RGF589762 QWJ589759:QWJ589762 QMN589759:QMN589762 QCR589759:QCR589762 PSV589759:PSV589762 PIZ589759:PIZ589762 OZD589759:OZD589762 OPH589759:OPH589762 OFL589759:OFL589762 NVP589759:NVP589762 NLT589759:NLT589762 NBX589759:NBX589762 MSB589759:MSB589762 MIF589759:MIF589762 LYJ589759:LYJ589762 LON589759:LON589762 LER589759:LER589762 KUV589759:KUV589762 KKZ589759:KKZ589762 KBD589759:KBD589762 JRH589759:JRH589762 JHL589759:JHL589762 IXP589759:IXP589762 INT589759:INT589762 IDX589759:IDX589762 HUB589759:HUB589762 HKF589759:HKF589762 HAJ589759:HAJ589762 GQN589759:GQN589762 GGR589759:GGR589762 FWV589759:FWV589762 FMZ589759:FMZ589762 FDD589759:FDD589762 ETH589759:ETH589762 EJL589759:EJL589762 DZP589759:DZP589762 DPT589759:DPT589762 DFX589759:DFX589762 CWB589759:CWB589762 CMF589759:CMF589762 CCJ589759:CCJ589762 BSN589759:BSN589762 BIR589759:BIR589762 AYV589759:AYV589762 AOZ589759:AOZ589762 AFD589759:AFD589762 VH589759:VH589762 LL589759:LL589762 BN589759:BN589762 WXX524223:WXX524226 WOB524223:WOB524226 WEF524223:WEF524226 VUJ524223:VUJ524226 VKN524223:VKN524226 VAR524223:VAR524226 UQV524223:UQV524226 UGZ524223:UGZ524226 TXD524223:TXD524226 TNH524223:TNH524226 TDL524223:TDL524226 STP524223:STP524226 SJT524223:SJT524226 RZX524223:RZX524226 RQB524223:RQB524226 RGF524223:RGF524226 QWJ524223:QWJ524226 QMN524223:QMN524226 QCR524223:QCR524226 PSV524223:PSV524226 PIZ524223:PIZ524226 OZD524223:OZD524226 OPH524223:OPH524226 OFL524223:OFL524226 NVP524223:NVP524226 NLT524223:NLT524226 NBX524223:NBX524226 MSB524223:MSB524226 MIF524223:MIF524226 LYJ524223:LYJ524226 LON524223:LON524226 LER524223:LER524226 KUV524223:KUV524226 KKZ524223:KKZ524226 KBD524223:KBD524226 JRH524223:JRH524226 JHL524223:JHL524226 IXP524223:IXP524226 INT524223:INT524226 IDX524223:IDX524226 HUB524223:HUB524226 HKF524223:HKF524226 HAJ524223:HAJ524226 GQN524223:GQN524226 GGR524223:GGR524226 FWV524223:FWV524226 FMZ524223:FMZ524226 FDD524223:FDD524226 ETH524223:ETH524226 EJL524223:EJL524226 DZP524223:DZP524226 DPT524223:DPT524226 DFX524223:DFX524226 CWB524223:CWB524226 CMF524223:CMF524226 CCJ524223:CCJ524226 BSN524223:BSN524226 BIR524223:BIR524226 AYV524223:AYV524226 AOZ524223:AOZ524226 AFD524223:AFD524226 VH524223:VH524226 LL524223:LL524226 BN524223:BN524226 WXX458687:WXX458690 WOB458687:WOB458690 WEF458687:WEF458690 VUJ458687:VUJ458690 VKN458687:VKN458690 VAR458687:VAR458690 UQV458687:UQV458690 UGZ458687:UGZ458690 TXD458687:TXD458690 TNH458687:TNH458690 TDL458687:TDL458690 STP458687:STP458690 SJT458687:SJT458690 RZX458687:RZX458690 RQB458687:RQB458690 RGF458687:RGF458690 QWJ458687:QWJ458690 QMN458687:QMN458690 QCR458687:QCR458690 PSV458687:PSV458690 PIZ458687:PIZ458690 OZD458687:OZD458690 OPH458687:OPH458690 OFL458687:OFL458690 NVP458687:NVP458690 NLT458687:NLT458690 NBX458687:NBX458690 MSB458687:MSB458690 MIF458687:MIF458690 LYJ458687:LYJ458690 LON458687:LON458690 LER458687:LER458690 KUV458687:KUV458690 KKZ458687:KKZ458690 KBD458687:KBD458690 JRH458687:JRH458690 JHL458687:JHL458690 IXP458687:IXP458690 INT458687:INT458690 IDX458687:IDX458690 HUB458687:HUB458690 HKF458687:HKF458690 HAJ458687:HAJ458690 GQN458687:GQN458690 GGR458687:GGR458690 FWV458687:FWV458690 FMZ458687:FMZ458690 FDD458687:FDD458690 ETH458687:ETH458690 EJL458687:EJL458690 DZP458687:DZP458690 DPT458687:DPT458690 DFX458687:DFX458690 CWB458687:CWB458690 CMF458687:CMF458690 CCJ458687:CCJ458690 BSN458687:BSN458690 BIR458687:BIR458690 AYV458687:AYV458690 AOZ458687:AOZ458690 AFD458687:AFD458690 VH458687:VH458690 LL458687:LL458690 BN458687:BN458690 WXX393151:WXX393154 WOB393151:WOB393154 WEF393151:WEF393154 VUJ393151:VUJ393154 VKN393151:VKN393154 VAR393151:VAR393154 UQV393151:UQV393154 UGZ393151:UGZ393154 TXD393151:TXD393154 TNH393151:TNH393154 TDL393151:TDL393154 STP393151:STP393154 SJT393151:SJT393154 RZX393151:RZX393154 RQB393151:RQB393154 RGF393151:RGF393154 QWJ393151:QWJ393154 QMN393151:QMN393154 QCR393151:QCR393154 PSV393151:PSV393154 PIZ393151:PIZ393154 OZD393151:OZD393154 OPH393151:OPH393154 OFL393151:OFL393154 NVP393151:NVP393154 NLT393151:NLT393154 NBX393151:NBX393154 MSB393151:MSB393154 MIF393151:MIF393154 LYJ393151:LYJ393154 LON393151:LON393154 LER393151:LER393154 KUV393151:KUV393154 KKZ393151:KKZ393154 KBD393151:KBD393154 JRH393151:JRH393154 JHL393151:JHL393154 IXP393151:IXP393154 INT393151:INT393154 IDX393151:IDX393154 HUB393151:HUB393154 HKF393151:HKF393154 HAJ393151:HAJ393154 GQN393151:GQN393154 GGR393151:GGR393154 FWV393151:FWV393154 FMZ393151:FMZ393154 FDD393151:FDD393154 ETH393151:ETH393154 EJL393151:EJL393154 DZP393151:DZP393154 DPT393151:DPT393154 DFX393151:DFX393154 CWB393151:CWB393154 CMF393151:CMF393154 CCJ393151:CCJ393154 BSN393151:BSN393154 BIR393151:BIR393154 AYV393151:AYV393154 AOZ393151:AOZ393154 AFD393151:AFD393154 VH393151:VH393154 LL393151:LL393154 BN393151:BN393154 WXX327615:WXX327618 WOB327615:WOB327618 WEF327615:WEF327618 VUJ327615:VUJ327618 VKN327615:VKN327618 VAR327615:VAR327618 UQV327615:UQV327618 UGZ327615:UGZ327618 TXD327615:TXD327618 TNH327615:TNH327618 TDL327615:TDL327618 STP327615:STP327618 SJT327615:SJT327618 RZX327615:RZX327618 RQB327615:RQB327618 RGF327615:RGF327618 QWJ327615:QWJ327618 QMN327615:QMN327618 QCR327615:QCR327618 PSV327615:PSV327618 PIZ327615:PIZ327618 OZD327615:OZD327618 OPH327615:OPH327618 OFL327615:OFL327618 NVP327615:NVP327618 NLT327615:NLT327618 NBX327615:NBX327618 MSB327615:MSB327618 MIF327615:MIF327618 LYJ327615:LYJ327618 LON327615:LON327618 LER327615:LER327618 KUV327615:KUV327618 KKZ327615:KKZ327618 KBD327615:KBD327618 JRH327615:JRH327618 JHL327615:JHL327618 IXP327615:IXP327618 INT327615:INT327618 IDX327615:IDX327618 HUB327615:HUB327618 HKF327615:HKF327618 HAJ327615:HAJ327618 GQN327615:GQN327618 GGR327615:GGR327618 FWV327615:FWV327618 FMZ327615:FMZ327618 FDD327615:FDD327618 ETH327615:ETH327618 EJL327615:EJL327618 DZP327615:DZP327618 DPT327615:DPT327618 DFX327615:DFX327618 CWB327615:CWB327618 CMF327615:CMF327618 CCJ327615:CCJ327618 BSN327615:BSN327618 BIR327615:BIR327618 AYV327615:AYV327618 AOZ327615:AOZ327618 AFD327615:AFD327618 VH327615:VH327618 LL327615:LL327618 BN327615:BN327618 WXX262079:WXX262082 WOB262079:WOB262082 WEF262079:WEF262082 VUJ262079:VUJ262082 VKN262079:VKN262082 VAR262079:VAR262082 UQV262079:UQV262082 UGZ262079:UGZ262082 TXD262079:TXD262082 TNH262079:TNH262082 TDL262079:TDL262082 STP262079:STP262082 SJT262079:SJT262082 RZX262079:RZX262082 RQB262079:RQB262082 RGF262079:RGF262082 QWJ262079:QWJ262082 QMN262079:QMN262082 QCR262079:QCR262082 PSV262079:PSV262082 PIZ262079:PIZ262082 OZD262079:OZD262082 OPH262079:OPH262082 OFL262079:OFL262082 NVP262079:NVP262082 NLT262079:NLT262082 NBX262079:NBX262082 MSB262079:MSB262082 MIF262079:MIF262082 LYJ262079:LYJ262082 LON262079:LON262082 LER262079:LER262082 KUV262079:KUV262082 KKZ262079:KKZ262082 KBD262079:KBD262082 JRH262079:JRH262082 JHL262079:JHL262082 IXP262079:IXP262082 INT262079:INT262082 IDX262079:IDX262082 HUB262079:HUB262082 HKF262079:HKF262082 HAJ262079:HAJ262082 GQN262079:GQN262082 GGR262079:GGR262082 FWV262079:FWV262082 FMZ262079:FMZ262082 FDD262079:FDD262082 ETH262079:ETH262082 EJL262079:EJL262082 DZP262079:DZP262082 DPT262079:DPT262082 DFX262079:DFX262082 CWB262079:CWB262082 CMF262079:CMF262082 CCJ262079:CCJ262082 BSN262079:BSN262082 BIR262079:BIR262082 AYV262079:AYV262082 AOZ262079:AOZ262082 AFD262079:AFD262082 VH262079:VH262082 LL262079:LL262082 BN262079:BN262082 WXX196543:WXX196546 WOB196543:WOB196546 WEF196543:WEF196546 VUJ196543:VUJ196546 VKN196543:VKN196546 VAR196543:VAR196546 UQV196543:UQV196546 UGZ196543:UGZ196546 TXD196543:TXD196546 TNH196543:TNH196546 TDL196543:TDL196546 STP196543:STP196546 SJT196543:SJT196546 RZX196543:RZX196546 RQB196543:RQB196546 RGF196543:RGF196546 QWJ196543:QWJ196546 QMN196543:QMN196546 QCR196543:QCR196546 PSV196543:PSV196546 PIZ196543:PIZ196546 OZD196543:OZD196546 OPH196543:OPH196546 OFL196543:OFL196546 NVP196543:NVP196546 NLT196543:NLT196546 NBX196543:NBX196546 MSB196543:MSB196546 MIF196543:MIF196546 LYJ196543:LYJ196546 LON196543:LON196546 LER196543:LER196546 KUV196543:KUV196546 KKZ196543:KKZ196546 KBD196543:KBD196546 JRH196543:JRH196546 JHL196543:JHL196546 IXP196543:IXP196546 INT196543:INT196546 IDX196543:IDX196546 HUB196543:HUB196546 HKF196543:HKF196546 HAJ196543:HAJ196546 GQN196543:GQN196546 GGR196543:GGR196546 FWV196543:FWV196546 FMZ196543:FMZ196546 FDD196543:FDD196546 ETH196543:ETH196546 EJL196543:EJL196546 DZP196543:DZP196546 DPT196543:DPT196546 DFX196543:DFX196546 CWB196543:CWB196546 CMF196543:CMF196546 CCJ196543:CCJ196546 BSN196543:BSN196546 BIR196543:BIR196546 AYV196543:AYV196546 AOZ196543:AOZ196546 AFD196543:AFD196546 VH196543:VH196546 LL196543:LL196546 BN196543:BN196546 WXX131007:WXX131010 WOB131007:WOB131010 WEF131007:WEF131010 VUJ131007:VUJ131010 VKN131007:VKN131010 VAR131007:VAR131010 UQV131007:UQV131010 UGZ131007:UGZ131010 TXD131007:TXD131010 TNH131007:TNH131010 TDL131007:TDL131010 STP131007:STP131010 SJT131007:SJT131010 RZX131007:RZX131010 RQB131007:RQB131010 RGF131007:RGF131010 QWJ131007:QWJ131010 QMN131007:QMN131010 QCR131007:QCR131010 PSV131007:PSV131010 PIZ131007:PIZ131010 OZD131007:OZD131010 OPH131007:OPH131010 OFL131007:OFL131010 NVP131007:NVP131010 NLT131007:NLT131010 NBX131007:NBX131010 MSB131007:MSB131010 MIF131007:MIF131010 LYJ131007:LYJ131010 LON131007:LON131010 LER131007:LER131010 KUV131007:KUV131010 KKZ131007:KKZ131010 KBD131007:KBD131010 JRH131007:JRH131010 JHL131007:JHL131010 IXP131007:IXP131010 INT131007:INT131010 IDX131007:IDX131010 HUB131007:HUB131010 HKF131007:HKF131010 HAJ131007:HAJ131010 GQN131007:GQN131010 GGR131007:GGR131010 FWV131007:FWV131010 FMZ131007:FMZ131010 FDD131007:FDD131010 ETH131007:ETH131010 EJL131007:EJL131010 DZP131007:DZP131010 DPT131007:DPT131010 DFX131007:DFX131010 CWB131007:CWB131010 CMF131007:CMF131010 CCJ131007:CCJ131010 BSN131007:BSN131010 BIR131007:BIR131010 AYV131007:AYV131010 AOZ131007:AOZ131010 AFD131007:AFD131010 VH131007:VH131010 LL131007:LL131010 BN131007:BN131010 WXX65471:WXX65474 WOB65471:WOB65474 WEF65471:WEF65474 VUJ65471:VUJ65474 VKN65471:VKN65474 VAR65471:VAR65474 UQV65471:UQV65474 UGZ65471:UGZ65474 TXD65471:TXD65474 TNH65471:TNH65474 TDL65471:TDL65474 STP65471:STP65474 SJT65471:SJT65474 RZX65471:RZX65474 RQB65471:RQB65474 RGF65471:RGF65474 QWJ65471:QWJ65474 QMN65471:QMN65474 QCR65471:QCR65474 PSV65471:PSV65474 PIZ65471:PIZ65474 OZD65471:OZD65474 OPH65471:OPH65474 OFL65471:OFL65474 NVP65471:NVP65474 NLT65471:NLT65474 NBX65471:NBX65474 MSB65471:MSB65474 MIF65471:MIF65474 LYJ65471:LYJ65474 LON65471:LON65474 LER65471:LER65474 KUV65471:KUV65474 KKZ65471:KKZ65474 KBD65471:KBD65474 JRH65471:JRH65474 JHL65471:JHL65474 IXP65471:IXP65474 INT65471:INT65474 IDX65471:IDX65474 HUB65471:HUB65474 HKF65471:HKF65474 HAJ65471:HAJ65474 GQN65471:GQN65474 GGR65471:GGR65474 FWV65471:FWV65474 FMZ65471:FMZ65474 FDD65471:FDD65474 ETH65471:ETH65474 EJL65471:EJL65474 DZP65471:DZP65474 DPT65471:DPT65474 DFX65471:DFX65474 CWB65471:CWB65474 CMF65471:CMF65474 CCJ65471:CCJ65474 BSN65471:BSN65474 BIR65471:BIR65474 AYV65471:AYV65474 AOZ65471:AOZ65474 AFD65471:AFD65474 VH65471:VH65474 LL65471:LL65474 BN65471:BN65474 WXQ982975:WXQ982978 WNU982975:WNU982978 WDY982975:WDY982978 VUC982975:VUC982978 VKG982975:VKG982978 VAK982975:VAK982978 UQO982975:UQO982978 UGS982975:UGS982978 TWW982975:TWW982978 TNA982975:TNA982978 TDE982975:TDE982978 STI982975:STI982978 SJM982975:SJM982978 RZQ982975:RZQ982978 RPU982975:RPU982978 RFY982975:RFY982978 QWC982975:QWC982978 QMG982975:QMG982978 QCK982975:QCK982978 PSO982975:PSO982978 PIS982975:PIS982978 OYW982975:OYW982978 OPA982975:OPA982978 OFE982975:OFE982978 NVI982975:NVI982978 NLM982975:NLM982978 NBQ982975:NBQ982978 MRU982975:MRU982978 MHY982975:MHY982978 LYC982975:LYC982978 LOG982975:LOG982978 LEK982975:LEK982978 KUO982975:KUO982978 KKS982975:KKS982978 KAW982975:KAW982978 JRA982975:JRA982978 JHE982975:JHE982978 IXI982975:IXI982978 INM982975:INM982978 IDQ982975:IDQ982978 HTU982975:HTU982978 HJY982975:HJY982978 HAC982975:HAC982978 GQG982975:GQG982978 GGK982975:GGK982978 FWO982975:FWO982978 FMS982975:FMS982978 FCW982975:FCW982978 ETA982975:ETA982978 EJE982975:EJE982978 DZI982975:DZI982978 DPM982975:DPM982978 DFQ982975:DFQ982978 CVU982975:CVU982978 CLY982975:CLY982978 CCC982975:CCC982978 BSG982975:BSG982978 BIK982975:BIK982978 AYO982975:AYO982978 AOS982975:AOS982978 AEW982975:AEW982978 VA982975:VA982978 LE982975:LE982978 BB982975:BB982978 WXQ917439:WXQ917442 WNU917439:WNU917442 WDY917439:WDY917442 VUC917439:VUC917442 VKG917439:VKG917442 VAK917439:VAK917442 UQO917439:UQO917442 UGS917439:UGS917442 TWW917439:TWW917442 TNA917439:TNA917442 TDE917439:TDE917442 STI917439:STI917442 SJM917439:SJM917442 RZQ917439:RZQ917442 RPU917439:RPU917442 RFY917439:RFY917442 QWC917439:QWC917442 QMG917439:QMG917442 QCK917439:QCK917442 PSO917439:PSO917442 PIS917439:PIS917442 OYW917439:OYW917442 OPA917439:OPA917442 OFE917439:OFE917442 NVI917439:NVI917442 NLM917439:NLM917442 NBQ917439:NBQ917442 MRU917439:MRU917442 MHY917439:MHY917442 LYC917439:LYC917442 LOG917439:LOG917442 LEK917439:LEK917442 KUO917439:KUO917442 KKS917439:KKS917442 KAW917439:KAW917442 JRA917439:JRA917442 JHE917439:JHE917442 IXI917439:IXI917442 INM917439:INM917442 IDQ917439:IDQ917442 HTU917439:HTU917442 HJY917439:HJY917442 HAC917439:HAC917442 GQG917439:GQG917442 GGK917439:GGK917442 FWO917439:FWO917442 FMS917439:FMS917442 FCW917439:FCW917442 ETA917439:ETA917442 EJE917439:EJE917442 DZI917439:DZI917442 DPM917439:DPM917442 DFQ917439:DFQ917442 CVU917439:CVU917442 CLY917439:CLY917442 CCC917439:CCC917442 BSG917439:BSG917442 BIK917439:BIK917442 AYO917439:AYO917442 AOS917439:AOS917442 AEW917439:AEW917442 VA917439:VA917442 LE917439:LE917442 BB917439:BB917442 WXQ851903:WXQ851906 WNU851903:WNU851906 WDY851903:WDY851906 VUC851903:VUC851906 VKG851903:VKG851906 VAK851903:VAK851906 UQO851903:UQO851906 UGS851903:UGS851906 TWW851903:TWW851906 TNA851903:TNA851906 TDE851903:TDE851906 STI851903:STI851906 SJM851903:SJM851906 RZQ851903:RZQ851906 RPU851903:RPU851906 RFY851903:RFY851906 QWC851903:QWC851906 QMG851903:QMG851906 QCK851903:QCK851906 PSO851903:PSO851906 PIS851903:PIS851906 OYW851903:OYW851906 OPA851903:OPA851906 OFE851903:OFE851906 NVI851903:NVI851906 NLM851903:NLM851906 NBQ851903:NBQ851906 MRU851903:MRU851906 MHY851903:MHY851906 LYC851903:LYC851906 LOG851903:LOG851906 LEK851903:LEK851906 KUO851903:KUO851906 KKS851903:KKS851906 KAW851903:KAW851906 JRA851903:JRA851906 JHE851903:JHE851906 IXI851903:IXI851906 INM851903:INM851906 IDQ851903:IDQ851906 HTU851903:HTU851906 HJY851903:HJY851906 HAC851903:HAC851906 GQG851903:GQG851906 GGK851903:GGK851906 FWO851903:FWO851906 FMS851903:FMS851906 FCW851903:FCW851906 ETA851903:ETA851906 EJE851903:EJE851906 DZI851903:DZI851906 DPM851903:DPM851906 DFQ851903:DFQ851906 CVU851903:CVU851906 CLY851903:CLY851906 CCC851903:CCC851906 BSG851903:BSG851906 BIK851903:BIK851906 AYO851903:AYO851906 AOS851903:AOS851906 AEW851903:AEW851906 VA851903:VA851906 LE851903:LE851906 BB851903:BB851906 WXQ786367:WXQ786370 WNU786367:WNU786370 WDY786367:WDY786370 VUC786367:VUC786370 VKG786367:VKG786370 VAK786367:VAK786370 UQO786367:UQO786370 UGS786367:UGS786370 TWW786367:TWW786370 TNA786367:TNA786370 TDE786367:TDE786370 STI786367:STI786370 SJM786367:SJM786370 RZQ786367:RZQ786370 RPU786367:RPU786370 RFY786367:RFY786370 QWC786367:QWC786370 QMG786367:QMG786370 QCK786367:QCK786370 PSO786367:PSO786370 PIS786367:PIS786370 OYW786367:OYW786370 OPA786367:OPA786370 OFE786367:OFE786370 NVI786367:NVI786370 NLM786367:NLM786370 NBQ786367:NBQ786370 MRU786367:MRU786370 MHY786367:MHY786370 LYC786367:LYC786370 LOG786367:LOG786370 LEK786367:LEK786370 KUO786367:KUO786370 KKS786367:KKS786370 KAW786367:KAW786370 JRA786367:JRA786370 JHE786367:JHE786370 IXI786367:IXI786370 INM786367:INM786370 IDQ786367:IDQ786370 HTU786367:HTU786370 HJY786367:HJY786370 HAC786367:HAC786370 GQG786367:GQG786370 GGK786367:GGK786370 FWO786367:FWO786370 FMS786367:FMS786370 FCW786367:FCW786370 ETA786367:ETA786370 EJE786367:EJE786370 DZI786367:DZI786370 DPM786367:DPM786370 DFQ786367:DFQ786370 CVU786367:CVU786370 CLY786367:CLY786370 CCC786367:CCC786370 BSG786367:BSG786370 BIK786367:BIK786370 AYO786367:AYO786370 AOS786367:AOS786370 AEW786367:AEW786370 VA786367:VA786370 LE786367:LE786370 BB786367:BB786370 WXQ720831:WXQ720834 WNU720831:WNU720834 WDY720831:WDY720834 VUC720831:VUC720834 VKG720831:VKG720834 VAK720831:VAK720834 UQO720831:UQO720834 UGS720831:UGS720834 TWW720831:TWW720834 TNA720831:TNA720834 TDE720831:TDE720834 STI720831:STI720834 SJM720831:SJM720834 RZQ720831:RZQ720834 RPU720831:RPU720834 RFY720831:RFY720834 QWC720831:QWC720834 QMG720831:QMG720834 QCK720831:QCK720834 PSO720831:PSO720834 PIS720831:PIS720834 OYW720831:OYW720834 OPA720831:OPA720834 OFE720831:OFE720834 NVI720831:NVI720834 NLM720831:NLM720834 NBQ720831:NBQ720834 MRU720831:MRU720834 MHY720831:MHY720834 LYC720831:LYC720834 LOG720831:LOG720834 LEK720831:LEK720834 KUO720831:KUO720834 KKS720831:KKS720834 KAW720831:KAW720834 JRA720831:JRA720834 JHE720831:JHE720834 IXI720831:IXI720834 INM720831:INM720834 IDQ720831:IDQ720834 HTU720831:HTU720834 HJY720831:HJY720834 HAC720831:HAC720834 GQG720831:GQG720834 GGK720831:GGK720834 FWO720831:FWO720834 FMS720831:FMS720834 FCW720831:FCW720834 ETA720831:ETA720834 EJE720831:EJE720834 DZI720831:DZI720834 DPM720831:DPM720834 DFQ720831:DFQ720834 CVU720831:CVU720834 CLY720831:CLY720834 CCC720831:CCC720834 BSG720831:BSG720834 BIK720831:BIK720834 AYO720831:AYO720834 AOS720831:AOS720834 AEW720831:AEW720834 VA720831:VA720834 LE720831:LE720834 BB720831:BB720834 WXQ655295:WXQ655298 WNU655295:WNU655298 WDY655295:WDY655298 VUC655295:VUC655298 VKG655295:VKG655298 VAK655295:VAK655298 UQO655295:UQO655298 UGS655295:UGS655298 TWW655295:TWW655298 TNA655295:TNA655298 TDE655295:TDE655298 STI655295:STI655298 SJM655295:SJM655298 RZQ655295:RZQ655298 RPU655295:RPU655298 RFY655295:RFY655298 QWC655295:QWC655298 QMG655295:QMG655298 QCK655295:QCK655298 PSO655295:PSO655298 PIS655295:PIS655298 OYW655295:OYW655298 OPA655295:OPA655298 OFE655295:OFE655298 NVI655295:NVI655298 NLM655295:NLM655298 NBQ655295:NBQ655298 MRU655295:MRU655298 MHY655295:MHY655298 LYC655295:LYC655298 LOG655295:LOG655298 LEK655295:LEK655298 KUO655295:KUO655298 KKS655295:KKS655298 KAW655295:KAW655298 JRA655295:JRA655298 JHE655295:JHE655298 IXI655295:IXI655298 INM655295:INM655298 IDQ655295:IDQ655298 HTU655295:HTU655298 HJY655295:HJY655298 HAC655295:HAC655298 GQG655295:GQG655298 GGK655295:GGK655298 FWO655295:FWO655298 FMS655295:FMS655298 FCW655295:FCW655298 ETA655295:ETA655298 EJE655295:EJE655298 DZI655295:DZI655298 DPM655295:DPM655298 DFQ655295:DFQ655298 CVU655295:CVU655298 CLY655295:CLY655298 CCC655295:CCC655298 BSG655295:BSG655298 BIK655295:BIK655298 AYO655295:AYO655298 AOS655295:AOS655298 AEW655295:AEW655298 VA655295:VA655298 LE655295:LE655298 BB655295:BB655298 WXQ589759:WXQ589762 WNU589759:WNU589762 WDY589759:WDY589762 VUC589759:VUC589762 VKG589759:VKG589762 VAK589759:VAK589762 UQO589759:UQO589762 UGS589759:UGS589762 TWW589759:TWW589762 TNA589759:TNA589762 TDE589759:TDE589762 STI589759:STI589762 SJM589759:SJM589762 RZQ589759:RZQ589762 RPU589759:RPU589762 RFY589759:RFY589762 QWC589759:QWC589762 QMG589759:QMG589762 QCK589759:QCK589762 PSO589759:PSO589762 PIS589759:PIS589762 OYW589759:OYW589762 OPA589759:OPA589762 OFE589759:OFE589762 NVI589759:NVI589762 NLM589759:NLM589762 NBQ589759:NBQ589762 MRU589759:MRU589762 MHY589759:MHY589762 LYC589759:LYC589762 LOG589759:LOG589762 LEK589759:LEK589762 KUO589759:KUO589762 KKS589759:KKS589762 KAW589759:KAW589762 JRA589759:JRA589762 JHE589759:JHE589762 IXI589759:IXI589762 INM589759:INM589762 IDQ589759:IDQ589762 HTU589759:HTU589762 HJY589759:HJY589762 HAC589759:HAC589762 GQG589759:GQG589762 GGK589759:GGK589762 FWO589759:FWO589762 FMS589759:FMS589762 FCW589759:FCW589762 ETA589759:ETA589762 EJE589759:EJE589762 DZI589759:DZI589762 DPM589759:DPM589762 DFQ589759:DFQ589762 CVU589759:CVU589762 CLY589759:CLY589762 CCC589759:CCC589762 BSG589759:BSG589762 BIK589759:BIK589762 AYO589759:AYO589762 AOS589759:AOS589762 AEW589759:AEW589762 VA589759:VA589762 LE589759:LE589762 BB589759:BB589762 WXQ524223:WXQ524226 WNU524223:WNU524226 WDY524223:WDY524226 VUC524223:VUC524226 VKG524223:VKG524226 VAK524223:VAK524226 UQO524223:UQO524226 UGS524223:UGS524226 TWW524223:TWW524226 TNA524223:TNA524226 TDE524223:TDE524226 STI524223:STI524226 SJM524223:SJM524226 RZQ524223:RZQ524226 RPU524223:RPU524226 RFY524223:RFY524226 QWC524223:QWC524226 QMG524223:QMG524226 QCK524223:QCK524226 PSO524223:PSO524226 PIS524223:PIS524226 OYW524223:OYW524226 OPA524223:OPA524226 OFE524223:OFE524226 NVI524223:NVI524226 NLM524223:NLM524226 NBQ524223:NBQ524226 MRU524223:MRU524226 MHY524223:MHY524226 LYC524223:LYC524226 LOG524223:LOG524226 LEK524223:LEK524226 KUO524223:KUO524226 KKS524223:KKS524226 KAW524223:KAW524226 JRA524223:JRA524226 JHE524223:JHE524226 IXI524223:IXI524226 INM524223:INM524226 IDQ524223:IDQ524226 HTU524223:HTU524226 HJY524223:HJY524226 HAC524223:HAC524226 GQG524223:GQG524226 GGK524223:GGK524226 FWO524223:FWO524226 FMS524223:FMS524226 FCW524223:FCW524226 ETA524223:ETA524226 EJE524223:EJE524226 DZI524223:DZI524226 DPM524223:DPM524226 DFQ524223:DFQ524226 CVU524223:CVU524226 CLY524223:CLY524226 CCC524223:CCC524226 BSG524223:BSG524226 BIK524223:BIK524226 AYO524223:AYO524226 AOS524223:AOS524226 AEW524223:AEW524226 VA524223:VA524226 LE524223:LE524226 BB524223:BB524226 WXQ458687:WXQ458690 WNU458687:WNU458690 WDY458687:WDY458690 VUC458687:VUC458690 VKG458687:VKG458690 VAK458687:VAK458690 UQO458687:UQO458690 UGS458687:UGS458690 TWW458687:TWW458690 TNA458687:TNA458690 TDE458687:TDE458690 STI458687:STI458690 SJM458687:SJM458690 RZQ458687:RZQ458690 RPU458687:RPU458690 RFY458687:RFY458690 QWC458687:QWC458690 QMG458687:QMG458690 QCK458687:QCK458690 PSO458687:PSO458690 PIS458687:PIS458690 OYW458687:OYW458690 OPA458687:OPA458690 OFE458687:OFE458690 NVI458687:NVI458690 NLM458687:NLM458690 NBQ458687:NBQ458690 MRU458687:MRU458690 MHY458687:MHY458690 LYC458687:LYC458690 LOG458687:LOG458690 LEK458687:LEK458690 KUO458687:KUO458690 KKS458687:KKS458690 KAW458687:KAW458690 JRA458687:JRA458690 JHE458687:JHE458690 IXI458687:IXI458690 INM458687:INM458690 IDQ458687:IDQ458690 HTU458687:HTU458690 HJY458687:HJY458690 HAC458687:HAC458690 GQG458687:GQG458690 GGK458687:GGK458690 FWO458687:FWO458690 FMS458687:FMS458690 FCW458687:FCW458690 ETA458687:ETA458690 EJE458687:EJE458690 DZI458687:DZI458690 DPM458687:DPM458690 DFQ458687:DFQ458690 CVU458687:CVU458690 CLY458687:CLY458690 CCC458687:CCC458690 BSG458687:BSG458690 BIK458687:BIK458690 AYO458687:AYO458690 AOS458687:AOS458690 AEW458687:AEW458690 VA458687:VA458690 LE458687:LE458690 BB458687:BB458690 WXQ393151:WXQ393154 WNU393151:WNU393154 WDY393151:WDY393154 VUC393151:VUC393154 VKG393151:VKG393154 VAK393151:VAK393154 UQO393151:UQO393154 UGS393151:UGS393154 TWW393151:TWW393154 TNA393151:TNA393154 TDE393151:TDE393154 STI393151:STI393154 SJM393151:SJM393154 RZQ393151:RZQ393154 RPU393151:RPU393154 RFY393151:RFY393154 QWC393151:QWC393154 QMG393151:QMG393154 QCK393151:QCK393154 PSO393151:PSO393154 PIS393151:PIS393154 OYW393151:OYW393154 OPA393151:OPA393154 OFE393151:OFE393154 NVI393151:NVI393154 NLM393151:NLM393154 NBQ393151:NBQ393154 MRU393151:MRU393154 MHY393151:MHY393154 LYC393151:LYC393154 LOG393151:LOG393154 LEK393151:LEK393154 KUO393151:KUO393154 KKS393151:KKS393154 KAW393151:KAW393154 JRA393151:JRA393154 JHE393151:JHE393154 IXI393151:IXI393154 INM393151:INM393154 IDQ393151:IDQ393154 HTU393151:HTU393154 HJY393151:HJY393154 HAC393151:HAC393154 GQG393151:GQG393154 GGK393151:GGK393154 FWO393151:FWO393154 FMS393151:FMS393154 FCW393151:FCW393154 ETA393151:ETA393154 EJE393151:EJE393154 DZI393151:DZI393154 DPM393151:DPM393154 DFQ393151:DFQ393154 CVU393151:CVU393154 CLY393151:CLY393154 CCC393151:CCC393154 BSG393151:BSG393154 BIK393151:BIK393154 AYO393151:AYO393154 AOS393151:AOS393154 AEW393151:AEW393154 VA393151:VA393154 LE393151:LE393154 BB393151:BB393154 WXQ327615:WXQ327618 WNU327615:WNU327618 WDY327615:WDY327618 VUC327615:VUC327618 VKG327615:VKG327618 VAK327615:VAK327618 UQO327615:UQO327618 UGS327615:UGS327618 TWW327615:TWW327618 TNA327615:TNA327618 TDE327615:TDE327618 STI327615:STI327618 SJM327615:SJM327618 RZQ327615:RZQ327618 RPU327615:RPU327618 RFY327615:RFY327618 QWC327615:QWC327618 QMG327615:QMG327618 QCK327615:QCK327618 PSO327615:PSO327618 PIS327615:PIS327618 OYW327615:OYW327618 OPA327615:OPA327618 OFE327615:OFE327618 NVI327615:NVI327618 NLM327615:NLM327618 NBQ327615:NBQ327618 MRU327615:MRU327618 MHY327615:MHY327618 LYC327615:LYC327618 LOG327615:LOG327618 LEK327615:LEK327618 KUO327615:KUO327618 KKS327615:KKS327618 KAW327615:KAW327618 JRA327615:JRA327618 JHE327615:JHE327618 IXI327615:IXI327618 INM327615:INM327618 IDQ327615:IDQ327618 HTU327615:HTU327618 HJY327615:HJY327618 HAC327615:HAC327618 GQG327615:GQG327618 GGK327615:GGK327618 FWO327615:FWO327618 FMS327615:FMS327618 FCW327615:FCW327618 ETA327615:ETA327618 EJE327615:EJE327618 DZI327615:DZI327618 DPM327615:DPM327618 DFQ327615:DFQ327618 CVU327615:CVU327618 CLY327615:CLY327618 CCC327615:CCC327618 BSG327615:BSG327618 BIK327615:BIK327618 AYO327615:AYO327618 AOS327615:AOS327618 AEW327615:AEW327618 VA327615:VA327618 LE327615:LE327618 BB327615:BB327618 WXQ262079:WXQ262082 WNU262079:WNU262082 WDY262079:WDY262082 VUC262079:VUC262082 VKG262079:VKG262082 VAK262079:VAK262082 UQO262079:UQO262082 UGS262079:UGS262082 TWW262079:TWW262082 TNA262079:TNA262082 TDE262079:TDE262082 STI262079:STI262082 SJM262079:SJM262082 RZQ262079:RZQ262082 RPU262079:RPU262082 RFY262079:RFY262082 QWC262079:QWC262082 QMG262079:QMG262082 QCK262079:QCK262082 PSO262079:PSO262082 PIS262079:PIS262082 OYW262079:OYW262082 OPA262079:OPA262082 OFE262079:OFE262082 NVI262079:NVI262082 NLM262079:NLM262082 NBQ262079:NBQ262082 MRU262079:MRU262082 MHY262079:MHY262082 LYC262079:LYC262082 LOG262079:LOG262082 LEK262079:LEK262082 KUO262079:KUO262082 KKS262079:KKS262082 KAW262079:KAW262082 JRA262079:JRA262082 JHE262079:JHE262082 IXI262079:IXI262082 INM262079:INM262082 IDQ262079:IDQ262082 HTU262079:HTU262082 HJY262079:HJY262082 HAC262079:HAC262082 GQG262079:GQG262082 GGK262079:GGK262082 FWO262079:FWO262082 FMS262079:FMS262082 FCW262079:FCW262082 ETA262079:ETA262082 EJE262079:EJE262082 DZI262079:DZI262082 DPM262079:DPM262082 DFQ262079:DFQ262082 CVU262079:CVU262082 CLY262079:CLY262082 CCC262079:CCC262082 BSG262079:BSG262082 BIK262079:BIK262082 AYO262079:AYO262082 AOS262079:AOS262082 AEW262079:AEW262082 VA262079:VA262082 LE262079:LE262082 BB262079:BB262082 WXQ196543:WXQ196546 WNU196543:WNU196546 WDY196543:WDY196546 VUC196543:VUC196546 VKG196543:VKG196546 VAK196543:VAK196546 UQO196543:UQO196546 UGS196543:UGS196546 TWW196543:TWW196546 TNA196543:TNA196546 TDE196543:TDE196546 STI196543:STI196546 SJM196543:SJM196546 RZQ196543:RZQ196546 RPU196543:RPU196546 RFY196543:RFY196546 QWC196543:QWC196546 QMG196543:QMG196546 QCK196543:QCK196546 PSO196543:PSO196546 PIS196543:PIS196546 OYW196543:OYW196546 OPA196543:OPA196546 OFE196543:OFE196546 NVI196543:NVI196546 NLM196543:NLM196546 NBQ196543:NBQ196546 MRU196543:MRU196546 MHY196543:MHY196546 LYC196543:LYC196546 LOG196543:LOG196546 LEK196543:LEK196546 KUO196543:KUO196546 KKS196543:KKS196546 KAW196543:KAW196546 JRA196543:JRA196546 JHE196543:JHE196546 IXI196543:IXI196546 INM196543:INM196546 IDQ196543:IDQ196546 HTU196543:HTU196546 HJY196543:HJY196546 HAC196543:HAC196546 GQG196543:GQG196546 GGK196543:GGK196546 FWO196543:FWO196546 FMS196543:FMS196546 FCW196543:FCW196546 ETA196543:ETA196546 EJE196543:EJE196546 DZI196543:DZI196546 DPM196543:DPM196546 DFQ196543:DFQ196546 CVU196543:CVU196546 CLY196543:CLY196546 CCC196543:CCC196546 BSG196543:BSG196546 BIK196543:BIK196546 AYO196543:AYO196546 AOS196543:AOS196546 AEW196543:AEW196546 VA196543:VA196546 LE196543:LE196546 BB196543:BB196546 WXQ131007:WXQ131010 WNU131007:WNU131010 WDY131007:WDY131010 VUC131007:VUC131010 VKG131007:VKG131010 VAK131007:VAK131010 UQO131007:UQO131010 UGS131007:UGS131010 TWW131007:TWW131010 TNA131007:TNA131010 TDE131007:TDE131010 STI131007:STI131010 SJM131007:SJM131010 RZQ131007:RZQ131010 RPU131007:RPU131010 RFY131007:RFY131010 QWC131007:QWC131010 QMG131007:QMG131010 QCK131007:QCK131010 PSO131007:PSO131010 PIS131007:PIS131010 OYW131007:OYW131010 OPA131007:OPA131010 OFE131007:OFE131010 NVI131007:NVI131010 NLM131007:NLM131010 NBQ131007:NBQ131010 MRU131007:MRU131010 MHY131007:MHY131010 LYC131007:LYC131010 LOG131007:LOG131010 LEK131007:LEK131010 KUO131007:KUO131010 KKS131007:KKS131010 KAW131007:KAW131010 JRA131007:JRA131010 JHE131007:JHE131010 IXI131007:IXI131010 INM131007:INM131010 IDQ131007:IDQ131010 HTU131007:HTU131010 HJY131007:HJY131010 HAC131007:HAC131010 GQG131007:GQG131010 GGK131007:GGK131010 FWO131007:FWO131010 FMS131007:FMS131010 FCW131007:FCW131010 ETA131007:ETA131010 EJE131007:EJE131010 DZI131007:DZI131010 DPM131007:DPM131010 DFQ131007:DFQ131010 CVU131007:CVU131010 CLY131007:CLY131010 CCC131007:CCC131010 BSG131007:BSG131010 BIK131007:BIK131010 AYO131007:AYO131010 AOS131007:AOS131010 AEW131007:AEW131010 VA131007:VA131010 LE131007:LE131010 BB131007:BB131010 WXQ65471:WXQ65474 WNU65471:WNU65474 WDY65471:WDY65474 VUC65471:VUC65474 VKG65471:VKG65474 VAK65471:VAK65474 UQO65471:UQO65474 UGS65471:UGS65474 TWW65471:TWW65474 TNA65471:TNA65474 TDE65471:TDE65474 STI65471:STI65474 SJM65471:SJM65474 RZQ65471:RZQ65474 RPU65471:RPU65474 RFY65471:RFY65474 QWC65471:QWC65474 QMG65471:QMG65474 QCK65471:QCK65474 PSO65471:PSO65474 PIS65471:PIS65474 OYW65471:OYW65474 OPA65471:OPA65474 OFE65471:OFE65474 NVI65471:NVI65474 NLM65471:NLM65474 NBQ65471:NBQ65474 MRU65471:MRU65474 MHY65471:MHY65474 LYC65471:LYC65474 LOG65471:LOG65474 LEK65471:LEK65474 KUO65471:KUO65474 KKS65471:KKS65474 KAW65471:KAW65474 JRA65471:JRA65474 JHE65471:JHE65474 IXI65471:IXI65474 INM65471:INM65474 IDQ65471:IDQ65474 HTU65471:HTU65474 HJY65471:HJY65474 HAC65471:HAC65474 GQG65471:GQG65474 GGK65471:GGK65474 FWO65471:FWO65474 FMS65471:FMS65474 FCW65471:FCW65474 ETA65471:ETA65474 EJE65471:EJE65474 DZI65471:DZI65474 DPM65471:DPM65474 DFQ65471:DFQ65474 CVU65471:CVU65474 CLY65471:CLY65474 CCC65471:CCC65474 BSG65471:BSG65474 BIK65471:BIK65474 AYO65471:AYO65474 AOS65471:AOS65474 AEW65471:AEW65474 VA65471:VA65474 LE65471:LE65474 BB65471:BB65474">
      <formula1>$E$58:$E$61</formula1>
    </dataValidation>
    <dataValidation type="list" allowBlank="1" showInputMessage="1" showErrorMessage="1" sqref="WYQ982975:WYS982978 WOU982975:WOW982978 WEY982975:WFA982978 VVC982975:VVE982978 VLG982975:VLI982978 VBK982975:VBM982978 URO982975:URQ982978 UHS982975:UHU982978 TXW982975:TXY982978 TOA982975:TOC982978 TEE982975:TEG982978 SUI982975:SUK982978 SKM982975:SKO982978 SAQ982975:SAS982978 RQU982975:RQW982978 RGY982975:RHA982978 QXC982975:QXE982978 QNG982975:QNI982978 QDK982975:QDM982978 PTO982975:PTQ982978 PJS982975:PJU982978 OZW982975:OZY982978 OQA982975:OQC982978 OGE982975:OGG982978 NWI982975:NWK982978 NMM982975:NMO982978 NCQ982975:NCS982978 MSU982975:MSW982978 MIY982975:MJA982978 LZC982975:LZE982978 LPG982975:LPI982978 LFK982975:LFM982978 KVO982975:KVQ982978 KLS982975:KLU982978 KBW982975:KBY982978 JSA982975:JSC982978 JIE982975:JIG982978 IYI982975:IYK982978 IOM982975:IOO982978 IEQ982975:IES982978 HUU982975:HUW982978 HKY982975:HLA982978 HBC982975:HBE982978 GRG982975:GRI982978 GHK982975:GHM982978 FXO982975:FXQ982978 FNS982975:FNU982978 FDW982975:FDY982978 EUA982975:EUC982978 EKE982975:EKG982978 EAI982975:EAK982978 DQM982975:DQO982978 DGQ982975:DGS982978 CWU982975:CWW982978 CMY982975:CNA982978 CDC982975:CDE982978 BTG982975:BTI982978 BJK982975:BJM982978 AZO982975:AZQ982978 APS982975:APU982978 AFW982975:AFY982978 WA982975:WC982978 ME982975:MG982978 CO982975:CO982978 WYQ917439:WYS917442 WOU917439:WOW917442 WEY917439:WFA917442 VVC917439:VVE917442 VLG917439:VLI917442 VBK917439:VBM917442 URO917439:URQ917442 UHS917439:UHU917442 TXW917439:TXY917442 TOA917439:TOC917442 TEE917439:TEG917442 SUI917439:SUK917442 SKM917439:SKO917442 SAQ917439:SAS917442 RQU917439:RQW917442 RGY917439:RHA917442 QXC917439:QXE917442 QNG917439:QNI917442 QDK917439:QDM917442 PTO917439:PTQ917442 PJS917439:PJU917442 OZW917439:OZY917442 OQA917439:OQC917442 OGE917439:OGG917442 NWI917439:NWK917442 NMM917439:NMO917442 NCQ917439:NCS917442 MSU917439:MSW917442 MIY917439:MJA917442 LZC917439:LZE917442 LPG917439:LPI917442 LFK917439:LFM917442 KVO917439:KVQ917442 KLS917439:KLU917442 KBW917439:KBY917442 JSA917439:JSC917442 JIE917439:JIG917442 IYI917439:IYK917442 IOM917439:IOO917442 IEQ917439:IES917442 HUU917439:HUW917442 HKY917439:HLA917442 HBC917439:HBE917442 GRG917439:GRI917442 GHK917439:GHM917442 FXO917439:FXQ917442 FNS917439:FNU917442 FDW917439:FDY917442 EUA917439:EUC917442 EKE917439:EKG917442 EAI917439:EAK917442 DQM917439:DQO917442 DGQ917439:DGS917442 CWU917439:CWW917442 CMY917439:CNA917442 CDC917439:CDE917442 BTG917439:BTI917442 BJK917439:BJM917442 AZO917439:AZQ917442 APS917439:APU917442 AFW917439:AFY917442 WA917439:WC917442 ME917439:MG917442 CO917439:CO917442 WYQ851903:WYS851906 WOU851903:WOW851906 WEY851903:WFA851906 VVC851903:VVE851906 VLG851903:VLI851906 VBK851903:VBM851906 URO851903:URQ851906 UHS851903:UHU851906 TXW851903:TXY851906 TOA851903:TOC851906 TEE851903:TEG851906 SUI851903:SUK851906 SKM851903:SKO851906 SAQ851903:SAS851906 RQU851903:RQW851906 RGY851903:RHA851906 QXC851903:QXE851906 QNG851903:QNI851906 QDK851903:QDM851906 PTO851903:PTQ851906 PJS851903:PJU851906 OZW851903:OZY851906 OQA851903:OQC851906 OGE851903:OGG851906 NWI851903:NWK851906 NMM851903:NMO851906 NCQ851903:NCS851906 MSU851903:MSW851906 MIY851903:MJA851906 LZC851903:LZE851906 LPG851903:LPI851906 LFK851903:LFM851906 KVO851903:KVQ851906 KLS851903:KLU851906 KBW851903:KBY851906 JSA851903:JSC851906 JIE851903:JIG851906 IYI851903:IYK851906 IOM851903:IOO851906 IEQ851903:IES851906 HUU851903:HUW851906 HKY851903:HLA851906 HBC851903:HBE851906 GRG851903:GRI851906 GHK851903:GHM851906 FXO851903:FXQ851906 FNS851903:FNU851906 FDW851903:FDY851906 EUA851903:EUC851906 EKE851903:EKG851906 EAI851903:EAK851906 DQM851903:DQO851906 DGQ851903:DGS851906 CWU851903:CWW851906 CMY851903:CNA851906 CDC851903:CDE851906 BTG851903:BTI851906 BJK851903:BJM851906 AZO851903:AZQ851906 APS851903:APU851906 AFW851903:AFY851906 WA851903:WC851906 ME851903:MG851906 CO851903:CO851906 WYQ786367:WYS786370 WOU786367:WOW786370 WEY786367:WFA786370 VVC786367:VVE786370 VLG786367:VLI786370 VBK786367:VBM786370 URO786367:URQ786370 UHS786367:UHU786370 TXW786367:TXY786370 TOA786367:TOC786370 TEE786367:TEG786370 SUI786367:SUK786370 SKM786367:SKO786370 SAQ786367:SAS786370 RQU786367:RQW786370 RGY786367:RHA786370 QXC786367:QXE786370 QNG786367:QNI786370 QDK786367:QDM786370 PTO786367:PTQ786370 PJS786367:PJU786370 OZW786367:OZY786370 OQA786367:OQC786370 OGE786367:OGG786370 NWI786367:NWK786370 NMM786367:NMO786370 NCQ786367:NCS786370 MSU786367:MSW786370 MIY786367:MJA786370 LZC786367:LZE786370 LPG786367:LPI786370 LFK786367:LFM786370 KVO786367:KVQ786370 KLS786367:KLU786370 KBW786367:KBY786370 JSA786367:JSC786370 JIE786367:JIG786370 IYI786367:IYK786370 IOM786367:IOO786370 IEQ786367:IES786370 HUU786367:HUW786370 HKY786367:HLA786370 HBC786367:HBE786370 GRG786367:GRI786370 GHK786367:GHM786370 FXO786367:FXQ786370 FNS786367:FNU786370 FDW786367:FDY786370 EUA786367:EUC786370 EKE786367:EKG786370 EAI786367:EAK786370 DQM786367:DQO786370 DGQ786367:DGS786370 CWU786367:CWW786370 CMY786367:CNA786370 CDC786367:CDE786370 BTG786367:BTI786370 BJK786367:BJM786370 AZO786367:AZQ786370 APS786367:APU786370 AFW786367:AFY786370 WA786367:WC786370 ME786367:MG786370 CO786367:CO786370 WYQ720831:WYS720834 WOU720831:WOW720834 WEY720831:WFA720834 VVC720831:VVE720834 VLG720831:VLI720834 VBK720831:VBM720834 URO720831:URQ720834 UHS720831:UHU720834 TXW720831:TXY720834 TOA720831:TOC720834 TEE720831:TEG720834 SUI720831:SUK720834 SKM720831:SKO720834 SAQ720831:SAS720834 RQU720831:RQW720834 RGY720831:RHA720834 QXC720831:QXE720834 QNG720831:QNI720834 QDK720831:QDM720834 PTO720831:PTQ720834 PJS720831:PJU720834 OZW720831:OZY720834 OQA720831:OQC720834 OGE720831:OGG720834 NWI720831:NWK720834 NMM720831:NMO720834 NCQ720831:NCS720834 MSU720831:MSW720834 MIY720831:MJA720834 LZC720831:LZE720834 LPG720831:LPI720834 LFK720831:LFM720834 KVO720831:KVQ720834 KLS720831:KLU720834 KBW720831:KBY720834 JSA720831:JSC720834 JIE720831:JIG720834 IYI720831:IYK720834 IOM720831:IOO720834 IEQ720831:IES720834 HUU720831:HUW720834 HKY720831:HLA720834 HBC720831:HBE720834 GRG720831:GRI720834 GHK720831:GHM720834 FXO720831:FXQ720834 FNS720831:FNU720834 FDW720831:FDY720834 EUA720831:EUC720834 EKE720831:EKG720834 EAI720831:EAK720834 DQM720831:DQO720834 DGQ720831:DGS720834 CWU720831:CWW720834 CMY720831:CNA720834 CDC720831:CDE720834 BTG720831:BTI720834 BJK720831:BJM720834 AZO720831:AZQ720834 APS720831:APU720834 AFW720831:AFY720834 WA720831:WC720834 ME720831:MG720834 CO720831:CO720834 WYQ655295:WYS655298 WOU655295:WOW655298 WEY655295:WFA655298 VVC655295:VVE655298 VLG655295:VLI655298 VBK655295:VBM655298 URO655295:URQ655298 UHS655295:UHU655298 TXW655295:TXY655298 TOA655295:TOC655298 TEE655295:TEG655298 SUI655295:SUK655298 SKM655295:SKO655298 SAQ655295:SAS655298 RQU655295:RQW655298 RGY655295:RHA655298 QXC655295:QXE655298 QNG655295:QNI655298 QDK655295:QDM655298 PTO655295:PTQ655298 PJS655295:PJU655298 OZW655295:OZY655298 OQA655295:OQC655298 OGE655295:OGG655298 NWI655295:NWK655298 NMM655295:NMO655298 NCQ655295:NCS655298 MSU655295:MSW655298 MIY655295:MJA655298 LZC655295:LZE655298 LPG655295:LPI655298 LFK655295:LFM655298 KVO655295:KVQ655298 KLS655295:KLU655298 KBW655295:KBY655298 JSA655295:JSC655298 JIE655295:JIG655298 IYI655295:IYK655298 IOM655295:IOO655298 IEQ655295:IES655298 HUU655295:HUW655298 HKY655295:HLA655298 HBC655295:HBE655298 GRG655295:GRI655298 GHK655295:GHM655298 FXO655295:FXQ655298 FNS655295:FNU655298 FDW655295:FDY655298 EUA655295:EUC655298 EKE655295:EKG655298 EAI655295:EAK655298 DQM655295:DQO655298 DGQ655295:DGS655298 CWU655295:CWW655298 CMY655295:CNA655298 CDC655295:CDE655298 BTG655295:BTI655298 BJK655295:BJM655298 AZO655295:AZQ655298 APS655295:APU655298 AFW655295:AFY655298 WA655295:WC655298 ME655295:MG655298 CO655295:CO655298 WYQ589759:WYS589762 WOU589759:WOW589762 WEY589759:WFA589762 VVC589759:VVE589762 VLG589759:VLI589762 VBK589759:VBM589762 URO589759:URQ589762 UHS589759:UHU589762 TXW589759:TXY589762 TOA589759:TOC589762 TEE589759:TEG589762 SUI589759:SUK589762 SKM589759:SKO589762 SAQ589759:SAS589762 RQU589759:RQW589762 RGY589759:RHA589762 QXC589759:QXE589762 QNG589759:QNI589762 QDK589759:QDM589762 PTO589759:PTQ589762 PJS589759:PJU589762 OZW589759:OZY589762 OQA589759:OQC589762 OGE589759:OGG589762 NWI589759:NWK589762 NMM589759:NMO589762 NCQ589759:NCS589762 MSU589759:MSW589762 MIY589759:MJA589762 LZC589759:LZE589762 LPG589759:LPI589762 LFK589759:LFM589762 KVO589759:KVQ589762 KLS589759:KLU589762 KBW589759:KBY589762 JSA589759:JSC589762 JIE589759:JIG589762 IYI589759:IYK589762 IOM589759:IOO589762 IEQ589759:IES589762 HUU589759:HUW589762 HKY589759:HLA589762 HBC589759:HBE589762 GRG589759:GRI589762 GHK589759:GHM589762 FXO589759:FXQ589762 FNS589759:FNU589762 FDW589759:FDY589762 EUA589759:EUC589762 EKE589759:EKG589762 EAI589759:EAK589762 DQM589759:DQO589762 DGQ589759:DGS589762 CWU589759:CWW589762 CMY589759:CNA589762 CDC589759:CDE589762 BTG589759:BTI589762 BJK589759:BJM589762 AZO589759:AZQ589762 APS589759:APU589762 AFW589759:AFY589762 WA589759:WC589762 ME589759:MG589762 CO589759:CO589762 WYQ524223:WYS524226 WOU524223:WOW524226 WEY524223:WFA524226 VVC524223:VVE524226 VLG524223:VLI524226 VBK524223:VBM524226 URO524223:URQ524226 UHS524223:UHU524226 TXW524223:TXY524226 TOA524223:TOC524226 TEE524223:TEG524226 SUI524223:SUK524226 SKM524223:SKO524226 SAQ524223:SAS524226 RQU524223:RQW524226 RGY524223:RHA524226 QXC524223:QXE524226 QNG524223:QNI524226 QDK524223:QDM524226 PTO524223:PTQ524226 PJS524223:PJU524226 OZW524223:OZY524226 OQA524223:OQC524226 OGE524223:OGG524226 NWI524223:NWK524226 NMM524223:NMO524226 NCQ524223:NCS524226 MSU524223:MSW524226 MIY524223:MJA524226 LZC524223:LZE524226 LPG524223:LPI524226 LFK524223:LFM524226 KVO524223:KVQ524226 KLS524223:KLU524226 KBW524223:KBY524226 JSA524223:JSC524226 JIE524223:JIG524226 IYI524223:IYK524226 IOM524223:IOO524226 IEQ524223:IES524226 HUU524223:HUW524226 HKY524223:HLA524226 HBC524223:HBE524226 GRG524223:GRI524226 GHK524223:GHM524226 FXO524223:FXQ524226 FNS524223:FNU524226 FDW524223:FDY524226 EUA524223:EUC524226 EKE524223:EKG524226 EAI524223:EAK524226 DQM524223:DQO524226 DGQ524223:DGS524226 CWU524223:CWW524226 CMY524223:CNA524226 CDC524223:CDE524226 BTG524223:BTI524226 BJK524223:BJM524226 AZO524223:AZQ524226 APS524223:APU524226 AFW524223:AFY524226 WA524223:WC524226 ME524223:MG524226 CO524223:CO524226 WYQ458687:WYS458690 WOU458687:WOW458690 WEY458687:WFA458690 VVC458687:VVE458690 VLG458687:VLI458690 VBK458687:VBM458690 URO458687:URQ458690 UHS458687:UHU458690 TXW458687:TXY458690 TOA458687:TOC458690 TEE458687:TEG458690 SUI458687:SUK458690 SKM458687:SKO458690 SAQ458687:SAS458690 RQU458687:RQW458690 RGY458687:RHA458690 QXC458687:QXE458690 QNG458687:QNI458690 QDK458687:QDM458690 PTO458687:PTQ458690 PJS458687:PJU458690 OZW458687:OZY458690 OQA458687:OQC458690 OGE458687:OGG458690 NWI458687:NWK458690 NMM458687:NMO458690 NCQ458687:NCS458690 MSU458687:MSW458690 MIY458687:MJA458690 LZC458687:LZE458690 LPG458687:LPI458690 LFK458687:LFM458690 KVO458687:KVQ458690 KLS458687:KLU458690 KBW458687:KBY458690 JSA458687:JSC458690 JIE458687:JIG458690 IYI458687:IYK458690 IOM458687:IOO458690 IEQ458687:IES458690 HUU458687:HUW458690 HKY458687:HLA458690 HBC458687:HBE458690 GRG458687:GRI458690 GHK458687:GHM458690 FXO458687:FXQ458690 FNS458687:FNU458690 FDW458687:FDY458690 EUA458687:EUC458690 EKE458687:EKG458690 EAI458687:EAK458690 DQM458687:DQO458690 DGQ458687:DGS458690 CWU458687:CWW458690 CMY458687:CNA458690 CDC458687:CDE458690 BTG458687:BTI458690 BJK458687:BJM458690 AZO458687:AZQ458690 APS458687:APU458690 AFW458687:AFY458690 WA458687:WC458690 ME458687:MG458690 CO458687:CO458690 WYQ393151:WYS393154 WOU393151:WOW393154 WEY393151:WFA393154 VVC393151:VVE393154 VLG393151:VLI393154 VBK393151:VBM393154 URO393151:URQ393154 UHS393151:UHU393154 TXW393151:TXY393154 TOA393151:TOC393154 TEE393151:TEG393154 SUI393151:SUK393154 SKM393151:SKO393154 SAQ393151:SAS393154 RQU393151:RQW393154 RGY393151:RHA393154 QXC393151:QXE393154 QNG393151:QNI393154 QDK393151:QDM393154 PTO393151:PTQ393154 PJS393151:PJU393154 OZW393151:OZY393154 OQA393151:OQC393154 OGE393151:OGG393154 NWI393151:NWK393154 NMM393151:NMO393154 NCQ393151:NCS393154 MSU393151:MSW393154 MIY393151:MJA393154 LZC393151:LZE393154 LPG393151:LPI393154 LFK393151:LFM393154 KVO393151:KVQ393154 KLS393151:KLU393154 KBW393151:KBY393154 JSA393151:JSC393154 JIE393151:JIG393154 IYI393151:IYK393154 IOM393151:IOO393154 IEQ393151:IES393154 HUU393151:HUW393154 HKY393151:HLA393154 HBC393151:HBE393154 GRG393151:GRI393154 GHK393151:GHM393154 FXO393151:FXQ393154 FNS393151:FNU393154 FDW393151:FDY393154 EUA393151:EUC393154 EKE393151:EKG393154 EAI393151:EAK393154 DQM393151:DQO393154 DGQ393151:DGS393154 CWU393151:CWW393154 CMY393151:CNA393154 CDC393151:CDE393154 BTG393151:BTI393154 BJK393151:BJM393154 AZO393151:AZQ393154 APS393151:APU393154 AFW393151:AFY393154 WA393151:WC393154 ME393151:MG393154 CO393151:CO393154 WYQ327615:WYS327618 WOU327615:WOW327618 WEY327615:WFA327618 VVC327615:VVE327618 VLG327615:VLI327618 VBK327615:VBM327618 URO327615:URQ327618 UHS327615:UHU327618 TXW327615:TXY327618 TOA327615:TOC327618 TEE327615:TEG327618 SUI327615:SUK327618 SKM327615:SKO327618 SAQ327615:SAS327618 RQU327615:RQW327618 RGY327615:RHA327618 QXC327615:QXE327618 QNG327615:QNI327618 QDK327615:QDM327618 PTO327615:PTQ327618 PJS327615:PJU327618 OZW327615:OZY327618 OQA327615:OQC327618 OGE327615:OGG327618 NWI327615:NWK327618 NMM327615:NMO327618 NCQ327615:NCS327618 MSU327615:MSW327618 MIY327615:MJA327618 LZC327615:LZE327618 LPG327615:LPI327618 LFK327615:LFM327618 KVO327615:KVQ327618 KLS327615:KLU327618 KBW327615:KBY327618 JSA327615:JSC327618 JIE327615:JIG327618 IYI327615:IYK327618 IOM327615:IOO327618 IEQ327615:IES327618 HUU327615:HUW327618 HKY327615:HLA327618 HBC327615:HBE327618 GRG327615:GRI327618 GHK327615:GHM327618 FXO327615:FXQ327618 FNS327615:FNU327618 FDW327615:FDY327618 EUA327615:EUC327618 EKE327615:EKG327618 EAI327615:EAK327618 DQM327615:DQO327618 DGQ327615:DGS327618 CWU327615:CWW327618 CMY327615:CNA327618 CDC327615:CDE327618 BTG327615:BTI327618 BJK327615:BJM327618 AZO327615:AZQ327618 APS327615:APU327618 AFW327615:AFY327618 WA327615:WC327618 ME327615:MG327618 CO327615:CO327618 WYQ262079:WYS262082 WOU262079:WOW262082 WEY262079:WFA262082 VVC262079:VVE262082 VLG262079:VLI262082 VBK262079:VBM262082 URO262079:URQ262082 UHS262079:UHU262082 TXW262079:TXY262082 TOA262079:TOC262082 TEE262079:TEG262082 SUI262079:SUK262082 SKM262079:SKO262082 SAQ262079:SAS262082 RQU262079:RQW262082 RGY262079:RHA262082 QXC262079:QXE262082 QNG262079:QNI262082 QDK262079:QDM262082 PTO262079:PTQ262082 PJS262079:PJU262082 OZW262079:OZY262082 OQA262079:OQC262082 OGE262079:OGG262082 NWI262079:NWK262082 NMM262079:NMO262082 NCQ262079:NCS262082 MSU262079:MSW262082 MIY262079:MJA262082 LZC262079:LZE262082 LPG262079:LPI262082 LFK262079:LFM262082 KVO262079:KVQ262082 KLS262079:KLU262082 KBW262079:KBY262082 JSA262079:JSC262082 JIE262079:JIG262082 IYI262079:IYK262082 IOM262079:IOO262082 IEQ262079:IES262082 HUU262079:HUW262082 HKY262079:HLA262082 HBC262079:HBE262082 GRG262079:GRI262082 GHK262079:GHM262082 FXO262079:FXQ262082 FNS262079:FNU262082 FDW262079:FDY262082 EUA262079:EUC262082 EKE262079:EKG262082 EAI262079:EAK262082 DQM262079:DQO262082 DGQ262079:DGS262082 CWU262079:CWW262082 CMY262079:CNA262082 CDC262079:CDE262082 BTG262079:BTI262082 BJK262079:BJM262082 AZO262079:AZQ262082 APS262079:APU262082 AFW262079:AFY262082 WA262079:WC262082 ME262079:MG262082 CO262079:CO262082 WYQ196543:WYS196546 WOU196543:WOW196546 WEY196543:WFA196546 VVC196543:VVE196546 VLG196543:VLI196546 VBK196543:VBM196546 URO196543:URQ196546 UHS196543:UHU196546 TXW196543:TXY196546 TOA196543:TOC196546 TEE196543:TEG196546 SUI196543:SUK196546 SKM196543:SKO196546 SAQ196543:SAS196546 RQU196543:RQW196546 RGY196543:RHA196546 QXC196543:QXE196546 QNG196543:QNI196546 QDK196543:QDM196546 PTO196543:PTQ196546 PJS196543:PJU196546 OZW196543:OZY196546 OQA196543:OQC196546 OGE196543:OGG196546 NWI196543:NWK196546 NMM196543:NMO196546 NCQ196543:NCS196546 MSU196543:MSW196546 MIY196543:MJA196546 LZC196543:LZE196546 LPG196543:LPI196546 LFK196543:LFM196546 KVO196543:KVQ196546 KLS196543:KLU196546 KBW196543:KBY196546 JSA196543:JSC196546 JIE196543:JIG196546 IYI196543:IYK196546 IOM196543:IOO196546 IEQ196543:IES196546 HUU196543:HUW196546 HKY196543:HLA196546 HBC196543:HBE196546 GRG196543:GRI196546 GHK196543:GHM196546 FXO196543:FXQ196546 FNS196543:FNU196546 FDW196543:FDY196546 EUA196543:EUC196546 EKE196543:EKG196546 EAI196543:EAK196546 DQM196543:DQO196546 DGQ196543:DGS196546 CWU196543:CWW196546 CMY196543:CNA196546 CDC196543:CDE196546 BTG196543:BTI196546 BJK196543:BJM196546 AZO196543:AZQ196546 APS196543:APU196546 AFW196543:AFY196546 WA196543:WC196546 ME196543:MG196546 CO196543:CO196546 WYQ131007:WYS131010 WOU131007:WOW131010 WEY131007:WFA131010 VVC131007:VVE131010 VLG131007:VLI131010 VBK131007:VBM131010 URO131007:URQ131010 UHS131007:UHU131010 TXW131007:TXY131010 TOA131007:TOC131010 TEE131007:TEG131010 SUI131007:SUK131010 SKM131007:SKO131010 SAQ131007:SAS131010 RQU131007:RQW131010 RGY131007:RHA131010 QXC131007:QXE131010 QNG131007:QNI131010 QDK131007:QDM131010 PTO131007:PTQ131010 PJS131007:PJU131010 OZW131007:OZY131010 OQA131007:OQC131010 OGE131007:OGG131010 NWI131007:NWK131010 NMM131007:NMO131010 NCQ131007:NCS131010 MSU131007:MSW131010 MIY131007:MJA131010 LZC131007:LZE131010 LPG131007:LPI131010 LFK131007:LFM131010 KVO131007:KVQ131010 KLS131007:KLU131010 KBW131007:KBY131010 JSA131007:JSC131010 JIE131007:JIG131010 IYI131007:IYK131010 IOM131007:IOO131010 IEQ131007:IES131010 HUU131007:HUW131010 HKY131007:HLA131010 HBC131007:HBE131010 GRG131007:GRI131010 GHK131007:GHM131010 FXO131007:FXQ131010 FNS131007:FNU131010 FDW131007:FDY131010 EUA131007:EUC131010 EKE131007:EKG131010 EAI131007:EAK131010 DQM131007:DQO131010 DGQ131007:DGS131010 CWU131007:CWW131010 CMY131007:CNA131010 CDC131007:CDE131010 BTG131007:BTI131010 BJK131007:BJM131010 AZO131007:AZQ131010 APS131007:APU131010 AFW131007:AFY131010 WA131007:WC131010 ME131007:MG131010 CO131007:CO131010 WYQ65471:WYS65474 WOU65471:WOW65474 WEY65471:WFA65474 VVC65471:VVE65474 VLG65471:VLI65474 VBK65471:VBM65474 URO65471:URQ65474 UHS65471:UHU65474 TXW65471:TXY65474 TOA65471:TOC65474 TEE65471:TEG65474 SUI65471:SUK65474 SKM65471:SKO65474 SAQ65471:SAS65474 RQU65471:RQW65474 RGY65471:RHA65474 QXC65471:QXE65474 QNG65471:QNI65474 QDK65471:QDM65474 PTO65471:PTQ65474 PJS65471:PJU65474 OZW65471:OZY65474 OQA65471:OQC65474 OGE65471:OGG65474 NWI65471:NWK65474 NMM65471:NMO65474 NCQ65471:NCS65474 MSU65471:MSW65474 MIY65471:MJA65474 LZC65471:LZE65474 LPG65471:LPI65474 LFK65471:LFM65474 KVO65471:KVQ65474 KLS65471:KLU65474 KBW65471:KBY65474 JSA65471:JSC65474 JIE65471:JIG65474 IYI65471:IYK65474 IOM65471:IOO65474 IEQ65471:IES65474 HUU65471:HUW65474 HKY65471:HLA65474 HBC65471:HBE65474 GRG65471:GRI65474 GHK65471:GHM65474 FXO65471:FXQ65474 FNS65471:FNU65474 FDW65471:FDY65474 EUA65471:EUC65474 EKE65471:EKG65474 EAI65471:EAK65474 DQM65471:DQO65474 DGQ65471:DGS65474 CWU65471:CWW65474 CMY65471:CNA65474 CDC65471:CDE65474 BTG65471:BTI65474 BJK65471:BJM65474 AZO65471:AZQ65474 APS65471:APU65474 AFW65471:AFY65474 WA65471:WC65474 ME65471:MG65474 CO65471:CO65474">
      <formula1>$G$58:$G$62</formula1>
    </dataValidation>
    <dataValidation type="custom" allowBlank="1" showInputMessage="1" showErrorMessage="1" error="The value is less than the current coverage." sqref="BW173:BW176">
      <formula1>BW173&gt;=BU173</formula1>
    </dataValidation>
  </dataValidations>
  <pageMargins left="0.4" right="0.4" top="0.75" bottom="0.75" header="0.3" footer="0.3"/>
  <pageSetup paperSize="9" scale="80" fitToHeight="0" orientation="landscape" r:id="rId1"/>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[1]List!#REF!</xm:f>
          </x14:formula1>
          <xm:sqref>AA177</xm:sqref>
        </x14:dataValidation>
        <x14:dataValidation type="list" allowBlank="1" showInputMessage="1" showErrorMessage="1">
          <x14:formula1>
            <xm:f>List!$H$2:$H$5</xm:f>
          </x14:formula1>
          <xm:sqref>BN5:BN179 BB5:BB179</xm:sqref>
        </x14:dataValidation>
        <x14:dataValidation type="list" allowBlank="1" showInputMessage="1" showErrorMessage="1">
          <x14:formula1>
            <xm:f>List!$E$2:$E$5</xm:f>
          </x14:formula1>
          <xm:sqref>CO5:CO179</xm:sqref>
        </x14:dataValidation>
        <x14:dataValidation type="list" allowBlank="1" showInputMessage="1" showErrorMessage="1">
          <x14:formula1>
            <xm:f>List!$N$2:$N$11</xm:f>
          </x14:formula1>
          <xm:sqref>D5:D179</xm:sqref>
        </x14:dataValidation>
        <x14:dataValidation type="list" allowBlank="1" showInputMessage="1" showErrorMessage="1">
          <x14:formula1>
            <xm:f>List!$B$8:$B$10</xm:f>
          </x14:formula1>
          <xm:sqref>H5:H179</xm:sqref>
        </x14:dataValidation>
        <x14:dataValidation type="list" allowBlank="1" showInputMessage="1" showErrorMessage="1">
          <x14:formula1>
            <xm:f>List!$B$13:$B$14</xm:f>
          </x14:formula1>
          <xm:sqref>I5:I179</xm:sqref>
        </x14:dataValidation>
        <x14:dataValidation type="list" allowBlank="1" showInputMessage="1" showErrorMessage="1">
          <x14:formula1>
            <xm:f>List!$L$2:$L$5</xm:f>
          </x14:formula1>
          <xm:sqref>V5:V179</xm:sqref>
        </x14:dataValidation>
        <x14:dataValidation type="list" allowBlank="1" showInputMessage="1" showErrorMessage="1">
          <x14:formula1>
            <xm:f>List!$B$20:$B$26</xm:f>
          </x14:formula1>
          <xm:sqref>K5:K179</xm:sqref>
        </x14:dataValidation>
        <x14:dataValidation type="list" allowBlank="1" showInputMessage="1" showErrorMessage="1">
          <x14:formula1>
            <xm:f>List!$B$3:$B$4</xm:f>
          </x14:formula1>
          <xm:sqref>BA5 Z5:Z179</xm:sqref>
        </x14:dataValidation>
        <x14:dataValidation type="list" allowBlank="1" showInputMessage="1" showErrorMessage="1">
          <x14:formula1>
            <xm:f>List!$H$20:$H$22</xm:f>
          </x14:formula1>
          <xm:sqref>J5:J179</xm:sqref>
        </x14:dataValidation>
        <x14:dataValidation type="list" allowBlank="1" showInputMessage="1" showErrorMessage="1">
          <x14:formula1>
            <xm:f>List!$B$30:$B$37</xm:f>
          </x14:formula1>
          <xm:sqref>BZ5:BZ179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H363"/>
  <sheetViews>
    <sheetView zoomScale="80" zoomScaleNormal="80" workbookViewId="0">
      <pane xSplit="6" ySplit="4" topLeftCell="G5" activePane="bottomRight" state="frozen"/>
      <selection activeCell="A97" sqref="A97"/>
      <selection pane="topRight" activeCell="A97" sqref="A97"/>
      <selection pane="bottomLeft" activeCell="A97" sqref="A97"/>
      <selection pane="bottomRight" activeCell="E63" sqref="E63"/>
    </sheetView>
  </sheetViews>
  <sheetFormatPr defaultColWidth="10" defaultRowHeight="12.75" x14ac:dyDescent="0.2"/>
  <cols>
    <col min="1" max="1" width="4.42578125" style="249" customWidth="1"/>
    <col min="2" max="2" width="7.5703125" style="249" customWidth="1"/>
    <col min="3" max="3" width="14.140625" style="256" customWidth="1"/>
    <col min="4" max="4" width="17.85546875" style="256" customWidth="1"/>
    <col min="5" max="6" width="13" style="256" customWidth="1"/>
    <col min="7" max="7" width="44.7109375" style="256" customWidth="1"/>
    <col min="8" max="8" width="12" style="256" customWidth="1"/>
    <col min="9" max="9" width="15.28515625" style="256" customWidth="1"/>
    <col min="10" max="12" width="11.140625" style="256" customWidth="1"/>
    <col min="13" max="17" width="11.140625" style="257" customWidth="1"/>
    <col min="18" max="18" width="11.140625" style="67" customWidth="1"/>
    <col min="19" max="19" width="11.140625" style="68" customWidth="1"/>
    <col min="20" max="25" width="13" style="256" customWidth="1"/>
    <col min="26" max="33" width="18.5703125" style="257" customWidth="1"/>
    <col min="34" max="34" width="58.7109375" style="256" customWidth="1"/>
    <col min="35" max="37" width="18.5703125" style="249" customWidth="1"/>
    <col min="38" max="16384" width="10" style="249"/>
  </cols>
  <sheetData>
    <row r="1" spans="3:34" s="69" customFormat="1" ht="34.5" customHeight="1" thickBot="1" x14ac:dyDescent="0.3">
      <c r="C1" s="330">
        <v>41640</v>
      </c>
      <c r="D1" s="331">
        <v>42004</v>
      </c>
      <c r="E1" s="65"/>
      <c r="F1" s="65"/>
      <c r="G1" s="65"/>
      <c r="H1" s="65"/>
      <c r="I1" s="65"/>
      <c r="J1" s="65"/>
      <c r="K1" s="65"/>
      <c r="L1" s="65"/>
      <c r="M1" s="66"/>
      <c r="N1" s="66"/>
      <c r="O1" s="66"/>
      <c r="P1" s="66"/>
      <c r="Q1" s="66"/>
      <c r="R1" s="67"/>
      <c r="S1" s="68"/>
      <c r="T1" s="65"/>
      <c r="U1" s="65"/>
      <c r="V1" s="65"/>
      <c r="W1" s="65"/>
      <c r="X1" s="65"/>
      <c r="Y1" s="65"/>
      <c r="Z1" s="66"/>
      <c r="AA1" s="66"/>
      <c r="AB1" s="66"/>
      <c r="AC1" s="66"/>
      <c r="AD1" s="66"/>
      <c r="AE1" s="66"/>
      <c r="AF1" s="66"/>
      <c r="AG1" s="66"/>
      <c r="AH1" s="65"/>
    </row>
    <row r="2" spans="3:34" s="69" customFormat="1" ht="30" customHeight="1" thickBot="1" x14ac:dyDescent="0.25">
      <c r="C2" s="70" t="s">
        <v>355</v>
      </c>
      <c r="D2" s="71">
        <v>42004</v>
      </c>
      <c r="E2" s="72"/>
      <c r="F2" s="73"/>
      <c r="G2" s="864" t="s">
        <v>356</v>
      </c>
      <c r="H2" s="865"/>
      <c r="I2" s="865"/>
      <c r="J2" s="865"/>
      <c r="K2" s="866"/>
      <c r="L2" s="867" t="s">
        <v>357</v>
      </c>
      <c r="M2" s="868"/>
      <c r="N2" s="868"/>
      <c r="O2" s="868"/>
      <c r="P2" s="868"/>
      <c r="Q2" s="868"/>
      <c r="R2" s="868"/>
      <c r="S2" s="868"/>
      <c r="T2" s="869"/>
      <c r="U2" s="869"/>
      <c r="V2" s="869"/>
      <c r="W2" s="868"/>
      <c r="X2" s="868"/>
      <c r="Y2" s="870"/>
      <c r="Z2" s="66"/>
      <c r="AA2" s="66"/>
      <c r="AB2" s="66"/>
      <c r="AC2" s="66"/>
      <c r="AD2" s="66"/>
      <c r="AE2" s="66"/>
      <c r="AF2" s="66"/>
      <c r="AG2" s="66"/>
      <c r="AH2" s="65"/>
    </row>
    <row r="3" spans="3:34" s="75" customFormat="1" ht="40.15" customHeight="1" thickBot="1" x14ac:dyDescent="0.3">
      <c r="C3" s="867" t="s">
        <v>358</v>
      </c>
      <c r="D3" s="868"/>
      <c r="E3" s="868"/>
      <c r="F3" s="868"/>
      <c r="G3" s="870"/>
      <c r="H3" s="867" t="s">
        <v>359</v>
      </c>
      <c r="I3" s="868"/>
      <c r="J3" s="868"/>
      <c r="K3" s="870"/>
      <c r="L3" s="867" t="s">
        <v>360</v>
      </c>
      <c r="M3" s="868"/>
      <c r="N3" s="868"/>
      <c r="O3" s="868"/>
      <c r="P3" s="868"/>
      <c r="Q3" s="868"/>
      <c r="R3" s="868"/>
      <c r="S3" s="868"/>
      <c r="T3" s="871" t="s">
        <v>361</v>
      </c>
      <c r="U3" s="872"/>
      <c r="V3" s="873"/>
      <c r="W3" s="874" t="s">
        <v>362</v>
      </c>
      <c r="X3" s="874"/>
      <c r="Y3" s="875"/>
      <c r="Z3" s="860" t="s">
        <v>363</v>
      </c>
      <c r="AA3" s="860"/>
      <c r="AB3" s="860"/>
      <c r="AC3" s="860"/>
      <c r="AD3" s="860"/>
      <c r="AE3" s="860"/>
      <c r="AF3" s="860"/>
      <c r="AG3" s="860"/>
      <c r="AH3" s="74" t="s">
        <v>15</v>
      </c>
    </row>
    <row r="4" spans="3:34" s="69" customFormat="1" ht="80.45" customHeight="1" x14ac:dyDescent="0.2">
      <c r="C4" s="76" t="s">
        <v>351</v>
      </c>
      <c r="D4" s="77" t="s">
        <v>364</v>
      </c>
      <c r="E4" s="77" t="s">
        <v>321</v>
      </c>
      <c r="F4" s="77" t="s">
        <v>365</v>
      </c>
      <c r="G4" s="78" t="s">
        <v>366</v>
      </c>
      <c r="H4" s="76" t="s">
        <v>367</v>
      </c>
      <c r="I4" s="77" t="s">
        <v>368</v>
      </c>
      <c r="J4" s="79" t="s">
        <v>369</v>
      </c>
      <c r="K4" s="78" t="s">
        <v>319</v>
      </c>
      <c r="L4" s="76" t="s">
        <v>370</v>
      </c>
      <c r="M4" s="80" t="s">
        <v>371</v>
      </c>
      <c r="N4" s="80" t="s">
        <v>372</v>
      </c>
      <c r="O4" s="80" t="s">
        <v>373</v>
      </c>
      <c r="P4" s="80" t="s">
        <v>374</v>
      </c>
      <c r="Q4" s="81" t="s">
        <v>375</v>
      </c>
      <c r="R4" s="82" t="s">
        <v>376</v>
      </c>
      <c r="S4" s="258" t="s">
        <v>377</v>
      </c>
      <c r="T4" s="83" t="s">
        <v>378</v>
      </c>
      <c r="U4" s="77" t="s">
        <v>379</v>
      </c>
      <c r="V4" s="84" t="s">
        <v>380</v>
      </c>
      <c r="W4" s="85" t="s">
        <v>378</v>
      </c>
      <c r="X4" s="77" t="s">
        <v>379</v>
      </c>
      <c r="Y4" s="79" t="s">
        <v>380</v>
      </c>
      <c r="Z4" s="86" t="s">
        <v>381</v>
      </c>
      <c r="AA4" s="87" t="s">
        <v>382</v>
      </c>
      <c r="AB4" s="87" t="s">
        <v>383</v>
      </c>
      <c r="AC4" s="87" t="s">
        <v>707</v>
      </c>
      <c r="AD4" s="88" t="s">
        <v>384</v>
      </c>
      <c r="AE4" s="88" t="s">
        <v>385</v>
      </c>
      <c r="AF4" s="88" t="s">
        <v>386</v>
      </c>
      <c r="AG4" s="89" t="s">
        <v>387</v>
      </c>
      <c r="AH4" s="90" t="s">
        <v>388</v>
      </c>
    </row>
    <row r="5" spans="3:34" s="69" customFormat="1" ht="40.15" customHeight="1" x14ac:dyDescent="0.2">
      <c r="C5" s="91" t="s">
        <v>283</v>
      </c>
      <c r="D5" s="92"/>
      <c r="E5" s="93" t="s">
        <v>253</v>
      </c>
      <c r="F5" s="92"/>
      <c r="G5" s="94" t="s">
        <v>389</v>
      </c>
      <c r="H5" s="95">
        <v>41232</v>
      </c>
      <c r="I5" s="96">
        <v>41351</v>
      </c>
      <c r="J5" s="97" t="s">
        <v>417</v>
      </c>
      <c r="K5" s="98">
        <f>YEAR(H5)</f>
        <v>2012</v>
      </c>
      <c r="L5" s="99">
        <v>2500</v>
      </c>
      <c r="M5" s="100"/>
      <c r="N5" s="100" t="str">
        <f>IF(M5="","",1-M5)</f>
        <v/>
      </c>
      <c r="O5" s="100"/>
      <c r="P5" s="100"/>
      <c r="Q5" s="101"/>
      <c r="R5" s="102">
        <v>1</v>
      </c>
      <c r="S5" s="135">
        <v>0</v>
      </c>
      <c r="T5" s="104">
        <v>2500</v>
      </c>
      <c r="U5" s="105">
        <v>2500</v>
      </c>
      <c r="V5" s="106">
        <v>2500</v>
      </c>
      <c r="W5" s="107">
        <v>0</v>
      </c>
      <c r="X5" s="105">
        <v>0</v>
      </c>
      <c r="Y5" s="97">
        <v>0</v>
      </c>
      <c r="Z5" s="108">
        <v>128026</v>
      </c>
      <c r="AA5" s="109">
        <f>Z5-(AB5+AC5)</f>
        <v>128026</v>
      </c>
      <c r="AB5" s="109">
        <f>IF(I5&lt;$C$1,0,IF(H5&gt;$C$1,Z5-AC5,(I5-$C$1)/(I5-H5)*Z5-AC5))</f>
        <v>0</v>
      </c>
      <c r="AC5" s="109">
        <f>IF(I5&lt;$D$1,0,IF(H5&gt;$D$1,Z5,(I5-$D$1)/(I5-H5)*Z5))</f>
        <v>0</v>
      </c>
      <c r="AD5" s="110">
        <v>1</v>
      </c>
      <c r="AE5" s="110">
        <v>0.54</v>
      </c>
      <c r="AF5" s="110">
        <v>0.21</v>
      </c>
      <c r="AG5" s="111">
        <v>0.25</v>
      </c>
      <c r="AH5" s="112"/>
    </row>
    <row r="6" spans="3:34" s="69" customFormat="1" ht="40.15" customHeight="1" x14ac:dyDescent="0.2">
      <c r="C6" s="91" t="s">
        <v>283</v>
      </c>
      <c r="D6" s="92"/>
      <c r="E6" s="93" t="s">
        <v>322</v>
      </c>
      <c r="F6" s="92"/>
      <c r="G6" s="94" t="s">
        <v>390</v>
      </c>
      <c r="H6" s="113">
        <v>41280</v>
      </c>
      <c r="I6" s="114">
        <v>41820</v>
      </c>
      <c r="J6" s="97" t="s">
        <v>417</v>
      </c>
      <c r="K6" s="98">
        <f t="shared" ref="K6:K68" si="0">YEAR(H6)</f>
        <v>2013</v>
      </c>
      <c r="L6" s="99">
        <v>11700</v>
      </c>
      <c r="M6" s="100">
        <v>0.45</v>
      </c>
      <c r="N6" s="100">
        <f>IF(M6="","",1-M6)</f>
        <v>0.55000000000000004</v>
      </c>
      <c r="O6" s="100">
        <v>0</v>
      </c>
      <c r="P6" s="100">
        <v>1</v>
      </c>
      <c r="Q6" s="101">
        <v>0</v>
      </c>
      <c r="R6" s="115">
        <v>1</v>
      </c>
      <c r="S6" s="133">
        <v>0</v>
      </c>
      <c r="T6" s="104">
        <v>7594</v>
      </c>
      <c r="U6" s="105">
        <v>6040</v>
      </c>
      <c r="V6" s="106">
        <v>5850</v>
      </c>
      <c r="W6" s="107">
        <v>0</v>
      </c>
      <c r="X6" s="105">
        <v>0</v>
      </c>
      <c r="Y6" s="97">
        <v>0</v>
      </c>
      <c r="Z6" s="116">
        <v>530978</v>
      </c>
      <c r="AA6" s="117">
        <f t="shared" ref="AA6:AA68" si="1">Z6-(AB6+AC6)</f>
        <v>353985.33333333337</v>
      </c>
      <c r="AB6" s="117">
        <f>IF(I6&lt;$C$1,0,IF(H6&gt;$C$1,Z6-AC6,(I6-$C$1)/(I6-H6)*Z6-AC6))</f>
        <v>176992.66666666666</v>
      </c>
      <c r="AC6" s="117">
        <f>IF(I6&lt;$D$1,0,IF(H6&gt;$D$1,Z6,(I6-$D$1)/(I6-H6)*Z6))</f>
        <v>0</v>
      </c>
      <c r="AD6" s="100">
        <v>1</v>
      </c>
      <c r="AE6" s="100">
        <v>0.55500000000000005</v>
      </c>
      <c r="AF6" s="100">
        <v>0.26</v>
      </c>
      <c r="AG6" s="118">
        <v>0.18</v>
      </c>
      <c r="AH6" s="112"/>
    </row>
    <row r="7" spans="3:34" s="69" customFormat="1" ht="40.15" customHeight="1" x14ac:dyDescent="0.2">
      <c r="C7" s="91" t="s">
        <v>283</v>
      </c>
      <c r="D7" s="92"/>
      <c r="E7" s="93" t="s">
        <v>322</v>
      </c>
      <c r="F7" s="92"/>
      <c r="G7" s="94" t="s">
        <v>717</v>
      </c>
      <c r="H7" s="113">
        <v>41648</v>
      </c>
      <c r="I7" s="114">
        <v>42247</v>
      </c>
      <c r="J7" s="97" t="s">
        <v>231</v>
      </c>
      <c r="K7" s="98">
        <f t="shared" si="0"/>
        <v>2014</v>
      </c>
      <c r="L7" s="99">
        <v>6457</v>
      </c>
      <c r="M7" s="100"/>
      <c r="N7" s="100">
        <v>1</v>
      </c>
      <c r="O7" s="100"/>
      <c r="P7" s="100">
        <v>1</v>
      </c>
      <c r="Q7" s="101"/>
      <c r="R7" s="115">
        <v>0.62</v>
      </c>
      <c r="S7" s="133">
        <v>0.38</v>
      </c>
      <c r="T7" s="104">
        <v>4039</v>
      </c>
      <c r="U7" s="105">
        <v>4039</v>
      </c>
      <c r="V7" s="106">
        <v>1617</v>
      </c>
      <c r="W7" s="107"/>
      <c r="X7" s="105"/>
      <c r="Y7" s="97">
        <v>2418</v>
      </c>
      <c r="Z7" s="116">
        <v>354600</v>
      </c>
      <c r="AA7" s="117">
        <f t="shared" ref="AA7" si="2">Z7-(AB7+AC7)</f>
        <v>0</v>
      </c>
      <c r="AB7" s="117">
        <f>IF(I7&lt;$C$1,0,IF(H7&gt;$C$1,Z7-AC7,(I7-$C$1)/(I7-H7)*Z7-AC7))</f>
        <v>210747.24540901504</v>
      </c>
      <c r="AC7" s="117">
        <f>IF(I7&lt;$D$1,0,IF(H7&gt;$D$1,Z7,(I7-$D$1)/(I7-H7)*Z7))</f>
        <v>143852.75459098496</v>
      </c>
      <c r="AD7" s="100">
        <v>1</v>
      </c>
      <c r="AE7" s="100">
        <v>0.33</v>
      </c>
      <c r="AF7" s="100">
        <v>0.34</v>
      </c>
      <c r="AG7" s="118">
        <v>0.34</v>
      </c>
      <c r="AH7" s="112"/>
    </row>
    <row r="8" spans="3:34" s="69" customFormat="1" ht="40.15" customHeight="1" x14ac:dyDescent="0.2">
      <c r="C8" s="91" t="s">
        <v>783</v>
      </c>
      <c r="D8" s="92" t="s">
        <v>234</v>
      </c>
      <c r="E8" s="93" t="s">
        <v>330</v>
      </c>
      <c r="F8" s="92"/>
      <c r="G8" s="94" t="s">
        <v>784</v>
      </c>
      <c r="H8" s="139">
        <v>42156</v>
      </c>
      <c r="I8" s="140">
        <v>42428</v>
      </c>
      <c r="J8" s="97" t="s">
        <v>231</v>
      </c>
      <c r="K8" s="98">
        <f t="shared" si="0"/>
        <v>2015</v>
      </c>
      <c r="L8" s="99">
        <v>17480</v>
      </c>
      <c r="M8" s="110">
        <v>0.51</v>
      </c>
      <c r="N8" s="110">
        <v>0.49</v>
      </c>
      <c r="O8" s="110">
        <v>0</v>
      </c>
      <c r="P8" s="110">
        <v>0</v>
      </c>
      <c r="Q8" s="103">
        <v>1</v>
      </c>
      <c r="R8" s="102">
        <v>1</v>
      </c>
      <c r="S8" s="135">
        <v>0</v>
      </c>
      <c r="T8" s="104">
        <v>17480</v>
      </c>
      <c r="U8" s="105">
        <v>8404</v>
      </c>
      <c r="V8" s="106">
        <v>17480</v>
      </c>
      <c r="W8" s="138">
        <v>0</v>
      </c>
      <c r="X8" s="105">
        <v>0</v>
      </c>
      <c r="Y8" s="97">
        <v>0</v>
      </c>
      <c r="Z8" s="108">
        <v>122295</v>
      </c>
      <c r="AA8" s="109">
        <f>Z8-(AB8+AC8)</f>
        <v>0</v>
      </c>
      <c r="AB8" s="109">
        <f>IF(I8&lt;$C$1,0,IF(H8&gt;$C$1,Z8-AC8,(I8-$C$1)/(I8-H8)*Z8-AC8))</f>
        <v>0</v>
      </c>
      <c r="AC8" s="109">
        <f>IF(I8&lt;$D$1,0,IF(H8&gt;$D$1,Z8,(I8-$D$1)/(I8-H8)*Z8))</f>
        <v>122295</v>
      </c>
      <c r="AD8" s="110">
        <v>1</v>
      </c>
      <c r="AE8" s="110">
        <v>0.373</v>
      </c>
      <c r="AF8" s="110">
        <v>0.17899999999999999</v>
      </c>
      <c r="AG8" s="135">
        <v>0.44800000000000001</v>
      </c>
      <c r="AH8" s="134" t="s">
        <v>785</v>
      </c>
    </row>
    <row r="9" spans="3:34" s="69" customFormat="1" ht="40.15" customHeight="1" x14ac:dyDescent="0.2">
      <c r="C9" s="91" t="s">
        <v>391</v>
      </c>
      <c r="D9" s="92"/>
      <c r="E9" s="93" t="s">
        <v>323</v>
      </c>
      <c r="F9" s="92"/>
      <c r="G9" s="94" t="s">
        <v>392</v>
      </c>
      <c r="H9" s="119">
        <v>41275</v>
      </c>
      <c r="I9" s="120"/>
      <c r="J9" s="97" t="s">
        <v>417</v>
      </c>
      <c r="K9" s="98">
        <f t="shared" si="0"/>
        <v>2013</v>
      </c>
      <c r="L9" s="121"/>
      <c r="M9" s="110"/>
      <c r="N9" s="110" t="str">
        <f>IF(M9="","",1-M9)</f>
        <v/>
      </c>
      <c r="O9" s="110"/>
      <c r="P9" s="110"/>
      <c r="Q9" s="103"/>
      <c r="R9" s="102"/>
      <c r="S9" s="135"/>
      <c r="T9" s="122"/>
      <c r="U9" s="123"/>
      <c r="V9" s="124"/>
      <c r="W9" s="125"/>
      <c r="X9" s="123"/>
      <c r="Y9" s="126"/>
      <c r="Z9" s="108">
        <v>338770</v>
      </c>
      <c r="AA9" s="109">
        <f t="shared" si="1"/>
        <v>338770</v>
      </c>
      <c r="AB9" s="109">
        <f t="shared" ref="AB9:AB68" si="3">IF(I9&lt;$C$1,0,IF(H9&gt;$C$1,Z9-AC9,(I9-$C$1)/(I9-H9)*Z9-AC9))</f>
        <v>0</v>
      </c>
      <c r="AC9" s="109">
        <f t="shared" ref="AC9:AC68" si="4">IF(I9&lt;$D$1,0,IF(H9&gt;$D$1,Z9,(I9-$D$1)/(I9-H9)*Z9))</f>
        <v>0</v>
      </c>
      <c r="AD9" s="110"/>
      <c r="AE9" s="110"/>
      <c r="AF9" s="110"/>
      <c r="AG9" s="111"/>
      <c r="AH9" s="112"/>
    </row>
    <row r="10" spans="3:34" s="69" customFormat="1" ht="47.25" customHeight="1" x14ac:dyDescent="0.2">
      <c r="C10" s="91" t="s">
        <v>393</v>
      </c>
      <c r="D10" s="92"/>
      <c r="E10" s="93" t="s">
        <v>326</v>
      </c>
      <c r="F10" s="92"/>
      <c r="G10" s="94" t="s">
        <v>394</v>
      </c>
      <c r="H10" s="119">
        <v>41609</v>
      </c>
      <c r="I10" s="120"/>
      <c r="J10" s="97" t="s">
        <v>417</v>
      </c>
      <c r="K10" s="98">
        <f t="shared" si="0"/>
        <v>2013</v>
      </c>
      <c r="L10" s="121"/>
      <c r="M10" s="110"/>
      <c r="N10" s="110" t="str">
        <f>IF(M10="","",1-M10)</f>
        <v/>
      </c>
      <c r="O10" s="110"/>
      <c r="P10" s="110"/>
      <c r="Q10" s="103"/>
      <c r="R10" s="102"/>
      <c r="S10" s="135"/>
      <c r="T10" s="122"/>
      <c r="U10" s="123"/>
      <c r="V10" s="124"/>
      <c r="W10" s="125"/>
      <c r="X10" s="123"/>
      <c r="Y10" s="126"/>
      <c r="Z10" s="108">
        <v>292113</v>
      </c>
      <c r="AA10" s="109">
        <f t="shared" si="1"/>
        <v>292113</v>
      </c>
      <c r="AB10" s="109">
        <f t="shared" si="3"/>
        <v>0</v>
      </c>
      <c r="AC10" s="109">
        <f t="shared" si="4"/>
        <v>0</v>
      </c>
      <c r="AD10" s="110"/>
      <c r="AE10" s="110"/>
      <c r="AF10" s="110"/>
      <c r="AG10" s="111"/>
      <c r="AH10" s="112"/>
    </row>
    <row r="11" spans="3:34" s="128" customFormat="1" ht="40.15" customHeight="1" x14ac:dyDescent="0.2">
      <c r="C11" s="91" t="s">
        <v>234</v>
      </c>
      <c r="D11" s="92"/>
      <c r="E11" s="93" t="s">
        <v>253</v>
      </c>
      <c r="F11" s="127"/>
      <c r="G11" s="94" t="s">
        <v>395</v>
      </c>
      <c r="H11" s="95">
        <v>40954</v>
      </c>
      <c r="I11" s="96">
        <v>41090</v>
      </c>
      <c r="J11" s="97" t="s">
        <v>417</v>
      </c>
      <c r="K11" s="98">
        <f t="shared" si="0"/>
        <v>2012</v>
      </c>
      <c r="L11" s="99">
        <v>25000</v>
      </c>
      <c r="M11" s="110">
        <v>0.7</v>
      </c>
      <c r="N11" s="110">
        <v>0.3</v>
      </c>
      <c r="O11" s="110">
        <v>0</v>
      </c>
      <c r="P11" s="110">
        <v>0.4</v>
      </c>
      <c r="Q11" s="103">
        <v>0.6</v>
      </c>
      <c r="R11" s="102">
        <v>1</v>
      </c>
      <c r="S11" s="135">
        <v>0</v>
      </c>
      <c r="T11" s="104">
        <v>25000</v>
      </c>
      <c r="U11" s="105">
        <v>25000</v>
      </c>
      <c r="V11" s="106">
        <v>25000</v>
      </c>
      <c r="W11" s="107">
        <v>0</v>
      </c>
      <c r="X11" s="105">
        <v>0</v>
      </c>
      <c r="Y11" s="97">
        <v>0</v>
      </c>
      <c r="Z11" s="108">
        <f>170824500/850</f>
        <v>200970</v>
      </c>
      <c r="AA11" s="109">
        <f t="shared" si="1"/>
        <v>200970</v>
      </c>
      <c r="AB11" s="109">
        <f t="shared" si="3"/>
        <v>0</v>
      </c>
      <c r="AC11" s="109">
        <f t="shared" si="4"/>
        <v>0</v>
      </c>
      <c r="AD11" s="110">
        <v>1</v>
      </c>
      <c r="AE11" s="110">
        <f>36500000/(36500000+9000000+57000000+42900000)</f>
        <v>0.25103163686382396</v>
      </c>
      <c r="AF11" s="110">
        <f>(9000000+57000000)/(36500000+9000000+57000000+42900000)</f>
        <v>0.45392022008253097</v>
      </c>
      <c r="AG11" s="111">
        <f>42900000/(36500000+9000000+57000000+42900000)</f>
        <v>0.29504814305364513</v>
      </c>
      <c r="AH11" s="112"/>
    </row>
    <row r="12" spans="3:34" s="128" customFormat="1" ht="40.15" customHeight="1" x14ac:dyDescent="0.2">
      <c r="C12" s="91" t="s">
        <v>234</v>
      </c>
      <c r="D12" s="92"/>
      <c r="E12" s="93" t="s">
        <v>253</v>
      </c>
      <c r="F12" s="127"/>
      <c r="G12" s="94" t="s">
        <v>396</v>
      </c>
      <c r="H12" s="95">
        <v>40954</v>
      </c>
      <c r="I12" s="96">
        <v>41043</v>
      </c>
      <c r="J12" s="97" t="s">
        <v>417</v>
      </c>
      <c r="K12" s="98">
        <f t="shared" si="0"/>
        <v>2012</v>
      </c>
      <c r="L12" s="99">
        <v>25000</v>
      </c>
      <c r="M12" s="129">
        <v>0.7</v>
      </c>
      <c r="N12" s="129">
        <v>0.3</v>
      </c>
      <c r="O12" s="129">
        <v>0</v>
      </c>
      <c r="P12" s="129">
        <v>0.4</v>
      </c>
      <c r="Q12" s="130">
        <v>0.6</v>
      </c>
      <c r="R12" s="102">
        <v>1</v>
      </c>
      <c r="S12" s="135">
        <v>0</v>
      </c>
      <c r="T12" s="104">
        <v>25000</v>
      </c>
      <c r="U12" s="105">
        <v>25000</v>
      </c>
      <c r="V12" s="106">
        <v>25000</v>
      </c>
      <c r="W12" s="107">
        <v>0</v>
      </c>
      <c r="X12" s="105">
        <v>0</v>
      </c>
      <c r="Y12" s="97">
        <v>0</v>
      </c>
      <c r="Z12" s="108">
        <f>(36500000+9280000+57000000+42900000)/850</f>
        <v>171388.23529411765</v>
      </c>
      <c r="AA12" s="109">
        <f t="shared" si="1"/>
        <v>171388.23529411765</v>
      </c>
      <c r="AB12" s="109">
        <f t="shared" si="3"/>
        <v>0</v>
      </c>
      <c r="AC12" s="109">
        <f t="shared" si="4"/>
        <v>0</v>
      </c>
      <c r="AD12" s="110">
        <v>1</v>
      </c>
      <c r="AE12" s="110">
        <v>0.25</v>
      </c>
      <c r="AF12" s="110">
        <v>0.45</v>
      </c>
      <c r="AG12" s="111">
        <v>0.3</v>
      </c>
      <c r="AH12" s="112"/>
    </row>
    <row r="13" spans="3:34" s="128" customFormat="1" ht="40.15" customHeight="1" x14ac:dyDescent="0.2">
      <c r="C13" s="91" t="s">
        <v>234</v>
      </c>
      <c r="D13" s="92"/>
      <c r="E13" s="93" t="s">
        <v>253</v>
      </c>
      <c r="F13" s="127"/>
      <c r="G13" s="94" t="s">
        <v>397</v>
      </c>
      <c r="H13" s="95">
        <v>41043</v>
      </c>
      <c r="I13" s="96">
        <v>41104</v>
      </c>
      <c r="J13" s="97" t="s">
        <v>417</v>
      </c>
      <c r="K13" s="98">
        <f t="shared" si="0"/>
        <v>2012</v>
      </c>
      <c r="L13" s="99">
        <v>7733</v>
      </c>
      <c r="M13" s="129">
        <v>0.55000000000000004</v>
      </c>
      <c r="N13" s="129">
        <v>0.45</v>
      </c>
      <c r="O13" s="129">
        <v>0</v>
      </c>
      <c r="P13" s="129">
        <v>0.5</v>
      </c>
      <c r="Q13" s="130">
        <v>0.5</v>
      </c>
      <c r="R13" s="102">
        <v>1</v>
      </c>
      <c r="S13" s="135">
        <v>0</v>
      </c>
      <c r="T13" s="104">
        <v>7733</v>
      </c>
      <c r="U13" s="105">
        <v>7733</v>
      </c>
      <c r="V13" s="106">
        <v>7733</v>
      </c>
      <c r="W13" s="107">
        <v>0</v>
      </c>
      <c r="X13" s="105">
        <v>0</v>
      </c>
      <c r="Y13" s="97">
        <v>0</v>
      </c>
      <c r="Z13" s="108">
        <f>28563380/850</f>
        <v>33603.976470588233</v>
      </c>
      <c r="AA13" s="109">
        <f t="shared" si="1"/>
        <v>33603.976470588233</v>
      </c>
      <c r="AB13" s="109">
        <f t="shared" si="3"/>
        <v>0</v>
      </c>
      <c r="AC13" s="109">
        <f t="shared" si="4"/>
        <v>0</v>
      </c>
      <c r="AD13" s="110">
        <v>1</v>
      </c>
      <c r="AE13" s="110">
        <v>0.04</v>
      </c>
      <c r="AF13" s="110">
        <v>0.95</v>
      </c>
      <c r="AG13" s="111">
        <v>0</v>
      </c>
      <c r="AH13" s="112"/>
    </row>
    <row r="14" spans="3:34" s="128" customFormat="1" ht="40.15" customHeight="1" x14ac:dyDescent="0.2">
      <c r="C14" s="91" t="s">
        <v>234</v>
      </c>
      <c r="D14" s="92"/>
      <c r="E14" s="93" t="s">
        <v>253</v>
      </c>
      <c r="F14" s="92"/>
      <c r="G14" s="94" t="s">
        <v>397</v>
      </c>
      <c r="H14" s="139">
        <v>41913</v>
      </c>
      <c r="I14" s="727">
        <v>42109</v>
      </c>
      <c r="J14" s="728" t="s">
        <v>231</v>
      </c>
      <c r="K14" s="98">
        <v>2014</v>
      </c>
      <c r="L14" s="99">
        <v>11820</v>
      </c>
      <c r="M14" s="110">
        <v>0.86</v>
      </c>
      <c r="N14" s="110">
        <v>0.14000000000000001</v>
      </c>
      <c r="O14" s="110">
        <v>0</v>
      </c>
      <c r="P14" s="110">
        <v>0.87</v>
      </c>
      <c r="Q14" s="103">
        <v>0.13</v>
      </c>
      <c r="R14" s="102">
        <v>1</v>
      </c>
      <c r="S14" s="135">
        <v>0</v>
      </c>
      <c r="T14" s="104">
        <v>5360</v>
      </c>
      <c r="U14" s="105">
        <v>11820</v>
      </c>
      <c r="V14" s="106">
        <v>9833</v>
      </c>
      <c r="W14" s="138">
        <v>0</v>
      </c>
      <c r="X14" s="105">
        <v>0</v>
      </c>
      <c r="Y14" s="97">
        <v>0</v>
      </c>
      <c r="Z14" s="108">
        <v>220997.4</v>
      </c>
      <c r="AA14" s="109">
        <f t="shared" si="1"/>
        <v>0</v>
      </c>
      <c r="AB14" s="109">
        <f t="shared" si="3"/>
        <v>102605.93571428572</v>
      </c>
      <c r="AC14" s="109">
        <f t="shared" si="4"/>
        <v>118391.46428571428</v>
      </c>
      <c r="AD14" s="110">
        <v>1</v>
      </c>
      <c r="AE14" s="324">
        <v>0.44</v>
      </c>
      <c r="AF14" s="324">
        <v>0.2</v>
      </c>
      <c r="AG14" s="325">
        <v>0.36</v>
      </c>
      <c r="AH14" s="134"/>
    </row>
    <row r="15" spans="3:34" s="128" customFormat="1" ht="40.15" customHeight="1" x14ac:dyDescent="0.2">
      <c r="C15" s="91" t="s">
        <v>230</v>
      </c>
      <c r="D15" s="92"/>
      <c r="E15" s="93" t="s">
        <v>253</v>
      </c>
      <c r="F15" s="127"/>
      <c r="G15" s="94" t="s">
        <v>397</v>
      </c>
      <c r="H15" s="95">
        <v>41062</v>
      </c>
      <c r="I15" s="96">
        <v>41212</v>
      </c>
      <c r="J15" s="97" t="s">
        <v>417</v>
      </c>
      <c r="K15" s="98">
        <f t="shared" si="0"/>
        <v>2012</v>
      </c>
      <c r="L15" s="99">
        <v>5500</v>
      </c>
      <c r="M15" s="110">
        <v>0.35</v>
      </c>
      <c r="N15" s="110">
        <v>0.65</v>
      </c>
      <c r="O15" s="110">
        <v>0</v>
      </c>
      <c r="P15" s="110">
        <v>0.6</v>
      </c>
      <c r="Q15" s="103">
        <v>0.4</v>
      </c>
      <c r="R15" s="102">
        <v>1</v>
      </c>
      <c r="S15" s="135">
        <v>0</v>
      </c>
      <c r="T15" s="104">
        <v>5500</v>
      </c>
      <c r="U15" s="105">
        <v>5500</v>
      </c>
      <c r="V15" s="106">
        <v>5500</v>
      </c>
      <c r="W15" s="107">
        <v>0</v>
      </c>
      <c r="X15" s="105">
        <v>0</v>
      </c>
      <c r="Y15" s="97">
        <v>0</v>
      </c>
      <c r="Z15" s="108">
        <f>(110436225)/850</f>
        <v>129924.9705882353</v>
      </c>
      <c r="AA15" s="109">
        <f t="shared" si="1"/>
        <v>129924.9705882353</v>
      </c>
      <c r="AB15" s="109">
        <f t="shared" si="3"/>
        <v>0</v>
      </c>
      <c r="AC15" s="109">
        <f t="shared" si="4"/>
        <v>0</v>
      </c>
      <c r="AD15" s="110">
        <v>1</v>
      </c>
      <c r="AE15" s="110">
        <v>0.41</v>
      </c>
      <c r="AF15" s="110">
        <v>0.3</v>
      </c>
      <c r="AG15" s="111">
        <v>0.28999999999999998</v>
      </c>
      <c r="AH15" s="112"/>
    </row>
    <row r="16" spans="3:34" s="128" customFormat="1" ht="40.15" customHeight="1" x14ac:dyDescent="0.2">
      <c r="C16" s="91" t="s">
        <v>230</v>
      </c>
      <c r="D16" s="92"/>
      <c r="E16" s="93" t="s">
        <v>253</v>
      </c>
      <c r="F16" s="127"/>
      <c r="G16" s="94" t="s">
        <v>397</v>
      </c>
      <c r="H16" s="95">
        <v>41028</v>
      </c>
      <c r="I16" s="96">
        <v>41119</v>
      </c>
      <c r="J16" s="97" t="s">
        <v>417</v>
      </c>
      <c r="K16" s="98">
        <f t="shared" si="0"/>
        <v>2012</v>
      </c>
      <c r="L16" s="99">
        <v>18791</v>
      </c>
      <c r="M16" s="131">
        <v>0.48</v>
      </c>
      <c r="N16" s="131">
        <f>IF(M16="","",1-M16)</f>
        <v>0.52</v>
      </c>
      <c r="O16" s="131">
        <v>0.3</v>
      </c>
      <c r="P16" s="131">
        <v>0.5</v>
      </c>
      <c r="Q16" s="132">
        <v>0.2</v>
      </c>
      <c r="R16" s="102">
        <v>1</v>
      </c>
      <c r="S16" s="135">
        <v>0</v>
      </c>
      <c r="T16" s="104">
        <v>18791</v>
      </c>
      <c r="U16" s="105">
        <v>18791</v>
      </c>
      <c r="V16" s="106">
        <v>18791</v>
      </c>
      <c r="W16" s="107">
        <v>0</v>
      </c>
      <c r="X16" s="105">
        <v>0</v>
      </c>
      <c r="Y16" s="97">
        <v>0</v>
      </c>
      <c r="Z16" s="108">
        <f>126894457/850</f>
        <v>149287.59647058824</v>
      </c>
      <c r="AA16" s="109">
        <f t="shared" si="1"/>
        <v>149287.59647058824</v>
      </c>
      <c r="AB16" s="109">
        <f t="shared" si="3"/>
        <v>0</v>
      </c>
      <c r="AC16" s="109">
        <f t="shared" si="4"/>
        <v>0</v>
      </c>
      <c r="AD16" s="110">
        <v>1</v>
      </c>
      <c r="AE16" s="110">
        <f>(992500+25000000+615000)/101942950</f>
        <v>0.26100382615963141</v>
      </c>
      <c r="AF16" s="110">
        <v>0.62</v>
      </c>
      <c r="AG16" s="111">
        <f>(498000+10905000+675000)/101942950</f>
        <v>0.11847803109484276</v>
      </c>
      <c r="AH16" s="112"/>
    </row>
    <row r="17" spans="3:34" s="128" customFormat="1" ht="40.15" customHeight="1" x14ac:dyDescent="0.2">
      <c r="C17" s="91" t="s">
        <v>230</v>
      </c>
      <c r="D17" s="92"/>
      <c r="E17" s="93" t="s">
        <v>253</v>
      </c>
      <c r="F17" s="127"/>
      <c r="G17" s="94" t="s">
        <v>397</v>
      </c>
      <c r="H17" s="95">
        <v>41344</v>
      </c>
      <c r="I17" s="96">
        <v>41358</v>
      </c>
      <c r="J17" s="97" t="s">
        <v>417</v>
      </c>
      <c r="K17" s="98">
        <f t="shared" si="0"/>
        <v>2013</v>
      </c>
      <c r="L17" s="99">
        <v>493</v>
      </c>
      <c r="M17" s="110">
        <v>0.45</v>
      </c>
      <c r="N17" s="110">
        <v>0.55000000000000004</v>
      </c>
      <c r="O17" s="110">
        <v>0</v>
      </c>
      <c r="P17" s="110">
        <v>1</v>
      </c>
      <c r="Q17" s="103">
        <v>0</v>
      </c>
      <c r="R17" s="102">
        <v>1</v>
      </c>
      <c r="S17" s="135">
        <v>0</v>
      </c>
      <c r="T17" s="104">
        <v>493</v>
      </c>
      <c r="U17" s="105">
        <v>0</v>
      </c>
      <c r="V17" s="106">
        <v>0</v>
      </c>
      <c r="W17" s="107">
        <v>0</v>
      </c>
      <c r="X17" s="105">
        <v>0</v>
      </c>
      <c r="Y17" s="97">
        <v>0</v>
      </c>
      <c r="Z17" s="108">
        <f>2576780/850</f>
        <v>3031.5058823529412</v>
      </c>
      <c r="AA17" s="109">
        <f t="shared" si="1"/>
        <v>3031.5058823529412</v>
      </c>
      <c r="AB17" s="109">
        <f t="shared" si="3"/>
        <v>0</v>
      </c>
      <c r="AC17" s="109">
        <f t="shared" si="4"/>
        <v>0</v>
      </c>
      <c r="AD17" s="110">
        <v>1</v>
      </c>
      <c r="AE17" s="110">
        <v>1</v>
      </c>
      <c r="AF17" s="110">
        <v>0</v>
      </c>
      <c r="AG17" s="111">
        <v>0</v>
      </c>
      <c r="AH17" s="112"/>
    </row>
    <row r="18" spans="3:34" s="128" customFormat="1" ht="40.15" customHeight="1" x14ac:dyDescent="0.2">
      <c r="C18" s="91" t="s">
        <v>230</v>
      </c>
      <c r="D18" s="92"/>
      <c r="E18" s="93" t="s">
        <v>398</v>
      </c>
      <c r="F18" s="127"/>
      <c r="G18" s="94"/>
      <c r="H18" s="95">
        <v>41275</v>
      </c>
      <c r="I18" s="96"/>
      <c r="J18" s="97" t="s">
        <v>417</v>
      </c>
      <c r="K18" s="98">
        <f t="shared" si="0"/>
        <v>2013</v>
      </c>
      <c r="L18" s="99"/>
      <c r="M18" s="110"/>
      <c r="N18" s="110" t="str">
        <f t="shared" ref="N18:N25" si="5">IF(M18="","",1-M18)</f>
        <v/>
      </c>
      <c r="O18" s="110"/>
      <c r="P18" s="110"/>
      <c r="Q18" s="103"/>
      <c r="R18" s="102"/>
      <c r="S18" s="135"/>
      <c r="T18" s="104"/>
      <c r="U18" s="105"/>
      <c r="V18" s="106"/>
      <c r="W18" s="107"/>
      <c r="X18" s="105"/>
      <c r="Y18" s="97"/>
      <c r="Z18" s="108"/>
      <c r="AA18" s="109">
        <f t="shared" si="1"/>
        <v>0</v>
      </c>
      <c r="AB18" s="109">
        <f t="shared" si="3"/>
        <v>0</v>
      </c>
      <c r="AC18" s="109">
        <f t="shared" si="4"/>
        <v>0</v>
      </c>
      <c r="AD18" s="110"/>
      <c r="AE18" s="110"/>
      <c r="AF18" s="110"/>
      <c r="AG18" s="111"/>
      <c r="AH18" s="112"/>
    </row>
    <row r="19" spans="3:34" s="128" customFormat="1" ht="40.15" customHeight="1" x14ac:dyDescent="0.2">
      <c r="C19" s="91" t="s">
        <v>230</v>
      </c>
      <c r="D19" s="92"/>
      <c r="E19" s="93" t="s">
        <v>253</v>
      </c>
      <c r="F19" s="127" t="s">
        <v>325</v>
      </c>
      <c r="G19" s="94" t="s">
        <v>399</v>
      </c>
      <c r="H19" s="95">
        <v>41663</v>
      </c>
      <c r="I19" s="96">
        <v>41843</v>
      </c>
      <c r="J19" s="97" t="s">
        <v>417</v>
      </c>
      <c r="K19" s="98">
        <f t="shared" si="0"/>
        <v>2014</v>
      </c>
      <c r="L19" s="99">
        <v>3756</v>
      </c>
      <c r="M19" s="110">
        <v>0.65</v>
      </c>
      <c r="N19" s="110">
        <f t="shared" si="5"/>
        <v>0.35</v>
      </c>
      <c r="O19" s="110">
        <v>0.61</v>
      </c>
      <c r="P19" s="110">
        <v>0</v>
      </c>
      <c r="Q19" s="103">
        <f>1453/3756</f>
        <v>0.38684771033013843</v>
      </c>
      <c r="R19" s="102">
        <v>1</v>
      </c>
      <c r="S19" s="135">
        <v>0</v>
      </c>
      <c r="T19" s="104">
        <v>3756</v>
      </c>
      <c r="U19" s="105">
        <v>3756</v>
      </c>
      <c r="V19" s="106">
        <v>3756</v>
      </c>
      <c r="W19" s="107">
        <v>0</v>
      </c>
      <c r="X19" s="105">
        <v>0</v>
      </c>
      <c r="Y19" s="97">
        <v>0</v>
      </c>
      <c r="Z19" s="108">
        <v>201418</v>
      </c>
      <c r="AA19" s="109">
        <f t="shared" si="1"/>
        <v>0</v>
      </c>
      <c r="AB19" s="109">
        <f t="shared" si="3"/>
        <v>201418</v>
      </c>
      <c r="AC19" s="109">
        <f t="shared" si="4"/>
        <v>0</v>
      </c>
      <c r="AD19" s="110">
        <v>1</v>
      </c>
      <c r="AE19" s="110">
        <v>0.5</v>
      </c>
      <c r="AF19" s="110">
        <v>0.43</v>
      </c>
      <c r="AG19" s="111">
        <v>7.0000000000000007E-2</v>
      </c>
      <c r="AH19" s="112"/>
    </row>
    <row r="20" spans="3:34" s="128" customFormat="1" ht="40.15" customHeight="1" x14ac:dyDescent="0.2">
      <c r="C20" s="91" t="s">
        <v>250</v>
      </c>
      <c r="D20" s="92"/>
      <c r="E20" s="93" t="s">
        <v>322</v>
      </c>
      <c r="F20" s="92"/>
      <c r="G20" s="94" t="s">
        <v>400</v>
      </c>
      <c r="H20" s="119">
        <v>41412</v>
      </c>
      <c r="I20" s="120">
        <v>41777</v>
      </c>
      <c r="J20" s="97" t="s">
        <v>417</v>
      </c>
      <c r="K20" s="98">
        <f t="shared" si="0"/>
        <v>2013</v>
      </c>
      <c r="L20" s="99">
        <v>33204</v>
      </c>
      <c r="M20" s="100">
        <v>0.1</v>
      </c>
      <c r="N20" s="100">
        <f t="shared" si="5"/>
        <v>0.9</v>
      </c>
      <c r="O20" s="100">
        <v>0</v>
      </c>
      <c r="P20" s="100">
        <v>0</v>
      </c>
      <c r="Q20" s="101">
        <v>1</v>
      </c>
      <c r="R20" s="115">
        <v>7.0000000000000007E-2</v>
      </c>
      <c r="S20" s="133">
        <v>0.93</v>
      </c>
      <c r="T20" s="104">
        <v>2416</v>
      </c>
      <c r="U20" s="105">
        <v>146</v>
      </c>
      <c r="V20" s="106">
        <v>2416</v>
      </c>
      <c r="W20" s="107">
        <v>22000</v>
      </c>
      <c r="X20" s="105">
        <v>8788</v>
      </c>
      <c r="Y20" s="97">
        <v>30788</v>
      </c>
      <c r="Z20" s="116">
        <v>26986</v>
      </c>
      <c r="AA20" s="117">
        <f t="shared" si="1"/>
        <v>16857.008219178082</v>
      </c>
      <c r="AB20" s="117">
        <f t="shared" si="3"/>
        <v>10128.991780821918</v>
      </c>
      <c r="AC20" s="117">
        <f t="shared" si="4"/>
        <v>0</v>
      </c>
      <c r="AD20" s="100">
        <v>0.04</v>
      </c>
      <c r="AE20" s="110">
        <v>0.82</v>
      </c>
      <c r="AF20" s="100">
        <v>0.12</v>
      </c>
      <c r="AG20" s="133">
        <v>0.06</v>
      </c>
      <c r="AH20" s="134"/>
    </row>
    <row r="21" spans="3:34" s="128" customFormat="1" ht="40.15" customHeight="1" x14ac:dyDescent="0.2">
      <c r="C21" s="91" t="s">
        <v>232</v>
      </c>
      <c r="D21" s="92"/>
      <c r="E21" s="93" t="s">
        <v>253</v>
      </c>
      <c r="F21" s="92"/>
      <c r="G21" s="531" t="s">
        <v>397</v>
      </c>
      <c r="H21" s="532">
        <v>40973</v>
      </c>
      <c r="I21" s="533">
        <v>41074</v>
      </c>
      <c r="J21" s="534" t="s">
        <v>417</v>
      </c>
      <c r="K21" s="535">
        <f t="shared" si="0"/>
        <v>2012</v>
      </c>
      <c r="L21" s="99">
        <v>14000</v>
      </c>
      <c r="M21" s="100"/>
      <c r="N21" s="100" t="str">
        <f t="shared" si="5"/>
        <v/>
      </c>
      <c r="O21" s="100"/>
      <c r="P21" s="100"/>
      <c r="Q21" s="101"/>
      <c r="R21" s="102">
        <v>1</v>
      </c>
      <c r="S21" s="135">
        <v>0</v>
      </c>
      <c r="T21" s="104">
        <v>14000</v>
      </c>
      <c r="U21" s="105">
        <v>14000</v>
      </c>
      <c r="V21" s="106">
        <v>14000</v>
      </c>
      <c r="W21" s="107">
        <v>0</v>
      </c>
      <c r="X21" s="105">
        <v>0</v>
      </c>
      <c r="Y21" s="97">
        <v>0</v>
      </c>
      <c r="Z21" s="108">
        <f>(28600000+4800000+31800000+6266000)/850+8360</f>
        <v>92437.647058823524</v>
      </c>
      <c r="AA21" s="109">
        <f t="shared" si="1"/>
        <v>92437.647058823524</v>
      </c>
      <c r="AB21" s="217">
        <f t="shared" si="3"/>
        <v>0</v>
      </c>
      <c r="AC21" s="217">
        <f t="shared" si="4"/>
        <v>0</v>
      </c>
      <c r="AD21" s="135">
        <v>1</v>
      </c>
      <c r="AE21" s="110">
        <v>0.36</v>
      </c>
      <c r="AF21" s="110">
        <v>0.53</v>
      </c>
      <c r="AG21" s="136">
        <v>0.1</v>
      </c>
      <c r="AH21" s="134"/>
    </row>
    <row r="22" spans="3:34" s="128" customFormat="1" ht="40.15" customHeight="1" x14ac:dyDescent="0.2">
      <c r="C22" s="91" t="s">
        <v>232</v>
      </c>
      <c r="D22" s="92"/>
      <c r="E22" s="93" t="s">
        <v>253</v>
      </c>
      <c r="F22" s="92"/>
      <c r="G22" s="531" t="s">
        <v>397</v>
      </c>
      <c r="H22" s="532">
        <v>40941</v>
      </c>
      <c r="I22" s="533">
        <v>41090</v>
      </c>
      <c r="J22" s="534" t="s">
        <v>417</v>
      </c>
      <c r="K22" s="535">
        <f t="shared" si="0"/>
        <v>2012</v>
      </c>
      <c r="L22" s="99">
        <v>3240</v>
      </c>
      <c r="M22" s="100"/>
      <c r="N22" s="100" t="str">
        <f t="shared" si="5"/>
        <v/>
      </c>
      <c r="O22" s="100"/>
      <c r="P22" s="100"/>
      <c r="Q22" s="101"/>
      <c r="R22" s="102">
        <v>1</v>
      </c>
      <c r="S22" s="135">
        <v>0</v>
      </c>
      <c r="T22" s="104">
        <v>3240</v>
      </c>
      <c r="U22" s="105">
        <v>3240</v>
      </c>
      <c r="V22" s="106">
        <v>3240</v>
      </c>
      <c r="W22" s="107">
        <v>0</v>
      </c>
      <c r="X22" s="105">
        <v>0</v>
      </c>
      <c r="Y22" s="97">
        <v>0</v>
      </c>
      <c r="Z22" s="108">
        <f>(7354000+3480000+7870000+10800000)/850</f>
        <v>34710.588235294119</v>
      </c>
      <c r="AA22" s="109">
        <f t="shared" si="1"/>
        <v>34710.588235294119</v>
      </c>
      <c r="AB22" s="217">
        <f t="shared" si="3"/>
        <v>0</v>
      </c>
      <c r="AC22" s="217">
        <f t="shared" si="4"/>
        <v>0</v>
      </c>
      <c r="AD22" s="135">
        <v>1</v>
      </c>
      <c r="AE22" s="110">
        <v>0.35</v>
      </c>
      <c r="AF22" s="110">
        <v>0.38</v>
      </c>
      <c r="AG22" s="136">
        <v>0.36</v>
      </c>
      <c r="AH22" s="134"/>
    </row>
    <row r="23" spans="3:34" s="128" customFormat="1" ht="40.15" customHeight="1" x14ac:dyDescent="0.2">
      <c r="C23" s="91" t="s">
        <v>232</v>
      </c>
      <c r="D23" s="92"/>
      <c r="E23" s="93" t="s">
        <v>253</v>
      </c>
      <c r="F23" s="127"/>
      <c r="G23" s="531" t="s">
        <v>397</v>
      </c>
      <c r="H23" s="532">
        <v>40940</v>
      </c>
      <c r="I23" s="533">
        <v>41029</v>
      </c>
      <c r="J23" s="534" t="s">
        <v>417</v>
      </c>
      <c r="K23" s="535">
        <f t="shared" si="0"/>
        <v>2012</v>
      </c>
      <c r="L23" s="99">
        <v>14000</v>
      </c>
      <c r="M23" s="100"/>
      <c r="N23" s="100" t="str">
        <f t="shared" si="5"/>
        <v/>
      </c>
      <c r="O23" s="100"/>
      <c r="P23" s="100"/>
      <c r="Q23" s="101"/>
      <c r="R23" s="102">
        <v>1</v>
      </c>
      <c r="S23" s="135">
        <v>0</v>
      </c>
      <c r="T23" s="104">
        <v>14000</v>
      </c>
      <c r="U23" s="105">
        <v>14000</v>
      </c>
      <c r="V23" s="106">
        <v>14000</v>
      </c>
      <c r="W23" s="107">
        <v>0</v>
      </c>
      <c r="X23" s="105">
        <v>0</v>
      </c>
      <c r="Y23" s="97">
        <v>0</v>
      </c>
      <c r="Z23" s="108">
        <f>35400+9000+39360</f>
        <v>83760</v>
      </c>
      <c r="AA23" s="109">
        <f t="shared" si="1"/>
        <v>83760</v>
      </c>
      <c r="AB23" s="217">
        <f t="shared" si="3"/>
        <v>0</v>
      </c>
      <c r="AC23" s="217">
        <f t="shared" si="4"/>
        <v>0</v>
      </c>
      <c r="AD23" s="135">
        <v>1</v>
      </c>
      <c r="AE23" s="110">
        <v>0.42</v>
      </c>
      <c r="AF23" s="110">
        <v>0.55000000000000004</v>
      </c>
      <c r="AG23" s="136">
        <v>0.22</v>
      </c>
      <c r="AH23" s="134"/>
    </row>
    <row r="24" spans="3:34" s="128" customFormat="1" ht="40.15" customHeight="1" x14ac:dyDescent="0.2">
      <c r="C24" s="91" t="s">
        <v>232</v>
      </c>
      <c r="D24" s="92"/>
      <c r="E24" s="93" t="s">
        <v>253</v>
      </c>
      <c r="F24" s="92"/>
      <c r="G24" s="531" t="s">
        <v>397</v>
      </c>
      <c r="H24" s="532">
        <v>41346</v>
      </c>
      <c r="I24" s="533">
        <v>41437</v>
      </c>
      <c r="J24" s="534" t="s">
        <v>417</v>
      </c>
      <c r="K24" s="535">
        <f t="shared" si="0"/>
        <v>2013</v>
      </c>
      <c r="L24" s="99">
        <v>19000</v>
      </c>
      <c r="M24" s="129">
        <f>13000/19000</f>
        <v>0.68421052631578949</v>
      </c>
      <c r="N24" s="129">
        <f t="shared" si="5"/>
        <v>0.31578947368421051</v>
      </c>
      <c r="O24" s="129">
        <v>0</v>
      </c>
      <c r="P24" s="129">
        <v>0.32</v>
      </c>
      <c r="Q24" s="130">
        <f>12981/L24</f>
        <v>0.68321052631578949</v>
      </c>
      <c r="R24" s="102">
        <v>1</v>
      </c>
      <c r="S24" s="135">
        <v>0</v>
      </c>
      <c r="T24" s="104">
        <v>19000</v>
      </c>
      <c r="U24" s="105">
        <v>19000</v>
      </c>
      <c r="V24" s="106">
        <v>19000</v>
      </c>
      <c r="W24" s="107">
        <v>0</v>
      </c>
      <c r="X24" s="105">
        <v>0</v>
      </c>
      <c r="Y24" s="97">
        <v>0</v>
      </c>
      <c r="Z24" s="108">
        <f>83567321/850</f>
        <v>98314.495294117645</v>
      </c>
      <c r="AA24" s="109">
        <f t="shared" si="1"/>
        <v>98314.495294117645</v>
      </c>
      <c r="AB24" s="217">
        <f t="shared" si="3"/>
        <v>0</v>
      </c>
      <c r="AC24" s="217">
        <f t="shared" si="4"/>
        <v>0</v>
      </c>
      <c r="AD24" s="110">
        <v>1</v>
      </c>
      <c r="AE24" s="110">
        <f>22500000/83567321</f>
        <v>0.26924400268856291</v>
      </c>
      <c r="AF24" s="110">
        <v>0.14000000000000001</v>
      </c>
      <c r="AG24" s="135">
        <f>48974300/83567321</f>
        <v>0.58604606937202164</v>
      </c>
      <c r="AH24" s="134"/>
    </row>
    <row r="25" spans="3:34" s="128" customFormat="1" ht="40.15" customHeight="1" x14ac:dyDescent="0.2">
      <c r="C25" s="91" t="s">
        <v>232</v>
      </c>
      <c r="D25" s="92"/>
      <c r="E25" s="93" t="s">
        <v>253</v>
      </c>
      <c r="F25" s="92"/>
      <c r="G25" s="531" t="s">
        <v>397</v>
      </c>
      <c r="H25" s="532">
        <v>41082</v>
      </c>
      <c r="I25" s="533">
        <v>41364</v>
      </c>
      <c r="J25" s="534" t="s">
        <v>417</v>
      </c>
      <c r="K25" s="535">
        <f t="shared" si="0"/>
        <v>2012</v>
      </c>
      <c r="L25" s="99"/>
      <c r="M25" s="129"/>
      <c r="N25" s="129" t="str">
        <f t="shared" si="5"/>
        <v/>
      </c>
      <c r="O25" s="129"/>
      <c r="P25" s="129"/>
      <c r="Q25" s="130"/>
      <c r="R25" s="102"/>
      <c r="S25" s="135"/>
      <c r="T25" s="104"/>
      <c r="U25" s="105"/>
      <c r="V25" s="106"/>
      <c r="W25" s="107"/>
      <c r="X25" s="105"/>
      <c r="Y25" s="97"/>
      <c r="Z25" s="108">
        <f>136729365/780</f>
        <v>175294.05769230769</v>
      </c>
      <c r="AA25" s="109">
        <f t="shared" si="1"/>
        <v>175294.05769230769</v>
      </c>
      <c r="AB25" s="109">
        <f t="shared" si="3"/>
        <v>0</v>
      </c>
      <c r="AC25" s="109">
        <f t="shared" si="4"/>
        <v>0</v>
      </c>
      <c r="AD25" s="110"/>
      <c r="AE25" s="110"/>
      <c r="AF25" s="110"/>
      <c r="AG25" s="135"/>
      <c r="AH25" s="134"/>
    </row>
    <row r="26" spans="3:34" s="128" customFormat="1" ht="40.15" customHeight="1" x14ac:dyDescent="0.2">
      <c r="C26" s="91" t="s">
        <v>232</v>
      </c>
      <c r="D26" s="92"/>
      <c r="E26" s="93" t="s">
        <v>253</v>
      </c>
      <c r="F26" s="92"/>
      <c r="G26" s="94" t="s">
        <v>397</v>
      </c>
      <c r="H26" s="139">
        <v>41648</v>
      </c>
      <c r="I26" s="727">
        <v>41951</v>
      </c>
      <c r="J26" s="141" t="s">
        <v>417</v>
      </c>
      <c r="K26" s="98">
        <v>2014</v>
      </c>
      <c r="L26" s="326">
        <v>11000</v>
      </c>
      <c r="M26" s="110">
        <v>0.62</v>
      </c>
      <c r="N26" s="110">
        <v>0.38</v>
      </c>
      <c r="O26" s="110">
        <v>0</v>
      </c>
      <c r="P26" s="110">
        <v>1</v>
      </c>
      <c r="Q26" s="103">
        <v>0</v>
      </c>
      <c r="R26" s="102">
        <v>1</v>
      </c>
      <c r="S26" s="135">
        <v>0</v>
      </c>
      <c r="T26" s="104">
        <v>11000</v>
      </c>
      <c r="U26" s="105">
        <v>11000</v>
      </c>
      <c r="V26" s="106">
        <v>11000</v>
      </c>
      <c r="W26" s="138">
        <v>0</v>
      </c>
      <c r="X26" s="105">
        <v>0</v>
      </c>
      <c r="Y26" s="97">
        <v>0</v>
      </c>
      <c r="Z26" s="108">
        <v>337220.99</v>
      </c>
      <c r="AA26" s="109">
        <f t="shared" si="1"/>
        <v>0</v>
      </c>
      <c r="AB26" s="109">
        <f t="shared" si="3"/>
        <v>337220.99</v>
      </c>
      <c r="AC26" s="109">
        <f t="shared" si="4"/>
        <v>0</v>
      </c>
      <c r="AD26" s="110">
        <v>1</v>
      </c>
      <c r="AE26" s="324">
        <v>0.33</v>
      </c>
      <c r="AF26" s="324">
        <v>0.33</v>
      </c>
      <c r="AG26" s="325">
        <v>0.34</v>
      </c>
      <c r="AH26" s="134"/>
    </row>
    <row r="27" spans="3:34" s="128" customFormat="1" ht="40.15" customHeight="1" x14ac:dyDescent="0.2">
      <c r="C27" s="91" t="s">
        <v>232</v>
      </c>
      <c r="D27" s="92"/>
      <c r="E27" s="93" t="s">
        <v>253</v>
      </c>
      <c r="F27" s="92"/>
      <c r="G27" s="94" t="s">
        <v>397</v>
      </c>
      <c r="H27" s="729">
        <v>41928</v>
      </c>
      <c r="I27" s="727">
        <v>42109</v>
      </c>
      <c r="J27" s="728" t="s">
        <v>231</v>
      </c>
      <c r="K27" s="98">
        <v>2014</v>
      </c>
      <c r="L27" s="99">
        <v>13389</v>
      </c>
      <c r="M27" s="327">
        <v>0.59</v>
      </c>
      <c r="N27" s="110">
        <v>0.41</v>
      </c>
      <c r="O27" s="110">
        <v>0</v>
      </c>
      <c r="P27" s="110">
        <v>1</v>
      </c>
      <c r="Q27" s="103">
        <v>0</v>
      </c>
      <c r="R27" s="102">
        <v>1</v>
      </c>
      <c r="S27" s="135">
        <v>0</v>
      </c>
      <c r="T27" s="104">
        <v>5571</v>
      </c>
      <c r="U27" s="105">
        <v>5643</v>
      </c>
      <c r="V27" s="106">
        <v>13389</v>
      </c>
      <c r="W27" s="138">
        <v>0</v>
      </c>
      <c r="X27" s="105">
        <v>0</v>
      </c>
      <c r="Y27" s="97">
        <v>0</v>
      </c>
      <c r="Z27" s="108">
        <v>288461.43</v>
      </c>
      <c r="AA27" s="109">
        <f t="shared" si="1"/>
        <v>0</v>
      </c>
      <c r="AB27" s="109">
        <f t="shared" si="3"/>
        <v>121121.92640883979</v>
      </c>
      <c r="AC27" s="109">
        <f t="shared" si="4"/>
        <v>167339.5035911602</v>
      </c>
      <c r="AD27" s="110">
        <v>1</v>
      </c>
      <c r="AE27" s="324">
        <v>0.23</v>
      </c>
      <c r="AF27" s="324">
        <v>0.23</v>
      </c>
      <c r="AG27" s="325">
        <v>0.54</v>
      </c>
      <c r="AH27" s="134"/>
    </row>
    <row r="28" spans="3:34" s="128" customFormat="1" ht="40.15" customHeight="1" x14ac:dyDescent="0.2">
      <c r="C28" s="91" t="s">
        <v>232</v>
      </c>
      <c r="D28" s="92" t="s">
        <v>605</v>
      </c>
      <c r="E28" s="93" t="s">
        <v>604</v>
      </c>
      <c r="F28" s="92"/>
      <c r="G28" s="94" t="s">
        <v>397</v>
      </c>
      <c r="H28" s="95">
        <v>41757</v>
      </c>
      <c r="I28" s="96">
        <v>41802</v>
      </c>
      <c r="J28" s="97" t="s">
        <v>417</v>
      </c>
      <c r="K28" s="98">
        <f t="shared" si="0"/>
        <v>2014</v>
      </c>
      <c r="L28" s="99"/>
      <c r="M28" s="129"/>
      <c r="N28" s="129"/>
      <c r="O28" s="129">
        <v>1</v>
      </c>
      <c r="P28" s="129">
        <v>0</v>
      </c>
      <c r="Q28" s="130">
        <v>0</v>
      </c>
      <c r="R28" s="102">
        <v>1</v>
      </c>
      <c r="S28" s="135">
        <v>0</v>
      </c>
      <c r="T28" s="104"/>
      <c r="U28" s="105"/>
      <c r="V28" s="106"/>
      <c r="W28" s="107"/>
      <c r="X28" s="105"/>
      <c r="Y28" s="97"/>
      <c r="Z28" s="108">
        <v>43482</v>
      </c>
      <c r="AA28" s="109">
        <f t="shared" si="1"/>
        <v>0</v>
      </c>
      <c r="AB28" s="109">
        <f t="shared" si="3"/>
        <v>43482</v>
      </c>
      <c r="AC28" s="109">
        <f t="shared" si="4"/>
        <v>0</v>
      </c>
      <c r="AD28" s="110"/>
      <c r="AE28" s="110"/>
      <c r="AF28" s="110"/>
      <c r="AG28" s="135"/>
      <c r="AH28" s="134"/>
    </row>
    <row r="29" spans="3:34" s="128" customFormat="1" ht="40.15" customHeight="1" x14ac:dyDescent="0.2">
      <c r="C29" s="91" t="s">
        <v>232</v>
      </c>
      <c r="D29" s="92"/>
      <c r="E29" s="93" t="s">
        <v>777</v>
      </c>
      <c r="F29" s="92"/>
      <c r="G29" s="94" t="s">
        <v>778</v>
      </c>
      <c r="H29" s="95">
        <v>42036</v>
      </c>
      <c r="I29" s="96">
        <v>42094</v>
      </c>
      <c r="J29" s="97" t="s">
        <v>231</v>
      </c>
      <c r="K29" s="98">
        <f t="shared" si="0"/>
        <v>2015</v>
      </c>
      <c r="L29" s="99">
        <v>4000</v>
      </c>
      <c r="M29" s="129">
        <v>0</v>
      </c>
      <c r="N29" s="129">
        <v>1</v>
      </c>
      <c r="O29" s="129">
        <v>1</v>
      </c>
      <c r="P29" s="129">
        <v>0</v>
      </c>
      <c r="Q29" s="130">
        <v>0</v>
      </c>
      <c r="R29" s="102">
        <v>1</v>
      </c>
      <c r="S29" s="135">
        <v>0</v>
      </c>
      <c r="T29" s="104">
        <v>4000</v>
      </c>
      <c r="U29" s="105">
        <v>4000</v>
      </c>
      <c r="V29" s="106">
        <v>4000</v>
      </c>
      <c r="W29" s="107">
        <v>0</v>
      </c>
      <c r="X29" s="105">
        <v>0</v>
      </c>
      <c r="Y29" s="97">
        <v>0</v>
      </c>
      <c r="Z29" s="108">
        <v>400000</v>
      </c>
      <c r="AA29" s="109">
        <f t="shared" ref="AA29" si="6">Z29-(AB29+AC29)</f>
        <v>0</v>
      </c>
      <c r="AB29" s="109">
        <f t="shared" ref="AB29" si="7">IF(I29&lt;$C$1,0,IF(H29&gt;$C$1,Z29-AC29,(I29-$C$1)/(I29-H29)*Z29-AC29))</f>
        <v>0</v>
      </c>
      <c r="AC29" s="109">
        <f t="shared" ref="AC29" si="8">IF(I29&lt;$D$1,0,IF(H29&gt;$D$1,Z29,(I29-$D$1)/(I29-H29)*Z29))</f>
        <v>400000</v>
      </c>
      <c r="AD29" s="110">
        <v>1</v>
      </c>
      <c r="AE29" s="110">
        <v>0.4</v>
      </c>
      <c r="AF29" s="110">
        <v>0.3</v>
      </c>
      <c r="AG29" s="135">
        <v>0.3</v>
      </c>
      <c r="AH29" s="134" t="s">
        <v>779</v>
      </c>
    </row>
    <row r="30" spans="3:34" s="128" customFormat="1" ht="40.15" customHeight="1" x14ac:dyDescent="0.2">
      <c r="C30" s="91" t="s">
        <v>232</v>
      </c>
      <c r="D30" s="92"/>
      <c r="E30" s="93" t="s">
        <v>780</v>
      </c>
      <c r="F30" s="92"/>
      <c r="G30" s="94" t="s">
        <v>781</v>
      </c>
      <c r="H30" s="95">
        <v>42095</v>
      </c>
      <c r="I30" s="96">
        <v>42094</v>
      </c>
      <c r="J30" s="97" t="s">
        <v>231</v>
      </c>
      <c r="K30" s="98">
        <f t="shared" si="0"/>
        <v>2015</v>
      </c>
      <c r="L30" s="99">
        <v>18227</v>
      </c>
      <c r="M30" s="680"/>
      <c r="N30" s="105">
        <v>18227</v>
      </c>
      <c r="O30" s="129"/>
      <c r="P30" s="129"/>
      <c r="Q30" s="130"/>
      <c r="R30" s="102">
        <v>1</v>
      </c>
      <c r="S30" s="135"/>
      <c r="T30" s="104"/>
      <c r="U30" s="105"/>
      <c r="V30" s="106"/>
      <c r="W30" s="107"/>
      <c r="X30" s="105"/>
      <c r="Y30" s="97"/>
      <c r="Z30" s="431"/>
      <c r="AA30" s="109">
        <f t="shared" ref="AA30" si="9">Z30-(AB30+AC30)</f>
        <v>0</v>
      </c>
      <c r="AB30" s="109">
        <f t="shared" ref="AB30" si="10">IF(I30&lt;$C$1,0,IF(H30&gt;$C$1,Z30-AC30,(I30-$C$1)/(I30-H30)*Z30-AC30))</f>
        <v>0</v>
      </c>
      <c r="AC30" s="109">
        <f t="shared" ref="AC30" si="11">IF(I30&lt;$D$1,0,IF(H30&gt;$D$1,Z30,(I30-$D$1)/(I30-H30)*Z30))</f>
        <v>0</v>
      </c>
      <c r="AD30" s="110"/>
      <c r="AE30" s="110">
        <v>0</v>
      </c>
      <c r="AF30" s="110"/>
      <c r="AG30" s="135"/>
      <c r="AH30" s="134" t="s">
        <v>782</v>
      </c>
    </row>
    <row r="31" spans="3:34" s="128" customFormat="1" ht="40.15" customHeight="1" x14ac:dyDescent="0.2">
      <c r="C31" s="91" t="s">
        <v>401</v>
      </c>
      <c r="D31" s="92" t="s">
        <v>402</v>
      </c>
      <c r="E31" s="93" t="s">
        <v>322</v>
      </c>
      <c r="F31" s="92" t="s">
        <v>403</v>
      </c>
      <c r="G31" s="94" t="s">
        <v>404</v>
      </c>
      <c r="H31" s="119">
        <v>41275</v>
      </c>
      <c r="I31" s="120">
        <v>41729</v>
      </c>
      <c r="J31" s="97" t="s">
        <v>417</v>
      </c>
      <c r="K31" s="98">
        <f t="shared" si="0"/>
        <v>2013</v>
      </c>
      <c r="L31" s="99">
        <f>8400+6500+4894</f>
        <v>19794</v>
      </c>
      <c r="M31" s="110">
        <f>8400/L31</f>
        <v>0.42437102152167322</v>
      </c>
      <c r="N31" s="110">
        <f>IF(M31="","",1-M31)</f>
        <v>0.57562897847832684</v>
      </c>
      <c r="O31" s="110">
        <v>0</v>
      </c>
      <c r="P31" s="110">
        <v>0</v>
      </c>
      <c r="Q31" s="103">
        <v>1</v>
      </c>
      <c r="R31" s="102">
        <v>1</v>
      </c>
      <c r="S31" s="135">
        <v>0</v>
      </c>
      <c r="T31" s="104">
        <f>262*20</f>
        <v>5240</v>
      </c>
      <c r="U31" s="105">
        <f>8400+(21*250)</f>
        <v>13650</v>
      </c>
      <c r="V31" s="106">
        <f>L31</f>
        <v>19794</v>
      </c>
      <c r="W31" s="107">
        <v>0</v>
      </c>
      <c r="X31" s="105">
        <v>0</v>
      </c>
      <c r="Y31" s="97">
        <v>0</v>
      </c>
      <c r="Z31" s="108">
        <v>774563</v>
      </c>
      <c r="AA31" s="109">
        <f t="shared" si="1"/>
        <v>622721.35462555068</v>
      </c>
      <c r="AB31" s="109">
        <f t="shared" si="3"/>
        <v>151841.64537444935</v>
      </c>
      <c r="AC31" s="109">
        <f t="shared" si="4"/>
        <v>0</v>
      </c>
      <c r="AD31" s="110">
        <v>1</v>
      </c>
      <c r="AE31" s="110">
        <v>0.2</v>
      </c>
      <c r="AF31" s="110">
        <v>0.22</v>
      </c>
      <c r="AG31" s="135">
        <v>0.57999999999999996</v>
      </c>
      <c r="AH31" s="137" t="s">
        <v>405</v>
      </c>
    </row>
    <row r="32" spans="3:34" s="128" customFormat="1" ht="40.15" customHeight="1" x14ac:dyDescent="0.2">
      <c r="C32" s="91" t="s">
        <v>401</v>
      </c>
      <c r="D32" s="92" t="s">
        <v>402</v>
      </c>
      <c r="E32" s="93" t="s">
        <v>327</v>
      </c>
      <c r="F32" s="92" t="s">
        <v>406</v>
      </c>
      <c r="G32" s="94" t="s">
        <v>407</v>
      </c>
      <c r="H32" s="119">
        <v>41275</v>
      </c>
      <c r="I32" s="120">
        <v>41729</v>
      </c>
      <c r="J32" s="97" t="s">
        <v>417</v>
      </c>
      <c r="K32" s="98">
        <f t="shared" si="0"/>
        <v>2013</v>
      </c>
      <c r="L32" s="99"/>
      <c r="M32" s="110"/>
      <c r="N32" s="110"/>
      <c r="O32" s="110"/>
      <c r="P32" s="110"/>
      <c r="Q32" s="103"/>
      <c r="R32" s="102"/>
      <c r="S32" s="135"/>
      <c r="T32" s="104"/>
      <c r="U32" s="105"/>
      <c r="V32" s="106"/>
      <c r="W32" s="107"/>
      <c r="X32" s="105"/>
      <c r="Y32" s="97"/>
      <c r="Z32" s="108">
        <v>515029</v>
      </c>
      <c r="AA32" s="109">
        <f t="shared" si="1"/>
        <v>414065.16519823787</v>
      </c>
      <c r="AB32" s="109">
        <f t="shared" si="3"/>
        <v>100963.83480176212</v>
      </c>
      <c r="AC32" s="109">
        <f t="shared" si="4"/>
        <v>0</v>
      </c>
      <c r="AD32" s="110"/>
      <c r="AE32" s="110"/>
      <c r="AF32" s="110"/>
      <c r="AG32" s="135"/>
      <c r="AH32" s="137"/>
    </row>
    <row r="33" spans="3:34" s="128" customFormat="1" ht="40.15" customHeight="1" x14ac:dyDescent="0.2">
      <c r="C33" s="91" t="s">
        <v>401</v>
      </c>
      <c r="D33" s="92" t="s">
        <v>402</v>
      </c>
      <c r="E33" s="93" t="s">
        <v>330</v>
      </c>
      <c r="F33" s="92" t="s">
        <v>408</v>
      </c>
      <c r="G33" s="94" t="s">
        <v>407</v>
      </c>
      <c r="H33" s="119">
        <v>41275</v>
      </c>
      <c r="I33" s="120">
        <v>41729</v>
      </c>
      <c r="J33" s="97" t="s">
        <v>417</v>
      </c>
      <c r="K33" s="98">
        <f t="shared" si="0"/>
        <v>2013</v>
      </c>
      <c r="L33" s="99"/>
      <c r="M33" s="110"/>
      <c r="N33" s="110"/>
      <c r="O33" s="110"/>
      <c r="P33" s="110"/>
      <c r="Q33" s="103"/>
      <c r="R33" s="102"/>
      <c r="S33" s="135"/>
      <c r="T33" s="104"/>
      <c r="U33" s="105"/>
      <c r="V33" s="106"/>
      <c r="W33" s="107"/>
      <c r="X33" s="105"/>
      <c r="Y33" s="97"/>
      <c r="Z33" s="108">
        <v>191487</v>
      </c>
      <c r="AA33" s="109">
        <f t="shared" si="1"/>
        <v>153948.79955947137</v>
      </c>
      <c r="AB33" s="109">
        <f t="shared" si="3"/>
        <v>37538.200440528635</v>
      </c>
      <c r="AC33" s="109">
        <f t="shared" si="4"/>
        <v>0</v>
      </c>
      <c r="AD33" s="110"/>
      <c r="AE33" s="110"/>
      <c r="AF33" s="110"/>
      <c r="AG33" s="135"/>
      <c r="AH33" s="137"/>
    </row>
    <row r="34" spans="3:34" s="128" customFormat="1" ht="40.15" customHeight="1" x14ac:dyDescent="0.2">
      <c r="C34" s="91" t="s">
        <v>401</v>
      </c>
      <c r="D34" s="92" t="s">
        <v>402</v>
      </c>
      <c r="E34" s="93" t="s">
        <v>673</v>
      </c>
      <c r="F34" s="92"/>
      <c r="G34" s="94" t="s">
        <v>606</v>
      </c>
      <c r="H34" s="119">
        <v>41760</v>
      </c>
      <c r="I34" s="120">
        <v>42155</v>
      </c>
      <c r="J34" s="97" t="s">
        <v>417</v>
      </c>
      <c r="K34" s="98">
        <f t="shared" ref="K34" si="12">YEAR(H34)</f>
        <v>2014</v>
      </c>
      <c r="L34" s="99">
        <v>23013</v>
      </c>
      <c r="M34" s="110">
        <f>9543/L34</f>
        <v>0.41467865988788943</v>
      </c>
      <c r="N34" s="110">
        <f t="shared" ref="N34" si="13">IF(M34="","",1-M34)</f>
        <v>0.58532134011211057</v>
      </c>
      <c r="O34" s="110">
        <v>0</v>
      </c>
      <c r="P34" s="110">
        <v>0</v>
      </c>
      <c r="Q34" s="103">
        <v>1</v>
      </c>
      <c r="R34" s="102">
        <v>1</v>
      </c>
      <c r="S34" s="135">
        <v>0</v>
      </c>
      <c r="T34" s="104">
        <v>23013</v>
      </c>
      <c r="U34" s="105">
        <v>23013</v>
      </c>
      <c r="V34" s="106">
        <f>L34</f>
        <v>23013</v>
      </c>
      <c r="W34" s="107">
        <v>0</v>
      </c>
      <c r="X34" s="105">
        <v>0</v>
      </c>
      <c r="Y34" s="97">
        <v>0</v>
      </c>
      <c r="Z34" s="108">
        <v>711973</v>
      </c>
      <c r="AA34" s="109">
        <f t="shared" ref="AA34" si="14">Z34-(AB34+AC34)</f>
        <v>0</v>
      </c>
      <c r="AB34" s="109">
        <f t="shared" ref="AB34" si="15">IF(I34&lt;$C$1,0,IF(H34&gt;$C$1,Z34-AC34,(I34-$C$1)/(I34-H34)*Z34-AC34))</f>
        <v>439801.04303797468</v>
      </c>
      <c r="AC34" s="109">
        <f t="shared" ref="AC34" si="16">IF(I34&lt;$D$1,0,IF(H34&gt;$D$1,Z34,(I34-$D$1)/(I34-H34)*Z34))</f>
        <v>272171.95696202532</v>
      </c>
      <c r="AD34" s="110">
        <v>1</v>
      </c>
      <c r="AE34" s="110">
        <v>0.16</v>
      </c>
      <c r="AF34" s="110">
        <v>0.09</v>
      </c>
      <c r="AG34" s="135">
        <v>0.75</v>
      </c>
      <c r="AH34" s="137" t="s">
        <v>607</v>
      </c>
    </row>
    <row r="35" spans="3:34" s="128" customFormat="1" ht="40.15" customHeight="1" x14ac:dyDescent="0.2">
      <c r="C35" s="699" t="s">
        <v>401</v>
      </c>
      <c r="D35" s="709" t="s">
        <v>790</v>
      </c>
      <c r="E35" s="710" t="s">
        <v>330</v>
      </c>
      <c r="F35" s="709"/>
      <c r="G35" s="715" t="s">
        <v>791</v>
      </c>
      <c r="H35" s="713" t="s">
        <v>792</v>
      </c>
      <c r="I35" s="714" t="s">
        <v>793</v>
      </c>
      <c r="J35" s="706" t="s">
        <v>231</v>
      </c>
      <c r="K35" s="701">
        <v>2015</v>
      </c>
      <c r="L35" s="99">
        <v>13880</v>
      </c>
      <c r="M35" s="110"/>
      <c r="N35" s="702">
        <v>1</v>
      </c>
      <c r="O35" s="702">
        <v>0</v>
      </c>
      <c r="P35" s="702"/>
      <c r="Q35" s="703"/>
      <c r="R35" s="704">
        <v>1</v>
      </c>
      <c r="S35" s="705">
        <v>0</v>
      </c>
      <c r="T35" s="711">
        <v>13880</v>
      </c>
      <c r="U35" s="706">
        <v>13880</v>
      </c>
      <c r="V35" s="712">
        <v>13880</v>
      </c>
      <c r="W35" s="700"/>
      <c r="X35" s="706"/>
      <c r="Y35" s="707"/>
      <c r="Z35" s="708">
        <v>83010</v>
      </c>
      <c r="AA35" s="109">
        <f>Z35-(AB35+AC35)</f>
        <v>0</v>
      </c>
      <c r="AB35" s="109">
        <f>IF(I35&lt;$C$1,0,IF(H35&gt;$C$1,Z35-AC35,(I35-$C$1)/(I35-H35)*Z35-AC35))</f>
        <v>0</v>
      </c>
      <c r="AC35" s="109">
        <f>IF(I35&lt;$D$1,0,IF(H35&gt;$D$1,Z35,(I35-$D$1)/(I35-H35)*Z35))</f>
        <v>83010</v>
      </c>
      <c r="AD35" s="110">
        <v>1</v>
      </c>
      <c r="AE35" s="110"/>
      <c r="AF35" s="110"/>
      <c r="AG35" s="135"/>
      <c r="AH35" s="137"/>
    </row>
    <row r="36" spans="3:34" s="128" customFormat="1" ht="40.15" customHeight="1" x14ac:dyDescent="0.2">
      <c r="C36" s="91" t="s">
        <v>401</v>
      </c>
      <c r="D36" s="92" t="s">
        <v>402</v>
      </c>
      <c r="E36" s="93" t="s">
        <v>322</v>
      </c>
      <c r="F36" s="92"/>
      <c r="G36" s="696" t="s">
        <v>789</v>
      </c>
      <c r="H36" s="693">
        <v>42217</v>
      </c>
      <c r="I36" s="694">
        <v>42369</v>
      </c>
      <c r="J36" s="695" t="s">
        <v>231</v>
      </c>
      <c r="K36" s="98">
        <f t="shared" si="0"/>
        <v>2015</v>
      </c>
      <c r="L36" s="683">
        <v>4735</v>
      </c>
      <c r="M36" s="691"/>
      <c r="N36" s="691">
        <v>1</v>
      </c>
      <c r="O36" s="691"/>
      <c r="P36" s="691"/>
      <c r="Q36" s="692">
        <v>1</v>
      </c>
      <c r="R36" s="684">
        <v>1</v>
      </c>
      <c r="S36" s="685"/>
      <c r="T36" s="686">
        <v>4735</v>
      </c>
      <c r="U36" s="687">
        <v>4735</v>
      </c>
      <c r="V36" s="688">
        <v>4735</v>
      </c>
      <c r="W36" s="689"/>
      <c r="X36" s="687"/>
      <c r="Y36" s="682"/>
      <c r="Z36" s="690">
        <v>107174</v>
      </c>
      <c r="AA36" s="109">
        <f t="shared" ref="AA36" si="17">Z36-(AB36+AC36)</f>
        <v>0</v>
      </c>
      <c r="AB36" s="109">
        <f t="shared" ref="AB36" si="18">IF(I36&lt;$C$1,0,IF(H36&gt;$C$1,Z36-AC36,(I36-$C$1)/(I36-H36)*Z36-AC36))</f>
        <v>0</v>
      </c>
      <c r="AC36" s="109">
        <f t="shared" ref="AC36" si="19">IF(I36&lt;$D$1,0,IF(H36&gt;$D$1,Z36,(I36-$D$1)/(I36-H36)*Z36))</f>
        <v>107174</v>
      </c>
      <c r="AD36" s="697">
        <v>1</v>
      </c>
      <c r="AE36" s="697">
        <v>0.31829548211319908</v>
      </c>
      <c r="AF36" s="697">
        <v>0.10458693339802565</v>
      </c>
      <c r="AG36" s="698">
        <v>0.5768656577154907</v>
      </c>
      <c r="AH36" s="137"/>
    </row>
    <row r="37" spans="3:34" s="128" customFormat="1" ht="40.15" customHeight="1" x14ac:dyDescent="0.2">
      <c r="C37" s="91" t="s">
        <v>409</v>
      </c>
      <c r="D37" s="92" t="s">
        <v>234</v>
      </c>
      <c r="E37" s="93" t="s">
        <v>323</v>
      </c>
      <c r="F37" s="92"/>
      <c r="G37" s="150" t="s">
        <v>774</v>
      </c>
      <c r="H37" s="139">
        <v>42005</v>
      </c>
      <c r="I37" s="140">
        <v>42277</v>
      </c>
      <c r="J37" s="97" t="s">
        <v>231</v>
      </c>
      <c r="K37" s="98">
        <f t="shared" si="0"/>
        <v>2015</v>
      </c>
      <c r="L37" s="675">
        <v>3088</v>
      </c>
      <c r="M37" s="155">
        <v>0</v>
      </c>
      <c r="N37" s="155">
        <f t="shared" ref="N37:N41" si="20">IF(M37="","",1-M37)</f>
        <v>1</v>
      </c>
      <c r="O37" s="155">
        <v>1</v>
      </c>
      <c r="P37" s="155">
        <v>0</v>
      </c>
      <c r="Q37" s="156">
        <v>0</v>
      </c>
      <c r="R37" s="157">
        <v>1</v>
      </c>
      <c r="S37" s="165">
        <v>0</v>
      </c>
      <c r="T37" s="676">
        <v>0</v>
      </c>
      <c r="U37" s="677">
        <v>0</v>
      </c>
      <c r="V37" s="678">
        <v>3088</v>
      </c>
      <c r="W37" s="679">
        <v>0</v>
      </c>
      <c r="X37" s="677">
        <v>0</v>
      </c>
      <c r="Y37" s="153">
        <v>0</v>
      </c>
      <c r="Z37" s="163">
        <v>75653</v>
      </c>
      <c r="AA37" s="109">
        <f t="shared" si="1"/>
        <v>0</v>
      </c>
      <c r="AB37" s="109">
        <f t="shared" si="3"/>
        <v>0</v>
      </c>
      <c r="AC37" s="109">
        <f t="shared" si="4"/>
        <v>75653</v>
      </c>
      <c r="AD37" s="110"/>
      <c r="AE37" s="110"/>
      <c r="AF37" s="110"/>
      <c r="AG37" s="135"/>
      <c r="AH37" s="134" t="s">
        <v>775</v>
      </c>
    </row>
    <row r="38" spans="3:34" s="128" customFormat="1" ht="40.15" customHeight="1" x14ac:dyDescent="0.2">
      <c r="C38" s="91" t="s">
        <v>410</v>
      </c>
      <c r="D38" s="92" t="s">
        <v>284</v>
      </c>
      <c r="E38" s="93" t="s">
        <v>322</v>
      </c>
      <c r="F38" s="92"/>
      <c r="G38" s="94" t="s">
        <v>411</v>
      </c>
      <c r="H38" s="119">
        <v>41426</v>
      </c>
      <c r="I38" s="120">
        <v>41698</v>
      </c>
      <c r="J38" s="97" t="s">
        <v>417</v>
      </c>
      <c r="K38" s="98">
        <f t="shared" si="0"/>
        <v>2013</v>
      </c>
      <c r="L38" s="121">
        <v>9566</v>
      </c>
      <c r="M38" s="110">
        <v>0.86</v>
      </c>
      <c r="N38" s="110">
        <f t="shared" si="20"/>
        <v>0.14000000000000001</v>
      </c>
      <c r="O38" s="110">
        <v>0.89</v>
      </c>
      <c r="P38" s="110">
        <v>0</v>
      </c>
      <c r="Q38" s="103">
        <v>0.11</v>
      </c>
      <c r="R38" s="102">
        <v>1</v>
      </c>
      <c r="S38" s="135">
        <v>0</v>
      </c>
      <c r="T38" s="122">
        <v>1905</v>
      </c>
      <c r="U38" s="123">
        <v>9566</v>
      </c>
      <c r="V38" s="124">
        <v>9566</v>
      </c>
      <c r="W38" s="138">
        <v>0</v>
      </c>
      <c r="X38" s="105">
        <v>0</v>
      </c>
      <c r="Y38" s="97">
        <v>0</v>
      </c>
      <c r="Z38" s="108">
        <v>264760</v>
      </c>
      <c r="AA38" s="109">
        <f t="shared" si="1"/>
        <v>208303.82352941178</v>
      </c>
      <c r="AB38" s="109">
        <f t="shared" si="3"/>
        <v>56456.176470588231</v>
      </c>
      <c r="AC38" s="109">
        <f t="shared" si="4"/>
        <v>0</v>
      </c>
      <c r="AD38" s="110">
        <v>0.8</v>
      </c>
      <c r="AE38" s="110">
        <v>0.13</v>
      </c>
      <c r="AF38" s="110">
        <v>0.14000000000000001</v>
      </c>
      <c r="AG38" s="135">
        <v>0.73</v>
      </c>
      <c r="AH38" s="134"/>
    </row>
    <row r="39" spans="3:34" s="128" customFormat="1" ht="40.15" customHeight="1" x14ac:dyDescent="0.2">
      <c r="C39" s="91" t="s">
        <v>410</v>
      </c>
      <c r="D39" s="92" t="s">
        <v>284</v>
      </c>
      <c r="E39" s="93" t="s">
        <v>473</v>
      </c>
      <c r="F39" s="92"/>
      <c r="G39" s="94" t="s">
        <v>474</v>
      </c>
      <c r="H39" s="119">
        <v>41640</v>
      </c>
      <c r="I39" s="120">
        <v>42004</v>
      </c>
      <c r="J39" s="97" t="s">
        <v>417</v>
      </c>
      <c r="K39" s="98">
        <f t="shared" si="0"/>
        <v>2014</v>
      </c>
      <c r="L39" s="121"/>
      <c r="M39" s="110">
        <v>0</v>
      </c>
      <c r="N39" s="110">
        <f t="shared" si="20"/>
        <v>1</v>
      </c>
      <c r="O39" s="110">
        <v>0.89</v>
      </c>
      <c r="P39" s="110">
        <v>0</v>
      </c>
      <c r="Q39" s="103">
        <v>0.11</v>
      </c>
      <c r="R39" s="102">
        <v>1</v>
      </c>
      <c r="S39" s="135">
        <v>0</v>
      </c>
      <c r="T39" s="122">
        <v>1905</v>
      </c>
      <c r="U39" s="123">
        <v>9566</v>
      </c>
      <c r="V39" s="124">
        <v>9566</v>
      </c>
      <c r="W39" s="138">
        <v>0</v>
      </c>
      <c r="X39" s="105">
        <v>0</v>
      </c>
      <c r="Y39" s="97">
        <v>0</v>
      </c>
      <c r="Z39" s="108">
        <v>17000</v>
      </c>
      <c r="AA39" s="109">
        <f t="shared" si="1"/>
        <v>0</v>
      </c>
      <c r="AB39" s="109">
        <f t="shared" si="3"/>
        <v>17000</v>
      </c>
      <c r="AC39" s="109">
        <f t="shared" si="4"/>
        <v>0</v>
      </c>
      <c r="AD39" s="110"/>
      <c r="AE39" s="110"/>
      <c r="AF39" s="110"/>
      <c r="AG39" s="135"/>
      <c r="AH39" s="134"/>
    </row>
    <row r="40" spans="3:34" s="128" customFormat="1" ht="40.15" customHeight="1" x14ac:dyDescent="0.2">
      <c r="C40" s="91" t="s">
        <v>410</v>
      </c>
      <c r="D40" s="92" t="s">
        <v>284</v>
      </c>
      <c r="E40" s="93" t="s">
        <v>324</v>
      </c>
      <c r="F40" s="92"/>
      <c r="G40" s="94" t="s">
        <v>475</v>
      </c>
      <c r="H40" s="119">
        <v>41640</v>
      </c>
      <c r="I40" s="120">
        <v>42185</v>
      </c>
      <c r="J40" s="97" t="s">
        <v>412</v>
      </c>
      <c r="K40" s="98">
        <f t="shared" si="0"/>
        <v>2014</v>
      </c>
      <c r="L40" s="121">
        <v>8010</v>
      </c>
      <c r="M40" s="110">
        <v>0.93</v>
      </c>
      <c r="N40" s="110">
        <f t="shared" si="20"/>
        <v>6.9999999999999951E-2</v>
      </c>
      <c r="O40" s="574">
        <v>0.1</v>
      </c>
      <c r="P40" s="574">
        <v>0.9</v>
      </c>
      <c r="Q40" s="575">
        <v>0</v>
      </c>
      <c r="R40" s="571">
        <v>1</v>
      </c>
      <c r="S40" s="572">
        <v>0</v>
      </c>
      <c r="T40" s="576">
        <v>8010</v>
      </c>
      <c r="U40" s="577">
        <v>8010</v>
      </c>
      <c r="V40" s="578">
        <v>8010</v>
      </c>
      <c r="W40" s="579">
        <v>0</v>
      </c>
      <c r="X40" s="580">
        <v>0</v>
      </c>
      <c r="Y40" s="570">
        <v>0</v>
      </c>
      <c r="Z40" s="573">
        <v>102308</v>
      </c>
      <c r="AA40" s="109">
        <f t="shared" si="1"/>
        <v>0</v>
      </c>
      <c r="AB40" s="109">
        <f t="shared" si="3"/>
        <v>68330.480733944947</v>
      </c>
      <c r="AC40" s="109">
        <f t="shared" si="4"/>
        <v>33977.519266055046</v>
      </c>
      <c r="AD40" s="731"/>
      <c r="AE40" s="731"/>
      <c r="AF40" s="731"/>
      <c r="AG40" s="732"/>
      <c r="AH40" s="134"/>
    </row>
    <row r="41" spans="3:34" s="128" customFormat="1" ht="40.15" customHeight="1" x14ac:dyDescent="0.2">
      <c r="C41" s="91" t="s">
        <v>410</v>
      </c>
      <c r="D41" s="92" t="s">
        <v>284</v>
      </c>
      <c r="E41" s="93" t="s">
        <v>476</v>
      </c>
      <c r="F41" s="92"/>
      <c r="G41" s="94" t="s">
        <v>477</v>
      </c>
      <c r="H41" s="119">
        <v>41640</v>
      </c>
      <c r="I41" s="120">
        <v>41891</v>
      </c>
      <c r="J41" s="97" t="s">
        <v>417</v>
      </c>
      <c r="K41" s="98">
        <f t="shared" si="0"/>
        <v>2014</v>
      </c>
      <c r="L41" s="121"/>
      <c r="M41" s="110">
        <v>0.47</v>
      </c>
      <c r="N41" s="110">
        <f t="shared" si="20"/>
        <v>0.53</v>
      </c>
      <c r="O41" s="110"/>
      <c r="P41" s="110"/>
      <c r="Q41" s="103"/>
      <c r="R41" s="102"/>
      <c r="S41" s="135"/>
      <c r="T41" s="122"/>
      <c r="U41" s="123"/>
      <c r="V41" s="124"/>
      <c r="W41" s="138"/>
      <c r="X41" s="105"/>
      <c r="Y41" s="97"/>
      <c r="Z41" s="108">
        <v>80400</v>
      </c>
      <c r="AA41" s="109">
        <f t="shared" si="1"/>
        <v>0</v>
      </c>
      <c r="AB41" s="109">
        <f t="shared" si="3"/>
        <v>80400</v>
      </c>
      <c r="AC41" s="109">
        <f t="shared" si="4"/>
        <v>0</v>
      </c>
      <c r="AD41" s="731"/>
      <c r="AE41" s="731"/>
      <c r="AF41" s="731"/>
      <c r="AG41" s="732"/>
      <c r="AH41" s="134"/>
    </row>
    <row r="42" spans="3:34" s="128" customFormat="1" ht="40.15" customHeight="1" x14ac:dyDescent="0.2">
      <c r="C42" s="91" t="s">
        <v>410</v>
      </c>
      <c r="D42" s="92"/>
      <c r="E42" s="93" t="s">
        <v>253</v>
      </c>
      <c r="F42" s="92" t="s">
        <v>325</v>
      </c>
      <c r="G42" s="94" t="s">
        <v>629</v>
      </c>
      <c r="H42" s="119">
        <v>41822</v>
      </c>
      <c r="I42" s="730">
        <v>42063</v>
      </c>
      <c r="J42" s="97" t="s">
        <v>417</v>
      </c>
      <c r="K42" s="98">
        <f t="shared" si="0"/>
        <v>2014</v>
      </c>
      <c r="L42" s="121">
        <v>10837</v>
      </c>
      <c r="M42" s="110">
        <f>4695/L42</f>
        <v>0.43323798099104921</v>
      </c>
      <c r="N42" s="110">
        <v>0.56999999999999995</v>
      </c>
      <c r="O42" s="110">
        <f>(736+1843)/L42</f>
        <v>0.23798099104918335</v>
      </c>
      <c r="P42" s="110">
        <v>0</v>
      </c>
      <c r="Q42" s="103">
        <v>0.76</v>
      </c>
      <c r="R42" s="102">
        <v>1</v>
      </c>
      <c r="S42" s="135">
        <v>0</v>
      </c>
      <c r="T42" s="122">
        <v>10837</v>
      </c>
      <c r="U42" s="123">
        <v>10837</v>
      </c>
      <c r="V42" s="124">
        <v>10837</v>
      </c>
      <c r="W42" s="138">
        <v>0</v>
      </c>
      <c r="X42" s="105">
        <v>0</v>
      </c>
      <c r="Y42" s="97">
        <v>0</v>
      </c>
      <c r="Z42" s="108">
        <v>455030</v>
      </c>
      <c r="AA42" s="109">
        <f t="shared" si="1"/>
        <v>0</v>
      </c>
      <c r="AB42" s="109">
        <f t="shared" si="3"/>
        <v>343632.61410788383</v>
      </c>
      <c r="AC42" s="109">
        <f t="shared" si="4"/>
        <v>111397.38589211617</v>
      </c>
      <c r="AD42" s="110">
        <v>1</v>
      </c>
      <c r="AE42" s="110">
        <v>7.0000000000000007E-2</v>
      </c>
      <c r="AF42" s="110">
        <v>0.18</v>
      </c>
      <c r="AG42" s="135">
        <v>0.75</v>
      </c>
      <c r="AH42" s="134"/>
    </row>
    <row r="43" spans="3:34" s="128" customFormat="1" ht="40.15" customHeight="1" x14ac:dyDescent="0.2">
      <c r="C43" s="91" t="s">
        <v>410</v>
      </c>
      <c r="D43" s="92"/>
      <c r="E43" s="93" t="s">
        <v>322</v>
      </c>
      <c r="F43" s="92"/>
      <c r="G43" s="594" t="s">
        <v>750</v>
      </c>
      <c r="H43" s="586">
        <v>41821</v>
      </c>
      <c r="I43" s="587">
        <v>42247</v>
      </c>
      <c r="J43" s="581" t="s">
        <v>231</v>
      </c>
      <c r="K43" s="98">
        <f t="shared" si="0"/>
        <v>2014</v>
      </c>
      <c r="L43" s="588">
        <v>13266</v>
      </c>
      <c r="M43" s="585">
        <v>0.75</v>
      </c>
      <c r="N43" s="585">
        <v>0.25</v>
      </c>
      <c r="O43" s="585">
        <v>0.25</v>
      </c>
      <c r="P43" s="585">
        <v>0.75</v>
      </c>
      <c r="Q43" s="589">
        <v>0</v>
      </c>
      <c r="R43" s="582">
        <v>1</v>
      </c>
      <c r="S43" s="583">
        <v>0</v>
      </c>
      <c r="T43" s="590">
        <v>13266</v>
      </c>
      <c r="U43" s="591">
        <v>13266</v>
      </c>
      <c r="V43" s="592">
        <v>13266</v>
      </c>
      <c r="W43" s="593">
        <v>0</v>
      </c>
      <c r="X43" s="595">
        <v>0</v>
      </c>
      <c r="Y43" s="581">
        <v>0</v>
      </c>
      <c r="Z43" s="584">
        <v>419947</v>
      </c>
      <c r="AA43" s="109">
        <f t="shared" ref="AA43" si="21">Z43-(AB43+AC43)</f>
        <v>0</v>
      </c>
      <c r="AB43" s="109">
        <f t="shared" ref="AB43" si="22">IF(I43&lt;$C$1,0,IF(H43&gt;$C$1,Z43-AC43,(I43-$C$1)/(I43-H43)*Z43-AC43))</f>
        <v>180399.7676056338</v>
      </c>
      <c r="AC43" s="109">
        <f t="shared" ref="AC43" si="23">IF(I43&lt;$D$1,0,IF(H43&gt;$D$1,Z43,(I43-$D$1)/(I43-H43)*Z43))</f>
        <v>239547.2323943662</v>
      </c>
      <c r="AD43" s="110">
        <v>1</v>
      </c>
      <c r="AE43" s="110">
        <v>7.0000000000000007E-2</v>
      </c>
      <c r="AF43" s="110">
        <v>0.18</v>
      </c>
      <c r="AG43" s="135">
        <v>0.75</v>
      </c>
      <c r="AH43" s="134"/>
    </row>
    <row r="44" spans="3:34" s="128" customFormat="1" ht="40.15" customHeight="1" x14ac:dyDescent="0.2">
      <c r="C44" s="91" t="s">
        <v>410</v>
      </c>
      <c r="D44" s="92"/>
      <c r="E44" s="93" t="s">
        <v>324</v>
      </c>
      <c r="F44" s="92"/>
      <c r="G44" s="594" t="s">
        <v>752</v>
      </c>
      <c r="H44" s="596">
        <v>42008</v>
      </c>
      <c r="I44" s="120">
        <v>42460</v>
      </c>
      <c r="J44" s="97" t="s">
        <v>231</v>
      </c>
      <c r="K44" s="98">
        <f t="shared" ref="K44" si="24">YEAR(H44)</f>
        <v>2015</v>
      </c>
      <c r="L44" s="601">
        <v>1140</v>
      </c>
      <c r="M44" s="600">
        <v>0</v>
      </c>
      <c r="N44" s="600">
        <v>1</v>
      </c>
      <c r="O44" s="600">
        <v>1</v>
      </c>
      <c r="P44" s="600">
        <v>0</v>
      </c>
      <c r="Q44" s="602">
        <v>0</v>
      </c>
      <c r="R44" s="598">
        <v>1</v>
      </c>
      <c r="S44" s="599">
        <v>0</v>
      </c>
      <c r="T44" s="603">
        <v>1140</v>
      </c>
      <c r="U44" s="604">
        <v>1140</v>
      </c>
      <c r="V44" s="605">
        <v>1140</v>
      </c>
      <c r="W44" s="606">
        <v>0</v>
      </c>
      <c r="X44" s="607">
        <v>0</v>
      </c>
      <c r="Y44" s="597">
        <v>0</v>
      </c>
      <c r="Z44" s="108">
        <v>236184</v>
      </c>
      <c r="AA44" s="109">
        <f t="shared" ref="AA44" si="25">Z44-(AB44+AC44)</f>
        <v>0</v>
      </c>
      <c r="AB44" s="109">
        <f t="shared" ref="AB44" si="26">IF(I44&lt;$C$1,0,IF(H44&gt;$C$1,Z44-AC44,(I44-$C$1)/(I44-H44)*Z44-AC44))</f>
        <v>0</v>
      </c>
      <c r="AC44" s="109">
        <f t="shared" ref="AC44" si="27">IF(I44&lt;$D$1,0,IF(H44&gt;$D$1,Z44,(I44-$D$1)/(I44-H44)*Z44))</f>
        <v>236184</v>
      </c>
      <c r="AD44" s="110">
        <v>1</v>
      </c>
      <c r="AE44" s="110">
        <v>7.0000000000000007E-2</v>
      </c>
      <c r="AF44" s="110">
        <v>0.18</v>
      </c>
      <c r="AG44" s="135">
        <v>0.75</v>
      </c>
      <c r="AH44" s="134"/>
    </row>
    <row r="45" spans="3:34" s="128" customFormat="1" ht="40.15" customHeight="1" x14ac:dyDescent="0.2">
      <c r="C45" s="91" t="s">
        <v>275</v>
      </c>
      <c r="D45" s="92"/>
      <c r="E45" s="93" t="s">
        <v>253</v>
      </c>
      <c r="F45" s="92" t="s">
        <v>325</v>
      </c>
      <c r="G45" s="94" t="s">
        <v>397</v>
      </c>
      <c r="H45" s="119">
        <v>41632</v>
      </c>
      <c r="I45" s="120">
        <v>41943</v>
      </c>
      <c r="J45" s="97" t="s">
        <v>417</v>
      </c>
      <c r="K45" s="98">
        <f t="shared" si="0"/>
        <v>2013</v>
      </c>
      <c r="L45" s="121">
        <v>6184</v>
      </c>
      <c r="M45" s="110">
        <v>0</v>
      </c>
      <c r="N45" s="110">
        <f>IF(M45="","",1-M45)</f>
        <v>1</v>
      </c>
      <c r="O45" s="110">
        <v>0</v>
      </c>
      <c r="P45" s="110">
        <v>0</v>
      </c>
      <c r="Q45" s="103">
        <v>1</v>
      </c>
      <c r="R45" s="102">
        <v>1</v>
      </c>
      <c r="S45" s="135">
        <v>0</v>
      </c>
      <c r="T45" s="122">
        <v>3538</v>
      </c>
      <c r="U45" s="123">
        <v>2913</v>
      </c>
      <c r="V45" s="124">
        <v>2238</v>
      </c>
      <c r="W45" s="138">
        <v>0</v>
      </c>
      <c r="X45" s="105">
        <v>0</v>
      </c>
      <c r="Y45" s="97">
        <v>0</v>
      </c>
      <c r="Z45" s="108">
        <v>306018</v>
      </c>
      <c r="AA45" s="109">
        <f t="shared" si="1"/>
        <v>7871.8456591639551</v>
      </c>
      <c r="AB45" s="109">
        <f t="shared" si="3"/>
        <v>298146.15434083604</v>
      </c>
      <c r="AC45" s="109">
        <f t="shared" si="4"/>
        <v>0</v>
      </c>
      <c r="AD45" s="110">
        <v>1</v>
      </c>
      <c r="AE45" s="110">
        <v>0.42000000000000004</v>
      </c>
      <c r="AF45" s="110">
        <v>0.24</v>
      </c>
      <c r="AG45" s="135">
        <v>0.34</v>
      </c>
      <c r="AH45" s="134"/>
    </row>
    <row r="46" spans="3:34" s="128" customFormat="1" ht="40.15" customHeight="1" x14ac:dyDescent="0.2">
      <c r="C46" s="430" t="s">
        <v>740</v>
      </c>
      <c r="D46" s="92"/>
      <c r="E46" s="93" t="s">
        <v>253</v>
      </c>
      <c r="F46" s="92"/>
      <c r="G46" s="94" t="s">
        <v>413</v>
      </c>
      <c r="H46" s="95">
        <v>41064</v>
      </c>
      <c r="I46" s="96">
        <v>41290</v>
      </c>
      <c r="J46" s="97" t="s">
        <v>417</v>
      </c>
      <c r="K46" s="98">
        <f t="shared" si="0"/>
        <v>2012</v>
      </c>
      <c r="L46" s="99">
        <v>11524</v>
      </c>
      <c r="M46" s="110">
        <v>0.22</v>
      </c>
      <c r="N46" s="110">
        <f>IF(M46="","",1-M46)</f>
        <v>0.78</v>
      </c>
      <c r="O46" s="110">
        <v>0</v>
      </c>
      <c r="P46" s="110">
        <v>1</v>
      </c>
      <c r="Q46" s="103">
        <v>0</v>
      </c>
      <c r="R46" s="102">
        <v>1</v>
      </c>
      <c r="S46" s="135">
        <v>0</v>
      </c>
      <c r="T46" s="104">
        <f>6711+2313</f>
        <v>9024</v>
      </c>
      <c r="U46" s="105">
        <f>6711+2313</f>
        <v>9024</v>
      </c>
      <c r="V46" s="106">
        <f>6711+2313</f>
        <v>9024</v>
      </c>
      <c r="W46" s="107">
        <v>2500</v>
      </c>
      <c r="X46" s="105">
        <v>2500</v>
      </c>
      <c r="Y46" s="97">
        <v>2500</v>
      </c>
      <c r="Z46" s="108">
        <v>220000</v>
      </c>
      <c r="AA46" s="109">
        <f t="shared" si="1"/>
        <v>220000</v>
      </c>
      <c r="AB46" s="109">
        <f t="shared" si="3"/>
        <v>0</v>
      </c>
      <c r="AC46" s="109">
        <f t="shared" si="4"/>
        <v>0</v>
      </c>
      <c r="AD46" s="110">
        <v>0.85</v>
      </c>
      <c r="AE46" s="110">
        <v>0.33</v>
      </c>
      <c r="AF46" s="110">
        <v>0.23</v>
      </c>
      <c r="AG46" s="135">
        <v>0.44</v>
      </c>
      <c r="AH46" s="134"/>
    </row>
    <row r="47" spans="3:34" s="128" customFormat="1" ht="40.15" customHeight="1" x14ac:dyDescent="0.2">
      <c r="C47" s="430" t="s">
        <v>740</v>
      </c>
      <c r="D47" s="92"/>
      <c r="E47" s="93" t="s">
        <v>253</v>
      </c>
      <c r="F47" s="92"/>
      <c r="G47" s="94" t="s">
        <v>413</v>
      </c>
      <c r="H47" s="95">
        <v>41240</v>
      </c>
      <c r="I47" s="96">
        <v>41331</v>
      </c>
      <c r="J47" s="97" t="s">
        <v>417</v>
      </c>
      <c r="K47" s="98">
        <f t="shared" si="0"/>
        <v>2012</v>
      </c>
      <c r="L47" s="99">
        <v>7000</v>
      </c>
      <c r="M47" s="110">
        <v>0</v>
      </c>
      <c r="N47" s="110">
        <v>1</v>
      </c>
      <c r="O47" s="110">
        <v>0</v>
      </c>
      <c r="P47" s="110">
        <v>1</v>
      </c>
      <c r="Q47" s="103">
        <v>0</v>
      </c>
      <c r="R47" s="102">
        <v>1</v>
      </c>
      <c r="S47" s="135">
        <v>0</v>
      </c>
      <c r="T47" s="104">
        <v>7000</v>
      </c>
      <c r="U47" s="105">
        <v>7000</v>
      </c>
      <c r="V47" s="106">
        <v>7000</v>
      </c>
      <c r="W47" s="107"/>
      <c r="X47" s="105"/>
      <c r="Y47" s="97"/>
      <c r="Z47" s="108">
        <v>158854</v>
      </c>
      <c r="AA47" s="109">
        <f t="shared" si="1"/>
        <v>158854</v>
      </c>
      <c r="AB47" s="109">
        <f t="shared" si="3"/>
        <v>0</v>
      </c>
      <c r="AC47" s="109">
        <f t="shared" si="4"/>
        <v>0</v>
      </c>
      <c r="AD47" s="110">
        <v>1</v>
      </c>
      <c r="AE47" s="110">
        <f>(10950+71640+14328)/(10950+1556+71640+1500+1365+14328)</f>
        <v>0.95637415012976246</v>
      </c>
      <c r="AF47" s="110">
        <f>(1556)/(10950+1556+71640+1500+1365+14328)</f>
        <v>1.5354404523431255E-2</v>
      </c>
      <c r="AG47" s="135">
        <f>(1500+1365)/(10950+1556+71640+1500+1365+14328)</f>
        <v>2.8271445346806263E-2</v>
      </c>
      <c r="AH47" s="134"/>
    </row>
    <row r="48" spans="3:34" s="128" customFormat="1" ht="40.15" customHeight="1" x14ac:dyDescent="0.2">
      <c r="C48" s="430" t="s">
        <v>740</v>
      </c>
      <c r="D48" s="92"/>
      <c r="E48" s="93" t="s">
        <v>322</v>
      </c>
      <c r="F48" s="92"/>
      <c r="G48" s="94" t="s">
        <v>414</v>
      </c>
      <c r="H48" s="139">
        <v>41426</v>
      </c>
      <c r="I48" s="140">
        <v>41790</v>
      </c>
      <c r="J48" s="141" t="s">
        <v>417</v>
      </c>
      <c r="K48" s="142">
        <f t="shared" si="0"/>
        <v>2013</v>
      </c>
      <c r="L48" s="99">
        <v>13020</v>
      </c>
      <c r="M48" s="110">
        <f>7900/L48</f>
        <v>0.60675883256528418</v>
      </c>
      <c r="N48" s="110">
        <f t="shared" ref="N48:N62" si="28">IF(M48="","",1-M48)</f>
        <v>0.39324116743471582</v>
      </c>
      <c r="O48" s="110">
        <v>0</v>
      </c>
      <c r="P48" s="110">
        <v>1</v>
      </c>
      <c r="Q48" s="103">
        <v>0</v>
      </c>
      <c r="R48" s="102">
        <v>1</v>
      </c>
      <c r="S48" s="135">
        <v>0</v>
      </c>
      <c r="T48" s="104">
        <v>5120</v>
      </c>
      <c r="U48" s="105">
        <f>5120+7900</f>
        <v>13020</v>
      </c>
      <c r="V48" s="106">
        <v>5120</v>
      </c>
      <c r="W48" s="107">
        <v>0</v>
      </c>
      <c r="X48" s="105">
        <v>0</v>
      </c>
      <c r="Y48" s="97">
        <v>0</v>
      </c>
      <c r="Z48" s="108">
        <v>796569</v>
      </c>
      <c r="AA48" s="109">
        <f t="shared" si="1"/>
        <v>468312.54395604396</v>
      </c>
      <c r="AB48" s="109">
        <f t="shared" si="3"/>
        <v>328256.45604395604</v>
      </c>
      <c r="AC48" s="109">
        <f t="shared" si="4"/>
        <v>0</v>
      </c>
      <c r="AD48" s="110">
        <v>1</v>
      </c>
      <c r="AE48" s="110">
        <v>0.23</v>
      </c>
      <c r="AF48" s="110">
        <v>0.01</v>
      </c>
      <c r="AG48" s="135">
        <v>0.19</v>
      </c>
      <c r="AH48" s="134" t="s">
        <v>415</v>
      </c>
    </row>
    <row r="49" spans="2:34" s="128" customFormat="1" ht="40.15" customHeight="1" x14ac:dyDescent="0.2">
      <c r="C49" s="430" t="s">
        <v>740</v>
      </c>
      <c r="D49" s="92"/>
      <c r="E49" s="93" t="s">
        <v>328</v>
      </c>
      <c r="F49" s="92"/>
      <c r="G49" s="94" t="s">
        <v>416</v>
      </c>
      <c r="H49" s="139">
        <v>40912</v>
      </c>
      <c r="I49" s="140">
        <v>41032</v>
      </c>
      <c r="J49" s="97" t="s">
        <v>417</v>
      </c>
      <c r="K49" s="142">
        <f t="shared" si="0"/>
        <v>2012</v>
      </c>
      <c r="L49" s="99">
        <v>7280</v>
      </c>
      <c r="M49" s="110">
        <v>0</v>
      </c>
      <c r="N49" s="110">
        <f t="shared" si="28"/>
        <v>1</v>
      </c>
      <c r="O49" s="110">
        <v>0</v>
      </c>
      <c r="P49" s="110">
        <v>1</v>
      </c>
      <c r="Q49" s="103">
        <v>0</v>
      </c>
      <c r="R49" s="102">
        <v>1</v>
      </c>
      <c r="S49" s="135">
        <v>0</v>
      </c>
      <c r="T49" s="104">
        <v>4500</v>
      </c>
      <c r="U49" s="105">
        <v>0</v>
      </c>
      <c r="V49" s="106">
        <v>7280</v>
      </c>
      <c r="W49" s="107">
        <v>0</v>
      </c>
      <c r="X49" s="105">
        <v>0</v>
      </c>
      <c r="Y49" s="97">
        <v>0</v>
      </c>
      <c r="Z49" s="108">
        <v>197000</v>
      </c>
      <c r="AA49" s="109">
        <f t="shared" si="1"/>
        <v>197000</v>
      </c>
      <c r="AB49" s="109">
        <f t="shared" si="3"/>
        <v>0</v>
      </c>
      <c r="AC49" s="109">
        <f t="shared" si="4"/>
        <v>0</v>
      </c>
      <c r="AD49" s="110">
        <v>1</v>
      </c>
      <c r="AE49" s="110">
        <v>0.05</v>
      </c>
      <c r="AF49" s="110">
        <v>0</v>
      </c>
      <c r="AG49" s="135">
        <v>0.95</v>
      </c>
      <c r="AH49" s="134"/>
    </row>
    <row r="50" spans="2:34" s="128" customFormat="1" ht="40.15" customHeight="1" x14ac:dyDescent="0.2">
      <c r="C50" s="430" t="s">
        <v>740</v>
      </c>
      <c r="D50" s="92"/>
      <c r="E50" s="93" t="s">
        <v>322</v>
      </c>
      <c r="F50" s="92" t="s">
        <v>418</v>
      </c>
      <c r="G50" s="94" t="s">
        <v>414</v>
      </c>
      <c r="H50" s="139">
        <v>41115</v>
      </c>
      <c r="I50" s="140">
        <v>41449</v>
      </c>
      <c r="J50" s="97" t="s">
        <v>417</v>
      </c>
      <c r="K50" s="142">
        <f t="shared" si="0"/>
        <v>2012</v>
      </c>
      <c r="L50" s="99">
        <v>35714</v>
      </c>
      <c r="M50" s="110">
        <f>22558/L50</f>
        <v>0.63162905303242423</v>
      </c>
      <c r="N50" s="110">
        <f t="shared" si="28"/>
        <v>0.36837094696757577</v>
      </c>
      <c r="O50" s="110">
        <v>0</v>
      </c>
      <c r="P50" s="110">
        <v>1</v>
      </c>
      <c r="Q50" s="103">
        <v>0</v>
      </c>
      <c r="R50" s="102">
        <v>1</v>
      </c>
      <c r="S50" s="135">
        <v>0</v>
      </c>
      <c r="T50" s="104">
        <v>13773</v>
      </c>
      <c r="U50" s="105">
        <v>13667</v>
      </c>
      <c r="V50" s="106">
        <v>29447</v>
      </c>
      <c r="W50" s="107">
        <v>0</v>
      </c>
      <c r="X50" s="105">
        <v>0</v>
      </c>
      <c r="Y50" s="97">
        <v>0</v>
      </c>
      <c r="Z50" s="108">
        <v>504350</v>
      </c>
      <c r="AA50" s="109">
        <f t="shared" si="1"/>
        <v>504350</v>
      </c>
      <c r="AB50" s="109">
        <f t="shared" si="3"/>
        <v>0</v>
      </c>
      <c r="AC50" s="109">
        <f t="shared" si="4"/>
        <v>0</v>
      </c>
      <c r="AD50" s="110">
        <v>1</v>
      </c>
      <c r="AE50" s="110">
        <f>(120929+20458)/356642</f>
        <v>0.39643956684854842</v>
      </c>
      <c r="AF50" s="110">
        <f>17928/356642</f>
        <v>5.0268897101294854E-2</v>
      </c>
      <c r="AG50" s="135">
        <f>71328/356642</f>
        <v>0.19999887842710617</v>
      </c>
      <c r="AH50" s="134" t="s">
        <v>419</v>
      </c>
    </row>
    <row r="51" spans="2:34" s="128" customFormat="1" ht="40.15" customHeight="1" x14ac:dyDescent="0.2">
      <c r="C51" s="430" t="s">
        <v>740</v>
      </c>
      <c r="D51" s="92"/>
      <c r="E51" s="93" t="s">
        <v>322</v>
      </c>
      <c r="F51" s="92"/>
      <c r="G51" s="94" t="s">
        <v>709</v>
      </c>
      <c r="H51" s="139">
        <v>41883</v>
      </c>
      <c r="I51" s="140">
        <v>42246</v>
      </c>
      <c r="J51" s="97" t="s">
        <v>231</v>
      </c>
      <c r="K51" s="142">
        <v>2014</v>
      </c>
      <c r="L51" s="99">
        <v>22403</v>
      </c>
      <c r="M51" s="110">
        <v>0.64027139222425566</v>
      </c>
      <c r="N51" s="110">
        <v>0.35972860777574434</v>
      </c>
      <c r="O51" s="110">
        <v>0</v>
      </c>
      <c r="P51" s="110">
        <v>1</v>
      </c>
      <c r="Q51" s="103">
        <v>0</v>
      </c>
      <c r="R51" s="102">
        <v>1</v>
      </c>
      <c r="S51" s="135">
        <v>0</v>
      </c>
      <c r="T51" s="104">
        <v>22403</v>
      </c>
      <c r="U51" s="105">
        <v>22403</v>
      </c>
      <c r="V51" s="106">
        <v>22403</v>
      </c>
      <c r="W51" s="107">
        <v>0</v>
      </c>
      <c r="X51" s="105">
        <v>0</v>
      </c>
      <c r="Y51" s="97">
        <v>0</v>
      </c>
      <c r="Z51" s="108">
        <v>649786</v>
      </c>
      <c r="AA51" s="109">
        <f t="shared" ref="AA51" si="29">Z51-(AB51+AC51)</f>
        <v>0</v>
      </c>
      <c r="AB51" s="109">
        <f t="shared" ref="AB51" si="30">IF(I51&lt;$C$1,0,IF(H51&gt;$C$1,Z51-AC51,(I51-$C$1)/(I51-H51)*Z51-AC51))</f>
        <v>216595.33333333337</v>
      </c>
      <c r="AC51" s="109">
        <f t="shared" ref="AC51" si="31">IF(I51&lt;$D$1,0,IF(H51&gt;$D$1,Z51,(I51-$D$1)/(I51-H51)*Z51))</f>
        <v>433190.66666666663</v>
      </c>
      <c r="AD51" s="110">
        <v>1</v>
      </c>
      <c r="AE51" s="110">
        <v>0.36</v>
      </c>
      <c r="AF51" s="110">
        <v>0.02</v>
      </c>
      <c r="AG51" s="135">
        <v>0.62</v>
      </c>
      <c r="AH51" s="134" t="s">
        <v>710</v>
      </c>
    </row>
    <row r="52" spans="2:34" s="128" customFormat="1" ht="40.15" customHeight="1" x14ac:dyDescent="0.2">
      <c r="C52" s="430" t="s">
        <v>740</v>
      </c>
      <c r="D52" s="92"/>
      <c r="E52" s="93" t="s">
        <v>398</v>
      </c>
      <c r="F52" s="92"/>
      <c r="G52" s="94" t="s">
        <v>420</v>
      </c>
      <c r="H52" s="139">
        <v>41640</v>
      </c>
      <c r="I52" s="140">
        <v>41820</v>
      </c>
      <c r="J52" s="141" t="s">
        <v>417</v>
      </c>
      <c r="K52" s="142">
        <f t="shared" si="0"/>
        <v>2014</v>
      </c>
      <c r="L52" s="99">
        <v>3000</v>
      </c>
      <c r="M52" s="110">
        <v>0.5</v>
      </c>
      <c r="N52" s="110">
        <f t="shared" si="28"/>
        <v>0.5</v>
      </c>
      <c r="O52" s="110">
        <v>0</v>
      </c>
      <c r="P52" s="110">
        <v>1</v>
      </c>
      <c r="Q52" s="103">
        <v>0</v>
      </c>
      <c r="R52" s="102">
        <v>1</v>
      </c>
      <c r="S52" s="135">
        <v>0</v>
      </c>
      <c r="T52" s="104">
        <v>3000</v>
      </c>
      <c r="U52" s="105">
        <v>3000</v>
      </c>
      <c r="V52" s="106">
        <v>3000</v>
      </c>
      <c r="W52" s="107">
        <v>0</v>
      </c>
      <c r="X52" s="105">
        <v>0</v>
      </c>
      <c r="Y52" s="97">
        <v>0</v>
      </c>
      <c r="Z52" s="108">
        <v>78945</v>
      </c>
      <c r="AA52" s="109">
        <f t="shared" si="1"/>
        <v>0</v>
      </c>
      <c r="AB52" s="109">
        <f t="shared" si="3"/>
        <v>78945</v>
      </c>
      <c r="AC52" s="109">
        <f t="shared" si="4"/>
        <v>0</v>
      </c>
      <c r="AD52" s="110">
        <v>1</v>
      </c>
      <c r="AE52" s="110">
        <v>0.33</v>
      </c>
      <c r="AF52" s="110">
        <v>0.33</v>
      </c>
      <c r="AG52" s="135">
        <v>0.33</v>
      </c>
      <c r="AH52" s="134"/>
    </row>
    <row r="53" spans="2:34" s="128" customFormat="1" ht="40.15" customHeight="1" x14ac:dyDescent="0.2">
      <c r="C53" s="430" t="s">
        <v>740</v>
      </c>
      <c r="D53" s="92" t="s">
        <v>741</v>
      </c>
      <c r="E53" s="93" t="s">
        <v>398</v>
      </c>
      <c r="F53" s="92"/>
      <c r="G53" s="94" t="s">
        <v>711</v>
      </c>
      <c r="H53" s="139">
        <v>41883</v>
      </c>
      <c r="I53" s="140">
        <v>42277</v>
      </c>
      <c r="J53" s="141" t="s">
        <v>231</v>
      </c>
      <c r="K53" s="142">
        <v>2014</v>
      </c>
      <c r="L53" s="432">
        <v>5000</v>
      </c>
      <c r="M53" s="438">
        <v>0.5</v>
      </c>
      <c r="N53" s="438">
        <v>0.5</v>
      </c>
      <c r="O53" s="438">
        <v>0.5</v>
      </c>
      <c r="P53" s="438">
        <v>0.25</v>
      </c>
      <c r="Q53" s="439">
        <v>0.25</v>
      </c>
      <c r="R53" s="433">
        <v>0.5</v>
      </c>
      <c r="S53" s="434">
        <v>0.5</v>
      </c>
      <c r="T53" s="435">
        <v>5000</v>
      </c>
      <c r="U53" s="436">
        <v>5000</v>
      </c>
      <c r="V53" s="437">
        <v>5000</v>
      </c>
      <c r="W53" s="107">
        <v>0</v>
      </c>
      <c r="X53" s="105">
        <v>0</v>
      </c>
      <c r="Y53" s="97">
        <v>0</v>
      </c>
      <c r="Z53" s="108">
        <v>267190</v>
      </c>
      <c r="AA53" s="109">
        <f t="shared" ref="AA53" si="32">Z53-(AB53+AC53)</f>
        <v>0</v>
      </c>
      <c r="AB53" s="109">
        <f t="shared" ref="AB53" si="33">IF(I53&lt;$C$1,0,IF(H53&gt;$C$1,Z53-AC53,(I53-$C$1)/(I53-H53)*Z53-AC53))</f>
        <v>82055.812182741123</v>
      </c>
      <c r="AC53" s="109">
        <f t="shared" ref="AC53" si="34">IF(I53&lt;$D$1,0,IF(H53&gt;$D$1,Z53,(I53-$D$1)/(I53-H53)*Z53))</f>
        <v>185134.18781725888</v>
      </c>
      <c r="AD53" s="110"/>
      <c r="AE53" s="110">
        <v>0.3</v>
      </c>
      <c r="AF53" s="110">
        <v>0.3</v>
      </c>
      <c r="AG53" s="135">
        <v>0.4</v>
      </c>
      <c r="AH53" s="134" t="s">
        <v>712</v>
      </c>
    </row>
    <row r="54" spans="2:34" s="128" customFormat="1" ht="40.15" customHeight="1" x14ac:dyDescent="0.2">
      <c r="C54" s="430" t="s">
        <v>740</v>
      </c>
      <c r="D54" s="92"/>
      <c r="E54" s="93" t="s">
        <v>253</v>
      </c>
      <c r="F54" s="92"/>
      <c r="G54" s="94" t="s">
        <v>421</v>
      </c>
      <c r="H54" s="143">
        <v>41632</v>
      </c>
      <c r="I54" s="144">
        <v>41874</v>
      </c>
      <c r="J54" s="145" t="s">
        <v>417</v>
      </c>
      <c r="K54" s="146">
        <f t="shared" si="0"/>
        <v>2013</v>
      </c>
      <c r="L54" s="99">
        <v>11774</v>
      </c>
      <c r="M54" s="110">
        <v>0.9</v>
      </c>
      <c r="N54" s="110">
        <f t="shared" si="28"/>
        <v>9.9999999999999978E-2</v>
      </c>
      <c r="O54" s="110">
        <v>0</v>
      </c>
      <c r="P54" s="110">
        <v>1</v>
      </c>
      <c r="Q54" s="103">
        <v>0</v>
      </c>
      <c r="R54" s="102">
        <v>1</v>
      </c>
      <c r="S54" s="135">
        <v>0</v>
      </c>
      <c r="T54" s="104">
        <v>1250</v>
      </c>
      <c r="U54" s="105">
        <v>1250</v>
      </c>
      <c r="V54" s="106">
        <v>0</v>
      </c>
      <c r="W54" s="107">
        <v>0</v>
      </c>
      <c r="X54" s="105">
        <v>0</v>
      </c>
      <c r="Y54" s="97">
        <v>0</v>
      </c>
      <c r="Z54" s="108">
        <v>249000</v>
      </c>
      <c r="AA54" s="109">
        <f t="shared" si="1"/>
        <v>8231.4049586776819</v>
      </c>
      <c r="AB54" s="109">
        <f t="shared" si="3"/>
        <v>240768.59504132232</v>
      </c>
      <c r="AC54" s="109">
        <f t="shared" si="4"/>
        <v>0</v>
      </c>
      <c r="AD54" s="110">
        <v>1</v>
      </c>
      <c r="AE54" s="110">
        <v>0.25</v>
      </c>
      <c r="AF54" s="110">
        <v>0.64</v>
      </c>
      <c r="AG54" s="135">
        <v>0.11</v>
      </c>
      <c r="AH54" s="134"/>
    </row>
    <row r="55" spans="2:34" s="128" customFormat="1" ht="40.15" customHeight="1" x14ac:dyDescent="0.2">
      <c r="C55" s="430" t="s">
        <v>740</v>
      </c>
      <c r="D55" s="92"/>
      <c r="E55" s="93" t="s">
        <v>253</v>
      </c>
      <c r="F55" s="92"/>
      <c r="G55" s="94" t="s">
        <v>683</v>
      </c>
      <c r="H55" s="143">
        <v>41928</v>
      </c>
      <c r="I55" s="144">
        <v>42109</v>
      </c>
      <c r="J55" s="145" t="s">
        <v>231</v>
      </c>
      <c r="K55" s="146">
        <f t="shared" si="0"/>
        <v>2014</v>
      </c>
      <c r="L55" s="99">
        <v>1250</v>
      </c>
      <c r="M55" s="110">
        <v>0.9</v>
      </c>
      <c r="N55" s="110">
        <f t="shared" si="28"/>
        <v>9.9999999999999978E-2</v>
      </c>
      <c r="O55" s="110">
        <v>0</v>
      </c>
      <c r="P55" s="110">
        <v>1</v>
      </c>
      <c r="Q55" s="103">
        <v>0</v>
      </c>
      <c r="R55" s="102">
        <v>1</v>
      </c>
      <c r="S55" s="135">
        <v>0</v>
      </c>
      <c r="T55" s="104">
        <v>1250</v>
      </c>
      <c r="U55" s="105">
        <v>1250</v>
      </c>
      <c r="V55" s="106">
        <v>0</v>
      </c>
      <c r="W55" s="107">
        <v>0</v>
      </c>
      <c r="X55" s="105">
        <v>0</v>
      </c>
      <c r="Y55" s="97">
        <v>0</v>
      </c>
      <c r="Z55" s="108">
        <v>249000</v>
      </c>
      <c r="AA55" s="109">
        <f t="shared" si="1"/>
        <v>0</v>
      </c>
      <c r="AB55" s="109">
        <f t="shared" si="3"/>
        <v>104552.48618784532</v>
      </c>
      <c r="AC55" s="109">
        <f t="shared" si="4"/>
        <v>144447.51381215468</v>
      </c>
      <c r="AD55" s="110">
        <v>1</v>
      </c>
      <c r="AE55" s="110">
        <v>0.25</v>
      </c>
      <c r="AF55" s="110">
        <v>0.64</v>
      </c>
      <c r="AG55" s="135">
        <v>0.11</v>
      </c>
      <c r="AH55" s="134"/>
    </row>
    <row r="56" spans="2:34" s="128" customFormat="1" ht="40.15" customHeight="1" x14ac:dyDescent="0.2">
      <c r="C56" s="430" t="s">
        <v>740</v>
      </c>
      <c r="D56" s="92"/>
      <c r="E56" s="93" t="s">
        <v>324</v>
      </c>
      <c r="F56" s="92"/>
      <c r="G56" s="94" t="s">
        <v>472</v>
      </c>
      <c r="H56" s="143">
        <v>41760</v>
      </c>
      <c r="I56" s="144">
        <v>42124</v>
      </c>
      <c r="J56" s="145" t="s">
        <v>231</v>
      </c>
      <c r="K56" s="146">
        <f t="shared" si="0"/>
        <v>2014</v>
      </c>
      <c r="L56" s="99">
        <v>6905</v>
      </c>
      <c r="M56" s="110">
        <v>0.3</v>
      </c>
      <c r="N56" s="110">
        <f t="shared" si="28"/>
        <v>0.7</v>
      </c>
      <c r="O56" s="110">
        <v>0</v>
      </c>
      <c r="P56" s="110">
        <v>1</v>
      </c>
      <c r="Q56" s="103">
        <v>0</v>
      </c>
      <c r="R56" s="102">
        <v>1</v>
      </c>
      <c r="S56" s="135">
        <v>0</v>
      </c>
      <c r="T56" s="104">
        <v>6905</v>
      </c>
      <c r="U56" s="105">
        <v>6905</v>
      </c>
      <c r="V56" s="106">
        <v>6905</v>
      </c>
      <c r="W56" s="107">
        <v>0</v>
      </c>
      <c r="X56" s="105">
        <v>0</v>
      </c>
      <c r="Y56" s="97">
        <v>0</v>
      </c>
      <c r="Z56" s="108">
        <v>469947</v>
      </c>
      <c r="AA56" s="109">
        <f t="shared" si="1"/>
        <v>0</v>
      </c>
      <c r="AB56" s="109">
        <f t="shared" si="3"/>
        <v>315019.41758241761</v>
      </c>
      <c r="AC56" s="109">
        <f t="shared" si="4"/>
        <v>154927.58241758242</v>
      </c>
      <c r="AD56" s="110">
        <v>1</v>
      </c>
      <c r="AE56" s="110">
        <v>0.56999999999999995</v>
      </c>
      <c r="AF56" s="110">
        <v>0.16</v>
      </c>
      <c r="AG56" s="135">
        <v>0.12</v>
      </c>
      <c r="AH56" s="134"/>
    </row>
    <row r="57" spans="2:34" s="128" customFormat="1" ht="40.15" customHeight="1" x14ac:dyDescent="0.2">
      <c r="C57" s="430" t="s">
        <v>740</v>
      </c>
      <c r="D57" s="409"/>
      <c r="E57" s="410" t="s">
        <v>324</v>
      </c>
      <c r="F57" s="415"/>
      <c r="G57" s="411" t="s">
        <v>472</v>
      </c>
      <c r="H57" s="412">
        <v>42125</v>
      </c>
      <c r="I57" s="413">
        <v>42489</v>
      </c>
      <c r="J57" s="414" t="s">
        <v>231</v>
      </c>
      <c r="K57" s="146">
        <f t="shared" si="0"/>
        <v>2015</v>
      </c>
      <c r="L57" s="440">
        <v>15447</v>
      </c>
      <c r="M57" s="447">
        <v>0.57999999999999996</v>
      </c>
      <c r="N57" s="447">
        <v>0.42</v>
      </c>
      <c r="O57" s="447">
        <v>0</v>
      </c>
      <c r="P57" s="447">
        <v>1</v>
      </c>
      <c r="Q57" s="448">
        <v>0</v>
      </c>
      <c r="R57" s="449">
        <v>1</v>
      </c>
      <c r="S57" s="450">
        <v>0</v>
      </c>
      <c r="T57" s="443">
        <v>15447</v>
      </c>
      <c r="U57" s="444">
        <v>15447</v>
      </c>
      <c r="V57" s="445">
        <v>15447</v>
      </c>
      <c r="W57" s="441">
        <v>0</v>
      </c>
      <c r="X57" s="442">
        <v>0</v>
      </c>
      <c r="Y57" s="446">
        <v>0</v>
      </c>
      <c r="Z57" s="108">
        <v>1000000</v>
      </c>
      <c r="AA57" s="109">
        <f t="shared" ref="AA57" si="35">Z57-(AB57+AC57)</f>
        <v>0</v>
      </c>
      <c r="AB57" s="109">
        <f t="shared" ref="AB57" si="36">IF(I57&lt;$C$1,0,IF(H57&gt;$C$1,Z57-AC57,(I57-$C$1)/(I57-H57)*Z57-AC57))</f>
        <v>0</v>
      </c>
      <c r="AC57" s="109">
        <f t="shared" ref="AC57" si="37">IF(I57&lt;$D$1,0,IF(H57&gt;$D$1,Z57,(I57-$D$1)/(I57-H57)*Z57))</f>
        <v>1000000</v>
      </c>
      <c r="AD57" s="110"/>
      <c r="AE57" s="110"/>
      <c r="AF57" s="110"/>
      <c r="AG57" s="135"/>
      <c r="AH57" s="134"/>
    </row>
    <row r="58" spans="2:34" s="128" customFormat="1" ht="40.15" customHeight="1" x14ac:dyDescent="0.2">
      <c r="C58" s="430" t="s">
        <v>740</v>
      </c>
      <c r="D58" s="423"/>
      <c r="E58" s="424" t="s">
        <v>322</v>
      </c>
      <c r="F58" s="423"/>
      <c r="G58" s="416" t="s">
        <v>709</v>
      </c>
      <c r="H58" s="420">
        <v>42248</v>
      </c>
      <c r="I58" s="421">
        <v>42521</v>
      </c>
      <c r="J58" s="422" t="s">
        <v>428</v>
      </c>
      <c r="K58" s="146">
        <f t="shared" si="0"/>
        <v>2015</v>
      </c>
      <c r="L58" s="407">
        <v>17285</v>
      </c>
      <c r="M58" s="426">
        <v>0.41</v>
      </c>
      <c r="N58" s="110">
        <f t="shared" si="28"/>
        <v>0.59000000000000008</v>
      </c>
      <c r="O58" s="426">
        <v>0</v>
      </c>
      <c r="P58" s="426">
        <v>1</v>
      </c>
      <c r="Q58" s="427">
        <v>0</v>
      </c>
      <c r="R58" s="428">
        <v>0.88</v>
      </c>
      <c r="S58" s="429">
        <v>0.11</v>
      </c>
      <c r="T58" s="417">
        <v>15375</v>
      </c>
      <c r="U58" s="418">
        <v>15375</v>
      </c>
      <c r="V58" s="419">
        <v>15375</v>
      </c>
      <c r="W58" s="408">
        <v>1910</v>
      </c>
      <c r="X58" s="406">
        <v>1910</v>
      </c>
      <c r="Y58" s="425">
        <v>1910</v>
      </c>
      <c r="Z58" s="431"/>
      <c r="AA58" s="109">
        <f t="shared" ref="AA58" si="38">Z58-(AB58+AC58)</f>
        <v>0</v>
      </c>
      <c r="AB58" s="109">
        <f t="shared" ref="AB58" si="39">IF(I58&lt;$C$1,0,IF(H58&gt;$C$1,Z58-AC58,(I58-$C$1)/(I58-H58)*Z58-AC58))</f>
        <v>0</v>
      </c>
      <c r="AC58" s="109">
        <f t="shared" ref="AC58" si="40">IF(I58&lt;$D$1,0,IF(H58&gt;$D$1,Z58,(I58-$D$1)/(I58-H58)*Z58))</f>
        <v>0</v>
      </c>
      <c r="AD58" s="110"/>
      <c r="AE58" s="110"/>
      <c r="AF58" s="110"/>
      <c r="AG58" s="135"/>
      <c r="AH58" s="134"/>
    </row>
    <row r="59" spans="2:34" s="128" customFormat="1" ht="40.15" customHeight="1" x14ac:dyDescent="0.2">
      <c r="C59" s="147" t="s">
        <v>422</v>
      </c>
      <c r="D59" s="148" t="s">
        <v>230</v>
      </c>
      <c r="E59" s="149" t="s">
        <v>423</v>
      </c>
      <c r="F59" s="148"/>
      <c r="G59" s="150" t="s">
        <v>424</v>
      </c>
      <c r="H59" s="151">
        <v>41456</v>
      </c>
      <c r="I59" s="152">
        <v>41729</v>
      </c>
      <c r="J59" s="153" t="s">
        <v>417</v>
      </c>
      <c r="K59" s="146">
        <f t="shared" si="0"/>
        <v>2013</v>
      </c>
      <c r="L59" s="154">
        <v>9561</v>
      </c>
      <c r="M59" s="155">
        <v>0.2</v>
      </c>
      <c r="N59" s="155">
        <f t="shared" si="28"/>
        <v>0.8</v>
      </c>
      <c r="O59" s="155"/>
      <c r="P59" s="155"/>
      <c r="Q59" s="156"/>
      <c r="R59" s="157">
        <v>1</v>
      </c>
      <c r="S59" s="165">
        <v>0</v>
      </c>
      <c r="T59" s="158">
        <v>5383</v>
      </c>
      <c r="U59" s="159">
        <v>1844</v>
      </c>
      <c r="V59" s="160">
        <v>9066</v>
      </c>
      <c r="W59" s="161">
        <v>0</v>
      </c>
      <c r="X59" s="159">
        <v>0</v>
      </c>
      <c r="Y59" s="162">
        <v>0</v>
      </c>
      <c r="Z59" s="163">
        <v>245165</v>
      </c>
      <c r="AA59" s="164">
        <f t="shared" si="1"/>
        <v>165239.41391941393</v>
      </c>
      <c r="AB59" s="164">
        <f t="shared" si="3"/>
        <v>79925.586080586087</v>
      </c>
      <c r="AC59" s="164">
        <f t="shared" si="4"/>
        <v>0</v>
      </c>
      <c r="AD59" s="155">
        <v>1</v>
      </c>
      <c r="AE59" s="155">
        <v>0.38</v>
      </c>
      <c r="AF59" s="155">
        <v>0.11</v>
      </c>
      <c r="AG59" s="165">
        <v>0.51</v>
      </c>
      <c r="AH59" s="166"/>
    </row>
    <row r="60" spans="2:34" s="128" customFormat="1" ht="40.15" customHeight="1" thickBot="1" x14ac:dyDescent="0.25">
      <c r="C60" s="147" t="s">
        <v>422</v>
      </c>
      <c r="D60" s="148" t="s">
        <v>230</v>
      </c>
      <c r="E60" s="149" t="s">
        <v>423</v>
      </c>
      <c r="F60" s="148"/>
      <c r="G60" s="94" t="s">
        <v>776</v>
      </c>
      <c r="H60" s="95">
        <v>42156</v>
      </c>
      <c r="I60" s="96">
        <v>42369</v>
      </c>
      <c r="J60" s="97" t="s">
        <v>231</v>
      </c>
      <c r="K60" s="98">
        <f t="shared" si="0"/>
        <v>2015</v>
      </c>
      <c r="L60" s="99">
        <v>6432</v>
      </c>
      <c r="M60" s="110">
        <v>0.31</v>
      </c>
      <c r="N60" s="110">
        <v>0.69</v>
      </c>
      <c r="O60" s="110">
        <v>0.14000000000000001</v>
      </c>
      <c r="P60" s="110">
        <v>0.01</v>
      </c>
      <c r="Q60" s="103">
        <v>0.85</v>
      </c>
      <c r="R60" s="102">
        <v>1</v>
      </c>
      <c r="S60" s="135">
        <v>0</v>
      </c>
      <c r="T60" s="104">
        <v>2858</v>
      </c>
      <c r="U60" s="105">
        <v>1972</v>
      </c>
      <c r="V60" s="106">
        <v>6432</v>
      </c>
      <c r="W60" s="107">
        <v>0</v>
      </c>
      <c r="X60" s="105">
        <v>0</v>
      </c>
      <c r="Y60" s="97">
        <v>0</v>
      </c>
      <c r="Z60" s="108">
        <v>154118</v>
      </c>
      <c r="AA60" s="164">
        <f t="shared" ref="AA60" si="41">Z60-(AB60+AC60)</f>
        <v>0</v>
      </c>
      <c r="AB60" s="164">
        <f t="shared" ref="AB60" si="42">IF(I60&lt;$C$1,0,IF(H60&gt;$C$1,Z60-AC60,(I60-$C$1)/(I60-H60)*Z60-AC60))</f>
        <v>0</v>
      </c>
      <c r="AC60" s="164">
        <f t="shared" ref="AC60" si="43">IF(I60&lt;$D$1,0,IF(H60&gt;$D$1,Z60,(I60-$D$1)/(I60-H60)*Z60))</f>
        <v>154118</v>
      </c>
      <c r="AD60" s="155">
        <v>1</v>
      </c>
      <c r="AE60" s="155">
        <v>0.32</v>
      </c>
      <c r="AF60" s="155">
        <v>0.59</v>
      </c>
      <c r="AG60" s="165">
        <v>0.04</v>
      </c>
      <c r="AH60" s="166"/>
    </row>
    <row r="61" spans="2:34" s="128" customFormat="1" ht="40.15" customHeight="1" x14ac:dyDescent="0.2">
      <c r="B61" s="861" t="s">
        <v>609</v>
      </c>
      <c r="C61" s="167" t="s">
        <v>253</v>
      </c>
      <c r="D61" s="168"/>
      <c r="E61" s="169" t="s">
        <v>329</v>
      </c>
      <c r="F61" s="168"/>
      <c r="G61" s="170" t="s">
        <v>425</v>
      </c>
      <c r="H61" s="171">
        <v>41277</v>
      </c>
      <c r="I61" s="172">
        <v>41305</v>
      </c>
      <c r="J61" s="173" t="s">
        <v>417</v>
      </c>
      <c r="K61" s="174">
        <f t="shared" si="0"/>
        <v>2013</v>
      </c>
      <c r="L61" s="175">
        <v>0</v>
      </c>
      <c r="M61" s="176">
        <v>0.5</v>
      </c>
      <c r="N61" s="176">
        <f t="shared" si="28"/>
        <v>0.5</v>
      </c>
      <c r="O61" s="176">
        <v>0.33</v>
      </c>
      <c r="P61" s="176">
        <v>0.33</v>
      </c>
      <c r="Q61" s="177">
        <v>0.33</v>
      </c>
      <c r="R61" s="178">
        <v>1</v>
      </c>
      <c r="S61" s="181">
        <v>0</v>
      </c>
      <c r="T61" s="549"/>
      <c r="U61" s="550"/>
      <c r="V61" s="551"/>
      <c r="W61" s="552"/>
      <c r="X61" s="550"/>
      <c r="Y61" s="553"/>
      <c r="Z61" s="179">
        <v>106270</v>
      </c>
      <c r="AA61" s="180">
        <f t="shared" si="1"/>
        <v>106270</v>
      </c>
      <c r="AB61" s="180">
        <f t="shared" si="3"/>
        <v>0</v>
      </c>
      <c r="AC61" s="180">
        <f t="shared" si="4"/>
        <v>0</v>
      </c>
      <c r="AD61" s="176">
        <v>1</v>
      </c>
      <c r="AE61" s="176">
        <v>0.33</v>
      </c>
      <c r="AF61" s="176">
        <v>0.33</v>
      </c>
      <c r="AG61" s="181">
        <v>0.33</v>
      </c>
      <c r="AH61" s="182"/>
    </row>
    <row r="62" spans="2:34" s="128" customFormat="1" ht="40.15" customHeight="1" x14ac:dyDescent="0.2">
      <c r="B62" s="862"/>
      <c r="C62" s="183" t="s">
        <v>253</v>
      </c>
      <c r="D62" s="184"/>
      <c r="E62" s="185" t="s">
        <v>329</v>
      </c>
      <c r="F62" s="184"/>
      <c r="G62" s="186" t="s">
        <v>426</v>
      </c>
      <c r="H62" s="187">
        <v>41671</v>
      </c>
      <c r="I62" s="188">
        <v>41851</v>
      </c>
      <c r="J62" s="189" t="s">
        <v>417</v>
      </c>
      <c r="K62" s="190">
        <f t="shared" si="0"/>
        <v>2014</v>
      </c>
      <c r="L62" s="191">
        <v>0</v>
      </c>
      <c r="M62" s="192">
        <v>0.5</v>
      </c>
      <c r="N62" s="192">
        <f t="shared" si="28"/>
        <v>0.5</v>
      </c>
      <c r="O62" s="192">
        <v>0.33</v>
      </c>
      <c r="P62" s="192">
        <v>0.33</v>
      </c>
      <c r="Q62" s="193">
        <v>0.33</v>
      </c>
      <c r="R62" s="194">
        <v>1</v>
      </c>
      <c r="S62" s="198">
        <v>0</v>
      </c>
      <c r="T62" s="554"/>
      <c r="U62" s="555"/>
      <c r="V62" s="556"/>
      <c r="W62" s="557"/>
      <c r="X62" s="456"/>
      <c r="Y62" s="558"/>
      <c r="Z62" s="108">
        <v>50000</v>
      </c>
      <c r="AA62" s="109">
        <f t="shared" si="1"/>
        <v>0</v>
      </c>
      <c r="AB62" s="109">
        <f t="shared" si="3"/>
        <v>50000</v>
      </c>
      <c r="AC62" s="109">
        <f t="shared" si="4"/>
        <v>0</v>
      </c>
      <c r="AD62" s="192">
        <v>1</v>
      </c>
      <c r="AE62" s="192">
        <v>0.33</v>
      </c>
      <c r="AF62" s="192">
        <v>0.33</v>
      </c>
      <c r="AG62" s="198">
        <v>0.33</v>
      </c>
      <c r="AH62" s="199"/>
    </row>
    <row r="63" spans="2:34" s="69" customFormat="1" ht="40.15" customHeight="1" x14ac:dyDescent="0.2">
      <c r="B63" s="862"/>
      <c r="C63" s="183" t="s">
        <v>253</v>
      </c>
      <c r="D63" s="184"/>
      <c r="E63" s="185" t="s">
        <v>325</v>
      </c>
      <c r="F63" s="184"/>
      <c r="G63" s="459"/>
      <c r="H63" s="187">
        <v>41016</v>
      </c>
      <c r="I63" s="188"/>
      <c r="J63" s="189" t="s">
        <v>417</v>
      </c>
      <c r="K63" s="190">
        <f t="shared" si="0"/>
        <v>2012</v>
      </c>
      <c r="L63" s="200">
        <v>86740</v>
      </c>
      <c r="M63" s="192">
        <f>36925/L63</f>
        <v>0.42569748674198754</v>
      </c>
      <c r="N63" s="192">
        <v>0.56999999999999995</v>
      </c>
      <c r="O63" s="192">
        <v>0</v>
      </c>
      <c r="P63" s="192">
        <f>23300/L63</f>
        <v>0.26861886096379989</v>
      </c>
      <c r="Q63" s="193">
        <v>0.73</v>
      </c>
      <c r="R63" s="194">
        <v>1</v>
      </c>
      <c r="S63" s="198">
        <v>0</v>
      </c>
      <c r="T63" s="195">
        <v>36740</v>
      </c>
      <c r="U63" s="196">
        <v>36740</v>
      </c>
      <c r="V63" s="197">
        <v>36740</v>
      </c>
      <c r="W63" s="559"/>
      <c r="X63" s="457"/>
      <c r="Y63" s="458"/>
      <c r="Z63" s="108">
        <v>981022.61</v>
      </c>
      <c r="AA63" s="109">
        <f t="shared" si="1"/>
        <v>981022.61</v>
      </c>
      <c r="AB63" s="109">
        <f t="shared" si="3"/>
        <v>0</v>
      </c>
      <c r="AC63" s="109">
        <f t="shared" si="4"/>
        <v>0</v>
      </c>
      <c r="AD63" s="733"/>
      <c r="AE63" s="731"/>
      <c r="AF63" s="731"/>
      <c r="AG63" s="732"/>
      <c r="AH63" s="199"/>
    </row>
    <row r="64" spans="2:34" s="69" customFormat="1" ht="40.15" customHeight="1" x14ac:dyDescent="0.2">
      <c r="B64" s="862"/>
      <c r="C64" s="201" t="s">
        <v>253</v>
      </c>
      <c r="D64" s="202"/>
      <c r="E64" s="203" t="s">
        <v>324</v>
      </c>
      <c r="F64" s="202"/>
      <c r="G64" s="567"/>
      <c r="H64" s="204">
        <v>41144</v>
      </c>
      <c r="I64" s="205">
        <v>41912</v>
      </c>
      <c r="J64" s="206" t="s">
        <v>417</v>
      </c>
      <c r="K64" s="207">
        <f t="shared" si="0"/>
        <v>2012</v>
      </c>
      <c r="L64" s="208">
        <f>L5+L13+L16+L17+L24+L26+L46+L47+L54</f>
        <v>89815</v>
      </c>
      <c r="M64" s="209">
        <v>0.61</v>
      </c>
      <c r="N64" s="209">
        <v>0.39</v>
      </c>
      <c r="O64" s="209">
        <f>5637/L64</f>
        <v>6.2762344819907584E-2</v>
      </c>
      <c r="P64" s="209">
        <f>54313/L64</f>
        <v>0.60472081500862884</v>
      </c>
      <c r="Q64" s="210">
        <v>0.33500000000000002</v>
      </c>
      <c r="R64" s="211">
        <v>1</v>
      </c>
      <c r="S64" s="214">
        <v>0</v>
      </c>
      <c r="T64" s="195">
        <v>86580</v>
      </c>
      <c r="U64" s="184">
        <v>86822</v>
      </c>
      <c r="V64" s="216">
        <v>86822</v>
      </c>
      <c r="W64" s="547"/>
      <c r="X64" s="548"/>
      <c r="Y64" s="540"/>
      <c r="Z64" s="212">
        <v>1652740</v>
      </c>
      <c r="AA64" s="213">
        <f t="shared" si="1"/>
        <v>1067394.5833333333</v>
      </c>
      <c r="AB64" s="213">
        <f t="shared" si="3"/>
        <v>585345.41666666674</v>
      </c>
      <c r="AC64" s="213">
        <f t="shared" si="4"/>
        <v>0</v>
      </c>
      <c r="AD64" s="734"/>
      <c r="AE64" s="735"/>
      <c r="AF64" s="735"/>
      <c r="AG64" s="736"/>
      <c r="AH64" s="215"/>
    </row>
    <row r="65" spans="2:34" s="69" customFormat="1" ht="40.15" customHeight="1" x14ac:dyDescent="0.2">
      <c r="B65" s="862"/>
      <c r="C65" s="201" t="s">
        <v>253</v>
      </c>
      <c r="D65" s="202"/>
      <c r="E65" s="203" t="s">
        <v>324</v>
      </c>
      <c r="F65" s="202"/>
      <c r="G65" s="567"/>
      <c r="H65" s="538">
        <v>42005</v>
      </c>
      <c r="I65" s="539" t="s">
        <v>751</v>
      </c>
      <c r="J65" s="608" t="s">
        <v>231</v>
      </c>
      <c r="K65" s="541">
        <f t="shared" si="0"/>
        <v>2015</v>
      </c>
      <c r="L65" s="542"/>
      <c r="M65" s="543"/>
      <c r="N65" s="543"/>
      <c r="O65" s="543"/>
      <c r="P65" s="543"/>
      <c r="Q65" s="544"/>
      <c r="R65" s="545"/>
      <c r="S65" s="546"/>
      <c r="T65" s="455"/>
      <c r="U65" s="457"/>
      <c r="V65" s="530"/>
      <c r="W65" s="547"/>
      <c r="X65" s="548"/>
      <c r="Y65" s="540"/>
      <c r="Z65" s="212">
        <v>300000</v>
      </c>
      <c r="AA65" s="213">
        <f t="shared" ref="AA65" si="44">Z65-(AB65+AC65)</f>
        <v>0</v>
      </c>
      <c r="AB65" s="213">
        <f t="shared" ref="AB65" si="45">IF(I65&lt;$C$1,0,IF(H65&gt;$C$1,Z65-AC65,(I65-$C$1)/(I65-H65)*Z65-AC65))</f>
        <v>0</v>
      </c>
      <c r="AC65" s="213">
        <f t="shared" ref="AC65" si="46">IF(I65&lt;$D$1,0,IF(H65&gt;$D$1,Z65,(I65-$D$1)/(I65-H65)*Z65))</f>
        <v>300000</v>
      </c>
      <c r="AD65" s="734"/>
      <c r="AE65" s="735"/>
      <c r="AF65" s="735"/>
      <c r="AG65" s="736"/>
      <c r="AH65" s="215"/>
    </row>
    <row r="66" spans="2:34" s="69" customFormat="1" ht="40.15" customHeight="1" x14ac:dyDescent="0.2">
      <c r="B66" s="862"/>
      <c r="C66" s="183" t="s">
        <v>253</v>
      </c>
      <c r="D66" s="184"/>
      <c r="E66" s="185" t="s">
        <v>471</v>
      </c>
      <c r="F66" s="184"/>
      <c r="G66" s="459"/>
      <c r="H66" s="187">
        <v>41730</v>
      </c>
      <c r="I66" s="188">
        <v>42094</v>
      </c>
      <c r="J66" s="189" t="s">
        <v>417</v>
      </c>
      <c r="K66" s="190">
        <f t="shared" si="0"/>
        <v>2014</v>
      </c>
      <c r="L66" s="560"/>
      <c r="M66" s="451"/>
      <c r="N66" s="451"/>
      <c r="O66" s="451"/>
      <c r="P66" s="451"/>
      <c r="Q66" s="452"/>
      <c r="R66" s="453"/>
      <c r="S66" s="454"/>
      <c r="T66" s="455"/>
      <c r="U66" s="457"/>
      <c r="V66" s="530"/>
      <c r="W66" s="559"/>
      <c r="X66" s="457"/>
      <c r="Y66" s="458"/>
      <c r="Z66" s="108">
        <v>750000</v>
      </c>
      <c r="AA66" s="217">
        <f t="shared" si="1"/>
        <v>0</v>
      </c>
      <c r="AB66" s="217">
        <f t="shared" si="3"/>
        <v>564560.43956043955</v>
      </c>
      <c r="AC66" s="217">
        <f t="shared" si="4"/>
        <v>185439.56043956045</v>
      </c>
      <c r="AD66" s="733"/>
      <c r="AE66" s="731"/>
      <c r="AF66" s="731"/>
      <c r="AG66" s="732"/>
      <c r="AH66" s="199"/>
    </row>
    <row r="67" spans="2:34" s="69" customFormat="1" ht="40.15" customHeight="1" x14ac:dyDescent="0.2">
      <c r="B67" s="862"/>
      <c r="C67" s="218" t="s">
        <v>253</v>
      </c>
      <c r="D67" s="219"/>
      <c r="E67" s="220" t="s">
        <v>325</v>
      </c>
      <c r="F67" s="219"/>
      <c r="G67" s="568"/>
      <c r="H67" s="221">
        <v>41730</v>
      </c>
      <c r="I67" s="222">
        <v>42004</v>
      </c>
      <c r="J67" s="223" t="s">
        <v>417</v>
      </c>
      <c r="K67" s="224">
        <f t="shared" si="0"/>
        <v>2014</v>
      </c>
      <c r="L67" s="225">
        <f t="shared" ref="L67:Q67" si="47">L42</f>
        <v>10837</v>
      </c>
      <c r="M67" s="226">
        <f t="shared" si="47"/>
        <v>0.43323798099104921</v>
      </c>
      <c r="N67" s="226">
        <f t="shared" si="47"/>
        <v>0.56999999999999995</v>
      </c>
      <c r="O67" s="226">
        <f t="shared" si="47"/>
        <v>0.23798099104918335</v>
      </c>
      <c r="P67" s="226">
        <f t="shared" si="47"/>
        <v>0</v>
      </c>
      <c r="Q67" s="227">
        <f t="shared" si="47"/>
        <v>0.76</v>
      </c>
      <c r="R67" s="228">
        <v>1</v>
      </c>
      <c r="S67" s="229">
        <v>0</v>
      </c>
      <c r="T67" s="195">
        <f>T42</f>
        <v>10837</v>
      </c>
      <c r="U67" s="457"/>
      <c r="V67" s="530"/>
      <c r="W67" s="561"/>
      <c r="X67" s="562"/>
      <c r="Y67" s="563"/>
      <c r="Z67" s="163">
        <v>700000</v>
      </c>
      <c r="AA67" s="217">
        <f t="shared" si="1"/>
        <v>0</v>
      </c>
      <c r="AB67" s="217">
        <f t="shared" si="3"/>
        <v>700000</v>
      </c>
      <c r="AC67" s="217">
        <f t="shared" si="4"/>
        <v>0</v>
      </c>
      <c r="AD67" s="737"/>
      <c r="AE67" s="738"/>
      <c r="AF67" s="738"/>
      <c r="AG67" s="739"/>
      <c r="AH67" s="230"/>
    </row>
    <row r="68" spans="2:34" s="69" customFormat="1" ht="40.15" customHeight="1" thickBot="1" x14ac:dyDescent="0.25">
      <c r="B68" s="863"/>
      <c r="C68" s="231" t="s">
        <v>253</v>
      </c>
      <c r="D68" s="232"/>
      <c r="E68" s="233" t="s">
        <v>325</v>
      </c>
      <c r="F68" s="232"/>
      <c r="G68" s="569"/>
      <c r="H68" s="234">
        <v>41533</v>
      </c>
      <c r="I68" s="235">
        <v>41820</v>
      </c>
      <c r="J68" s="236" t="s">
        <v>417</v>
      </c>
      <c r="K68" s="237">
        <f t="shared" si="0"/>
        <v>2013</v>
      </c>
      <c r="L68" s="238">
        <f>L45+L19</f>
        <v>9940</v>
      </c>
      <c r="M68" s="239">
        <f>2441/L68</f>
        <v>0.24557344064386319</v>
      </c>
      <c r="N68" s="239">
        <v>0.75</v>
      </c>
      <c r="O68" s="239">
        <f>2291/L68</f>
        <v>0.23048289738430583</v>
      </c>
      <c r="P68" s="239">
        <v>0</v>
      </c>
      <c r="Q68" s="240">
        <v>0.77</v>
      </c>
      <c r="R68" s="241">
        <v>1</v>
      </c>
      <c r="S68" s="243">
        <v>0</v>
      </c>
      <c r="T68" s="242">
        <v>5989</v>
      </c>
      <c r="U68" s="259">
        <v>5462</v>
      </c>
      <c r="V68" s="260">
        <v>6137</v>
      </c>
      <c r="W68" s="564"/>
      <c r="X68" s="565"/>
      <c r="Y68" s="566"/>
      <c r="Z68" s="537">
        <v>514030</v>
      </c>
      <c r="AA68" s="536">
        <f t="shared" si="1"/>
        <v>191641.84668989549</v>
      </c>
      <c r="AB68" s="536">
        <f t="shared" si="3"/>
        <v>322388.15331010451</v>
      </c>
      <c r="AC68" s="536">
        <f t="shared" si="4"/>
        <v>0</v>
      </c>
      <c r="AD68" s="740"/>
      <c r="AE68" s="741"/>
      <c r="AF68" s="741"/>
      <c r="AG68" s="742"/>
      <c r="AH68" s="244"/>
    </row>
    <row r="69" spans="2:34" x14ac:dyDescent="0.2">
      <c r="B69" s="245"/>
      <c r="C69" s="245"/>
      <c r="D69" s="245"/>
      <c r="E69" s="245"/>
      <c r="F69" s="245"/>
      <c r="G69" s="245"/>
      <c r="H69" s="245"/>
      <c r="I69" s="245"/>
      <c r="J69" s="245"/>
      <c r="K69" s="245"/>
      <c r="L69" s="245"/>
      <c r="M69" s="246"/>
      <c r="N69" s="246"/>
      <c r="O69" s="246"/>
      <c r="P69" s="246"/>
      <c r="Q69" s="246"/>
      <c r="R69" s="247"/>
      <c r="S69" s="248"/>
      <c r="T69" s="245"/>
      <c r="U69" s="245"/>
      <c r="V69" s="245"/>
      <c r="W69" s="245"/>
      <c r="X69" s="245"/>
      <c r="Y69" s="245"/>
      <c r="Z69" s="246"/>
      <c r="AA69" s="246"/>
      <c r="AB69" s="246"/>
      <c r="AC69" s="246"/>
      <c r="AD69" s="246"/>
      <c r="AE69" s="246"/>
      <c r="AF69" s="246"/>
      <c r="AG69" s="246"/>
      <c r="AH69" s="245"/>
    </row>
    <row r="70" spans="2:34" x14ac:dyDescent="0.2">
      <c r="B70" s="245"/>
      <c r="C70" s="245"/>
      <c r="D70" s="245"/>
      <c r="E70" s="245"/>
      <c r="F70" s="245"/>
      <c r="G70" s="245"/>
      <c r="H70" s="245"/>
      <c r="I70" s="245"/>
      <c r="J70" s="245"/>
      <c r="K70" s="245"/>
      <c r="L70" s="245"/>
      <c r="M70" s="246"/>
      <c r="N70" s="246"/>
      <c r="O70" s="246"/>
      <c r="P70" s="246"/>
      <c r="Q70" s="246"/>
      <c r="R70" s="247"/>
      <c r="S70" s="248"/>
      <c r="T70" s="245"/>
      <c r="U70" s="245"/>
      <c r="V70" s="245"/>
      <c r="W70" s="245"/>
      <c r="X70" s="245"/>
      <c r="Y70" s="245"/>
      <c r="Z70" s="246"/>
      <c r="AA70" s="246"/>
      <c r="AB70" s="246"/>
      <c r="AC70" s="246"/>
      <c r="AD70" s="246"/>
      <c r="AE70" s="246"/>
      <c r="AF70" s="246"/>
      <c r="AG70" s="246"/>
      <c r="AH70" s="245"/>
    </row>
    <row r="71" spans="2:34" x14ac:dyDescent="0.2">
      <c r="B71" s="245"/>
      <c r="C71" s="245"/>
      <c r="D71" s="245"/>
      <c r="E71" s="245"/>
      <c r="F71" s="245"/>
      <c r="G71" s="245"/>
      <c r="H71" s="245"/>
      <c r="I71" s="245"/>
      <c r="J71" s="245"/>
      <c r="K71" s="245"/>
      <c r="L71" s="245"/>
      <c r="M71" s="250"/>
      <c r="N71" s="246"/>
      <c r="O71" s="246"/>
      <c r="P71" s="246"/>
      <c r="Q71" s="246"/>
      <c r="R71" s="247"/>
      <c r="S71" s="248"/>
      <c r="T71" s="245"/>
      <c r="U71" s="245"/>
      <c r="V71" s="245"/>
      <c r="W71" s="245"/>
      <c r="X71" s="245"/>
      <c r="Y71" s="245"/>
      <c r="Z71" s="246"/>
      <c r="AA71" s="246"/>
      <c r="AB71" s="246"/>
      <c r="AC71" s="246"/>
      <c r="AD71" s="246"/>
      <c r="AE71" s="246"/>
      <c r="AF71" s="246"/>
      <c r="AG71" s="246"/>
      <c r="AH71" s="245"/>
    </row>
    <row r="72" spans="2:34" x14ac:dyDescent="0.2">
      <c r="B72" s="245"/>
      <c r="C72" s="245"/>
      <c r="D72" s="245"/>
      <c r="E72" s="245"/>
      <c r="F72" s="245"/>
      <c r="G72" s="245"/>
      <c r="H72" s="245"/>
      <c r="I72" s="245"/>
      <c r="J72" s="245"/>
      <c r="K72" s="245"/>
      <c r="L72" s="245"/>
      <c r="M72" s="246"/>
      <c r="N72" s="246"/>
      <c r="O72" s="246"/>
      <c r="P72" s="246"/>
      <c r="Q72" s="246"/>
      <c r="R72" s="247"/>
      <c r="S72" s="248"/>
      <c r="T72" s="245"/>
      <c r="U72" s="245"/>
      <c r="V72" s="245"/>
      <c r="W72" s="245"/>
      <c r="X72" s="245"/>
      <c r="Y72" s="245"/>
      <c r="Z72" s="246"/>
      <c r="AA72" s="246"/>
      <c r="AB72" s="246"/>
      <c r="AC72" s="246"/>
      <c r="AD72" s="246"/>
      <c r="AE72" s="246"/>
      <c r="AF72" s="246"/>
      <c r="AG72" s="246"/>
      <c r="AH72" s="245"/>
    </row>
    <row r="73" spans="2:34" x14ac:dyDescent="0.2">
      <c r="C73" s="245"/>
      <c r="D73" s="245"/>
      <c r="E73" s="245"/>
      <c r="F73" s="245"/>
      <c r="G73" s="245"/>
      <c r="H73" s="245"/>
      <c r="I73" s="245"/>
      <c r="J73" s="245"/>
      <c r="K73" s="245"/>
      <c r="L73" s="245"/>
      <c r="M73" s="246"/>
      <c r="N73" s="246"/>
      <c r="O73" s="246"/>
      <c r="P73" s="246"/>
      <c r="Q73" s="246"/>
      <c r="R73" s="247"/>
      <c r="S73" s="248"/>
      <c r="T73" s="245"/>
      <c r="U73" s="245"/>
      <c r="V73" s="245"/>
      <c r="W73" s="245"/>
      <c r="X73" s="245"/>
      <c r="Y73" s="245"/>
      <c r="Z73" s="246"/>
      <c r="AA73" s="246"/>
      <c r="AB73" s="246"/>
      <c r="AC73" s="246"/>
      <c r="AD73" s="246"/>
      <c r="AE73" s="246"/>
      <c r="AF73" s="246"/>
      <c r="AG73" s="246"/>
      <c r="AH73" s="245"/>
    </row>
    <row r="74" spans="2:34" x14ac:dyDescent="0.2">
      <c r="C74" s="245"/>
      <c r="D74" s="245"/>
      <c r="E74" s="245"/>
      <c r="F74" s="245"/>
      <c r="G74" s="245"/>
      <c r="H74" s="245"/>
      <c r="I74" s="245"/>
      <c r="J74" s="245"/>
      <c r="K74" s="245"/>
      <c r="L74" s="245"/>
      <c r="M74" s="246"/>
      <c r="N74" s="246"/>
      <c r="O74" s="246"/>
      <c r="P74" s="246"/>
      <c r="Q74" s="246"/>
      <c r="R74" s="247"/>
      <c r="S74" s="248"/>
      <c r="T74" s="245"/>
      <c r="U74" s="245"/>
      <c r="V74" s="245"/>
      <c r="W74" s="245"/>
      <c r="X74" s="245"/>
      <c r="Y74" s="245"/>
      <c r="Z74" s="246"/>
      <c r="AA74" s="246"/>
      <c r="AB74" s="246"/>
      <c r="AC74" s="246"/>
      <c r="AD74" s="246"/>
      <c r="AE74" s="246"/>
      <c r="AF74" s="246"/>
      <c r="AG74" s="246"/>
      <c r="AH74" s="245"/>
    </row>
    <row r="75" spans="2:34" x14ac:dyDescent="0.2">
      <c r="C75" s="245"/>
      <c r="D75" s="245"/>
      <c r="E75" s="245"/>
      <c r="F75" s="245"/>
      <c r="G75" s="245"/>
      <c r="H75" s="245"/>
      <c r="I75" s="245"/>
      <c r="J75" s="245"/>
      <c r="K75" s="245"/>
      <c r="L75" s="245"/>
      <c r="M75" s="246"/>
      <c r="N75" s="246"/>
      <c r="O75" s="246"/>
      <c r="P75" s="246"/>
      <c r="Q75" s="246"/>
      <c r="R75" s="247"/>
      <c r="S75" s="248"/>
      <c r="T75" s="245"/>
      <c r="U75" s="245"/>
      <c r="V75" s="245"/>
      <c r="W75" s="245"/>
      <c r="X75" s="245"/>
      <c r="Y75" s="245"/>
      <c r="Z75" s="246"/>
      <c r="AA75" s="246"/>
      <c r="AB75" s="246"/>
      <c r="AC75" s="246"/>
      <c r="AD75" s="246"/>
      <c r="AE75" s="246"/>
      <c r="AF75" s="246"/>
      <c r="AG75" s="246"/>
      <c r="AH75" s="245"/>
    </row>
    <row r="76" spans="2:34" x14ac:dyDescent="0.2">
      <c r="C76" s="245" t="s">
        <v>427</v>
      </c>
      <c r="D76" s="245"/>
      <c r="E76" s="245"/>
      <c r="F76" s="245"/>
      <c r="G76" s="245"/>
      <c r="H76" s="245"/>
      <c r="I76" s="245"/>
      <c r="J76" s="245"/>
      <c r="K76" s="245"/>
      <c r="L76" s="245"/>
      <c r="M76" s="246"/>
      <c r="N76" s="246"/>
      <c r="O76" s="246"/>
      <c r="P76" s="246"/>
      <c r="Q76" s="246"/>
      <c r="R76" s="247"/>
      <c r="S76" s="248"/>
      <c r="T76" s="245"/>
      <c r="U76" s="245"/>
      <c r="V76" s="245"/>
      <c r="W76" s="245"/>
      <c r="X76" s="245"/>
      <c r="Y76" s="245"/>
      <c r="Z76" s="246"/>
      <c r="AA76" s="246"/>
      <c r="AB76" s="246"/>
      <c r="AC76" s="246"/>
      <c r="AD76" s="246"/>
      <c r="AE76" s="246"/>
      <c r="AF76" s="246"/>
      <c r="AG76" s="246"/>
      <c r="AH76" s="245"/>
    </row>
    <row r="77" spans="2:34" x14ac:dyDescent="0.2">
      <c r="C77" s="245" t="s">
        <v>231</v>
      </c>
      <c r="D77" s="245"/>
      <c r="E77" s="245"/>
      <c r="F77" s="245"/>
      <c r="G77" s="245"/>
      <c r="H77" s="245"/>
      <c r="I77" s="245"/>
      <c r="J77" s="245"/>
      <c r="K77" s="245"/>
      <c r="L77" s="245"/>
      <c r="M77" s="246"/>
      <c r="N77" s="246"/>
      <c r="O77" s="246"/>
      <c r="P77" s="246"/>
      <c r="Q77" s="246"/>
      <c r="R77" s="247"/>
      <c r="S77" s="248"/>
      <c r="T77" s="245"/>
      <c r="U77" s="245"/>
      <c r="V77" s="245"/>
      <c r="W77" s="245"/>
      <c r="X77" s="245"/>
      <c r="Y77" s="245"/>
      <c r="Z77" s="246"/>
      <c r="AA77" s="246"/>
      <c r="AB77" s="246"/>
      <c r="AC77" s="246"/>
      <c r="AD77" s="246"/>
      <c r="AE77" s="246"/>
      <c r="AF77" s="246"/>
      <c r="AG77" s="246"/>
      <c r="AH77" s="245"/>
    </row>
    <row r="78" spans="2:34" x14ac:dyDescent="0.2">
      <c r="C78" s="245" t="s">
        <v>417</v>
      </c>
      <c r="D78" s="245"/>
      <c r="E78" s="245"/>
      <c r="F78" s="245"/>
      <c r="G78" s="245"/>
      <c r="H78" s="245"/>
      <c r="I78" s="245"/>
      <c r="J78" s="245"/>
      <c r="K78" s="245"/>
      <c r="L78" s="245"/>
      <c r="M78" s="246"/>
      <c r="N78" s="246"/>
      <c r="O78" s="246"/>
      <c r="P78" s="246"/>
      <c r="Q78" s="246"/>
      <c r="R78" s="247"/>
      <c r="S78" s="248"/>
      <c r="T78" s="245"/>
      <c r="U78" s="245"/>
      <c r="V78" s="245"/>
      <c r="W78" s="245"/>
      <c r="X78" s="245"/>
      <c r="Y78" s="245"/>
      <c r="Z78" s="246"/>
      <c r="AA78" s="246"/>
      <c r="AB78" s="246"/>
      <c r="AC78" s="246"/>
      <c r="AD78" s="246"/>
      <c r="AE78" s="246"/>
      <c r="AF78" s="246"/>
      <c r="AG78" s="246"/>
      <c r="AH78" s="245"/>
    </row>
    <row r="79" spans="2:34" ht="51" x14ac:dyDescent="0.2">
      <c r="C79" s="245" t="s">
        <v>428</v>
      </c>
      <c r="D79" s="245"/>
      <c r="E79" s="245"/>
      <c r="F79" s="245"/>
      <c r="G79" s="245"/>
      <c r="H79" s="245"/>
      <c r="I79" s="251"/>
      <c r="J79" s="245"/>
      <c r="K79" s="245"/>
      <c r="L79" s="245"/>
      <c r="M79" s="246"/>
      <c r="N79" s="246"/>
      <c r="O79" s="246"/>
      <c r="P79" s="246"/>
      <c r="Q79" s="246"/>
      <c r="R79" s="247"/>
      <c r="S79" s="248"/>
      <c r="T79" s="245"/>
      <c r="U79" s="245"/>
      <c r="V79" s="245"/>
      <c r="W79" s="245" t="s">
        <v>429</v>
      </c>
      <c r="X79" s="245"/>
      <c r="Y79" s="245"/>
      <c r="Z79" s="246"/>
      <c r="AA79" s="246"/>
      <c r="AB79" s="246"/>
      <c r="AC79" s="246"/>
      <c r="AD79" s="246"/>
      <c r="AE79" s="246"/>
      <c r="AF79" s="246"/>
      <c r="AG79" s="246"/>
      <c r="AH79" s="245"/>
    </row>
    <row r="80" spans="2:34" x14ac:dyDescent="0.2">
      <c r="C80" s="245"/>
      <c r="D80" s="245"/>
      <c r="E80" s="245"/>
      <c r="F80" s="245"/>
      <c r="G80" s="245"/>
      <c r="H80" s="245"/>
      <c r="I80" s="251"/>
      <c r="J80" s="245"/>
      <c r="K80" s="245"/>
      <c r="L80" s="245"/>
      <c r="M80" s="246"/>
      <c r="N80" s="246"/>
      <c r="O80" s="246"/>
      <c r="P80" s="246"/>
      <c r="Q80" s="246"/>
      <c r="R80" s="247"/>
      <c r="S80" s="248"/>
      <c r="T80" s="245"/>
      <c r="U80" s="245"/>
      <c r="V80" s="245"/>
      <c r="W80" s="245"/>
      <c r="X80" s="245"/>
      <c r="Y80" s="245"/>
      <c r="Z80" s="246"/>
      <c r="AA80" s="246"/>
      <c r="AB80" s="246"/>
      <c r="AC80" s="246"/>
      <c r="AD80" s="246"/>
      <c r="AE80" s="246"/>
      <c r="AF80" s="246"/>
      <c r="AG80" s="246"/>
      <c r="AH80" s="245"/>
    </row>
    <row r="81" spans="3:34" x14ac:dyDescent="0.2">
      <c r="C81" s="245"/>
      <c r="D81" s="245"/>
      <c r="E81" s="245"/>
      <c r="F81" s="245"/>
      <c r="G81" s="245"/>
      <c r="H81" s="245"/>
      <c r="I81" s="251"/>
      <c r="J81" s="245"/>
      <c r="K81" s="245"/>
      <c r="L81" s="245"/>
      <c r="M81" s="246"/>
      <c r="N81" s="246"/>
      <c r="O81" s="246"/>
      <c r="P81" s="246"/>
      <c r="Q81" s="246"/>
      <c r="R81" s="247"/>
      <c r="S81" s="248"/>
      <c r="T81" s="245"/>
      <c r="U81" s="245"/>
      <c r="V81" s="245"/>
      <c r="W81" s="245"/>
      <c r="X81" s="245"/>
      <c r="Y81" s="245"/>
      <c r="Z81" s="246"/>
      <c r="AA81" s="246"/>
      <c r="AB81" s="246"/>
      <c r="AC81" s="246"/>
      <c r="AD81" s="246"/>
      <c r="AE81" s="246"/>
      <c r="AF81" s="246"/>
      <c r="AG81" s="246"/>
      <c r="AH81" s="245"/>
    </row>
    <row r="82" spans="3:34" x14ac:dyDescent="0.2">
      <c r="C82" s="245"/>
      <c r="D82" s="245"/>
      <c r="E82" s="245"/>
      <c r="F82" s="245"/>
      <c r="G82" s="245"/>
      <c r="H82" s="245"/>
      <c r="I82" s="251"/>
      <c r="J82" s="245"/>
      <c r="K82" s="245"/>
      <c r="L82" s="245"/>
      <c r="M82" s="246"/>
      <c r="N82" s="246"/>
      <c r="O82" s="246"/>
      <c r="P82" s="246"/>
      <c r="Q82" s="246"/>
      <c r="R82" s="247"/>
      <c r="S82" s="248"/>
      <c r="T82" s="245"/>
      <c r="U82" s="245"/>
      <c r="V82" s="245"/>
      <c r="W82" s="245"/>
      <c r="X82" s="245"/>
      <c r="Y82" s="245"/>
      <c r="Z82" s="246"/>
      <c r="AA82" s="246"/>
      <c r="AB82" s="246"/>
      <c r="AC82" s="246"/>
      <c r="AD82" s="246"/>
      <c r="AE82" s="246"/>
      <c r="AF82" s="246"/>
      <c r="AG82" s="246"/>
      <c r="AH82" s="245"/>
    </row>
    <row r="83" spans="3:34" x14ac:dyDescent="0.2">
      <c r="C83" s="245"/>
      <c r="D83" s="245"/>
      <c r="E83" s="245"/>
      <c r="F83" s="245"/>
      <c r="G83" s="245"/>
      <c r="H83" s="245"/>
      <c r="I83" s="251"/>
      <c r="J83" s="245"/>
      <c r="K83" s="245"/>
      <c r="L83" s="245"/>
      <c r="M83" s="246"/>
      <c r="N83" s="246"/>
      <c r="O83" s="246"/>
      <c r="P83" s="246"/>
      <c r="Q83" s="246"/>
      <c r="R83" s="247"/>
      <c r="S83" s="248"/>
      <c r="T83" s="245"/>
      <c r="U83" s="245"/>
      <c r="V83" s="245"/>
      <c r="W83" s="245"/>
      <c r="X83" s="245"/>
      <c r="Y83" s="245"/>
      <c r="Z83" s="246"/>
      <c r="AA83" s="246"/>
      <c r="AB83" s="246"/>
      <c r="AC83" s="246"/>
      <c r="AD83" s="246"/>
      <c r="AE83" s="246"/>
      <c r="AF83" s="246"/>
      <c r="AG83" s="246"/>
      <c r="AH83" s="245"/>
    </row>
    <row r="84" spans="3:34" x14ac:dyDescent="0.2">
      <c r="C84" s="245"/>
      <c r="D84" s="245"/>
      <c r="E84" s="245"/>
      <c r="F84" s="245"/>
      <c r="G84" s="245"/>
      <c r="H84" s="245"/>
      <c r="I84" s="251"/>
      <c r="J84" s="245"/>
      <c r="K84" s="245"/>
      <c r="L84" s="245"/>
      <c r="M84" s="246"/>
      <c r="N84" s="246"/>
      <c r="O84" s="246"/>
      <c r="P84" s="246"/>
      <c r="Q84" s="246"/>
      <c r="R84" s="247"/>
      <c r="S84" s="248"/>
      <c r="T84" s="245"/>
      <c r="U84" s="245"/>
      <c r="V84" s="245"/>
      <c r="W84" s="245"/>
      <c r="X84" s="245"/>
      <c r="Y84" s="245"/>
      <c r="Z84" s="246"/>
      <c r="AA84" s="246"/>
      <c r="AB84" s="246"/>
      <c r="AC84" s="246"/>
      <c r="AD84" s="246"/>
      <c r="AE84" s="246"/>
      <c r="AF84" s="246"/>
      <c r="AG84" s="246"/>
      <c r="AH84" s="245"/>
    </row>
    <row r="85" spans="3:34" x14ac:dyDescent="0.2">
      <c r="C85" s="245"/>
      <c r="D85" s="245"/>
      <c r="E85" s="245"/>
      <c r="F85" s="245"/>
      <c r="G85" s="245"/>
      <c r="H85" s="245"/>
      <c r="I85" s="251"/>
      <c r="J85" s="245"/>
      <c r="K85" s="245"/>
      <c r="L85" s="245"/>
      <c r="M85" s="246"/>
      <c r="N85" s="246"/>
      <c r="O85" s="246"/>
      <c r="P85" s="246"/>
      <c r="Q85" s="246"/>
      <c r="R85" s="247"/>
      <c r="S85" s="248"/>
      <c r="T85" s="245"/>
      <c r="U85" s="245"/>
      <c r="V85" s="245"/>
      <c r="W85" s="245"/>
      <c r="X85" s="245"/>
      <c r="Y85" s="245"/>
      <c r="Z85" s="246"/>
      <c r="AA85" s="246"/>
      <c r="AB85" s="246"/>
      <c r="AC85" s="246"/>
      <c r="AD85" s="246"/>
      <c r="AE85" s="246"/>
      <c r="AF85" s="246"/>
      <c r="AG85" s="246"/>
      <c r="AH85" s="245"/>
    </row>
    <row r="86" spans="3:34" x14ac:dyDescent="0.2">
      <c r="C86" s="245"/>
      <c r="D86" s="245"/>
      <c r="E86" s="245"/>
      <c r="F86" s="245"/>
      <c r="G86" s="245"/>
      <c r="H86" s="245"/>
      <c r="I86" s="251"/>
      <c r="J86" s="245"/>
      <c r="K86" s="245"/>
      <c r="L86" s="245"/>
      <c r="M86" s="246"/>
      <c r="N86" s="246"/>
      <c r="O86" s="246"/>
      <c r="P86" s="246"/>
      <c r="Q86" s="246"/>
      <c r="R86" s="247"/>
      <c r="S86" s="248"/>
      <c r="T86" s="245"/>
      <c r="U86" s="245"/>
      <c r="V86" s="245"/>
      <c r="W86" s="245"/>
      <c r="X86" s="245"/>
      <c r="Y86" s="245"/>
      <c r="Z86" s="246"/>
      <c r="AA86" s="246"/>
      <c r="AB86" s="246"/>
      <c r="AC86" s="246"/>
      <c r="AD86" s="246"/>
      <c r="AE86" s="246"/>
      <c r="AF86" s="246"/>
      <c r="AG86" s="246"/>
      <c r="AH86" s="245"/>
    </row>
    <row r="87" spans="3:34" x14ac:dyDescent="0.2">
      <c r="C87" s="245"/>
      <c r="D87" s="245"/>
      <c r="E87" s="245"/>
      <c r="F87" s="245"/>
      <c r="G87" s="245"/>
      <c r="H87" s="245"/>
      <c r="I87" s="251"/>
      <c r="J87" s="245"/>
      <c r="K87" s="245"/>
      <c r="L87" s="245"/>
      <c r="M87" s="246"/>
      <c r="N87" s="246"/>
      <c r="O87" s="246"/>
      <c r="P87" s="246"/>
      <c r="Q87" s="246"/>
      <c r="R87" s="247"/>
      <c r="S87" s="248"/>
      <c r="T87" s="245"/>
      <c r="U87" s="245"/>
      <c r="V87" s="245"/>
      <c r="W87" s="245"/>
      <c r="X87" s="245"/>
      <c r="Y87" s="245"/>
      <c r="Z87" s="246"/>
      <c r="AA87" s="246"/>
      <c r="AB87" s="246"/>
      <c r="AC87" s="246"/>
      <c r="AD87" s="246"/>
      <c r="AE87" s="246"/>
      <c r="AF87" s="246"/>
      <c r="AG87" s="246"/>
      <c r="AH87" s="245"/>
    </row>
    <row r="88" spans="3:34" x14ac:dyDescent="0.2">
      <c r="C88" s="245"/>
      <c r="D88" s="245"/>
      <c r="E88" s="245"/>
      <c r="F88" s="245"/>
      <c r="G88" s="245"/>
      <c r="H88" s="245"/>
      <c r="I88" s="251"/>
      <c r="J88" s="245"/>
      <c r="K88" s="245"/>
      <c r="L88" s="245"/>
      <c r="M88" s="246"/>
      <c r="N88" s="246"/>
      <c r="O88" s="246"/>
      <c r="P88" s="246"/>
      <c r="Q88" s="246"/>
      <c r="R88" s="247"/>
      <c r="S88" s="248"/>
      <c r="T88" s="245"/>
      <c r="U88" s="245"/>
      <c r="V88" s="245"/>
      <c r="W88" s="245"/>
      <c r="X88" s="245"/>
      <c r="Y88" s="245"/>
      <c r="Z88" s="246"/>
      <c r="AA88" s="246"/>
      <c r="AB88" s="246"/>
      <c r="AC88" s="246"/>
      <c r="AD88" s="246"/>
      <c r="AE88" s="246"/>
      <c r="AF88" s="246"/>
      <c r="AG88" s="246"/>
      <c r="AH88" s="245"/>
    </row>
    <row r="89" spans="3:34" x14ac:dyDescent="0.2">
      <c r="C89" s="245"/>
      <c r="D89" s="245"/>
      <c r="E89" s="245"/>
      <c r="F89" s="245"/>
      <c r="G89" s="245"/>
      <c r="H89" s="245"/>
      <c r="I89" s="251"/>
      <c r="J89" s="245"/>
      <c r="K89" s="245"/>
      <c r="L89" s="245"/>
      <c r="M89" s="246"/>
      <c r="N89" s="246"/>
      <c r="O89" s="246"/>
      <c r="P89" s="246"/>
      <c r="Q89" s="246"/>
      <c r="R89" s="247"/>
      <c r="S89" s="248"/>
      <c r="T89" s="245"/>
      <c r="U89" s="245"/>
      <c r="V89" s="245"/>
      <c r="W89" s="245"/>
      <c r="X89" s="245"/>
      <c r="Y89" s="245"/>
      <c r="Z89" s="246"/>
      <c r="AA89" s="246"/>
      <c r="AB89" s="246"/>
      <c r="AC89" s="246"/>
      <c r="AD89" s="246"/>
      <c r="AE89" s="246"/>
      <c r="AF89" s="246"/>
      <c r="AG89" s="246"/>
      <c r="AH89" s="245"/>
    </row>
    <row r="90" spans="3:34" x14ac:dyDescent="0.2">
      <c r="C90" s="245"/>
      <c r="D90" s="245"/>
      <c r="E90" s="245"/>
      <c r="F90" s="245"/>
      <c r="G90" s="245"/>
      <c r="H90" s="245"/>
      <c r="I90" s="251"/>
      <c r="J90" s="245"/>
      <c r="K90" s="245"/>
      <c r="L90" s="245"/>
      <c r="M90" s="246"/>
      <c r="N90" s="246"/>
      <c r="O90" s="246"/>
      <c r="P90" s="246"/>
      <c r="Q90" s="246"/>
      <c r="R90" s="247"/>
      <c r="S90" s="248"/>
      <c r="T90" s="245"/>
      <c r="U90" s="245"/>
      <c r="V90" s="245"/>
      <c r="W90" s="245"/>
      <c r="X90" s="245"/>
      <c r="Y90" s="245"/>
      <c r="Z90" s="246"/>
      <c r="AA90" s="246"/>
      <c r="AB90" s="246"/>
      <c r="AC90" s="246"/>
      <c r="AD90" s="246"/>
      <c r="AE90" s="246"/>
      <c r="AF90" s="246"/>
      <c r="AG90" s="246"/>
      <c r="AH90" s="245"/>
    </row>
    <row r="91" spans="3:34" x14ac:dyDescent="0.2">
      <c r="C91" s="245"/>
      <c r="D91" s="245"/>
      <c r="E91" s="245"/>
      <c r="F91" s="245"/>
      <c r="G91" s="245"/>
      <c r="H91" s="245"/>
      <c r="I91" s="251"/>
      <c r="J91" s="245"/>
      <c r="K91" s="245"/>
      <c r="L91" s="245"/>
      <c r="M91" s="246"/>
      <c r="N91" s="246"/>
      <c r="O91" s="246"/>
      <c r="P91" s="246"/>
      <c r="Q91" s="246"/>
      <c r="R91" s="247"/>
      <c r="S91" s="248"/>
      <c r="T91" s="245"/>
      <c r="U91" s="245"/>
      <c r="V91" s="245"/>
      <c r="W91" s="245"/>
      <c r="X91" s="245"/>
      <c r="Y91" s="245"/>
      <c r="Z91" s="246"/>
      <c r="AA91" s="246"/>
      <c r="AB91" s="246"/>
      <c r="AC91" s="246"/>
      <c r="AD91" s="246"/>
      <c r="AE91" s="246"/>
      <c r="AF91" s="246"/>
      <c r="AG91" s="246"/>
      <c r="AH91" s="245"/>
    </row>
    <row r="92" spans="3:34" x14ac:dyDescent="0.2">
      <c r="C92" s="245"/>
      <c r="D92" s="245"/>
      <c r="E92" s="245"/>
      <c r="F92" s="245"/>
      <c r="G92" s="245"/>
      <c r="H92" s="245"/>
      <c r="I92" s="251"/>
      <c r="J92" s="245"/>
      <c r="K92" s="245"/>
      <c r="L92" s="245"/>
      <c r="M92" s="246"/>
      <c r="N92" s="246"/>
      <c r="O92" s="246"/>
      <c r="P92" s="246"/>
      <c r="Q92" s="246"/>
      <c r="R92" s="247"/>
      <c r="S92" s="248"/>
      <c r="T92" s="245"/>
      <c r="U92" s="245"/>
      <c r="V92" s="245"/>
      <c r="W92" s="245"/>
      <c r="X92" s="245"/>
      <c r="Y92" s="245"/>
      <c r="Z92" s="246"/>
      <c r="AA92" s="246"/>
      <c r="AB92" s="246"/>
      <c r="AC92" s="246"/>
      <c r="AD92" s="246"/>
      <c r="AE92" s="246"/>
      <c r="AF92" s="246"/>
      <c r="AG92" s="246"/>
      <c r="AH92" s="245"/>
    </row>
    <row r="93" spans="3:34" x14ac:dyDescent="0.2">
      <c r="C93" s="245"/>
      <c r="D93" s="245"/>
      <c r="E93" s="245"/>
      <c r="F93" s="245"/>
      <c r="G93" s="245"/>
      <c r="H93" s="245"/>
      <c r="I93" s="251"/>
      <c r="J93" s="245"/>
      <c r="K93" s="245"/>
      <c r="L93" s="245"/>
      <c r="M93" s="246"/>
      <c r="N93" s="246"/>
      <c r="O93" s="246"/>
      <c r="P93" s="246"/>
      <c r="Q93" s="246"/>
      <c r="R93" s="247"/>
      <c r="S93" s="248"/>
      <c r="T93" s="245"/>
      <c r="U93" s="245"/>
      <c r="V93" s="245"/>
      <c r="W93" s="245"/>
      <c r="X93" s="245"/>
      <c r="Y93" s="245"/>
      <c r="Z93" s="246"/>
      <c r="AA93" s="246"/>
      <c r="AB93" s="246"/>
      <c r="AC93" s="246"/>
      <c r="AD93" s="246"/>
      <c r="AE93" s="246"/>
      <c r="AF93" s="246"/>
      <c r="AG93" s="246"/>
      <c r="AH93" s="245"/>
    </row>
    <row r="94" spans="3:34" x14ac:dyDescent="0.2">
      <c r="C94" s="245"/>
      <c r="D94" s="245"/>
      <c r="E94" s="245"/>
      <c r="F94" s="245"/>
      <c r="G94" s="245"/>
      <c r="H94" s="245"/>
      <c r="I94" s="245"/>
      <c r="J94" s="245"/>
      <c r="K94" s="245"/>
      <c r="L94" s="245"/>
      <c r="M94" s="246"/>
      <c r="N94" s="246"/>
      <c r="O94" s="246"/>
      <c r="P94" s="246"/>
      <c r="Q94" s="246"/>
      <c r="R94" s="247"/>
      <c r="S94" s="248"/>
      <c r="T94" s="245"/>
      <c r="U94" s="245"/>
      <c r="V94" s="245"/>
      <c r="W94" s="245"/>
      <c r="X94" s="245"/>
      <c r="Y94" s="245"/>
      <c r="Z94" s="246"/>
      <c r="AA94" s="246"/>
      <c r="AB94" s="246"/>
      <c r="AC94" s="246"/>
      <c r="AD94" s="246"/>
      <c r="AE94" s="246"/>
      <c r="AF94" s="246"/>
      <c r="AG94" s="246"/>
      <c r="AH94" s="245"/>
    </row>
    <row r="95" spans="3:34" x14ac:dyDescent="0.2">
      <c r="C95" s="245"/>
      <c r="D95" s="245"/>
      <c r="E95" s="245"/>
      <c r="F95" s="245"/>
      <c r="G95" s="245"/>
      <c r="H95" s="245"/>
      <c r="I95" s="245"/>
      <c r="J95" s="245"/>
      <c r="K95" s="245"/>
      <c r="L95" s="245"/>
      <c r="M95" s="246"/>
      <c r="N95" s="246"/>
      <c r="O95" s="246"/>
      <c r="P95" s="246"/>
      <c r="Q95" s="246"/>
      <c r="R95" s="247"/>
      <c r="S95" s="248"/>
      <c r="T95" s="245"/>
      <c r="U95" s="245"/>
      <c r="V95" s="245"/>
      <c r="W95" s="245"/>
      <c r="X95" s="245"/>
      <c r="Y95" s="245"/>
      <c r="Z95" s="246"/>
      <c r="AA95" s="246"/>
      <c r="AB95" s="246"/>
      <c r="AC95" s="246"/>
      <c r="AD95" s="246"/>
      <c r="AE95" s="246"/>
      <c r="AF95" s="246"/>
      <c r="AG95" s="246"/>
      <c r="AH95" s="245"/>
    </row>
    <row r="96" spans="3:34" x14ac:dyDescent="0.2">
      <c r="C96" s="245"/>
      <c r="D96" s="245"/>
      <c r="E96" s="245"/>
      <c r="F96" s="245"/>
      <c r="G96" s="245"/>
      <c r="H96" s="245"/>
      <c r="I96" s="245"/>
      <c r="J96" s="245"/>
      <c r="K96" s="245"/>
      <c r="L96" s="245"/>
      <c r="M96" s="246"/>
      <c r="N96" s="246"/>
      <c r="O96" s="246"/>
      <c r="P96" s="246"/>
      <c r="Q96" s="246"/>
      <c r="R96" s="247"/>
      <c r="S96" s="248"/>
      <c r="T96" s="245"/>
      <c r="U96" s="245"/>
      <c r="V96" s="245"/>
      <c r="W96" s="245"/>
      <c r="X96" s="245"/>
      <c r="Y96" s="245"/>
      <c r="Z96" s="246"/>
      <c r="AA96" s="246"/>
      <c r="AB96" s="246"/>
      <c r="AC96" s="246"/>
      <c r="AD96" s="246"/>
      <c r="AE96" s="246"/>
      <c r="AF96" s="246"/>
      <c r="AG96" s="246"/>
      <c r="AH96" s="245"/>
    </row>
    <row r="97" spans="3:34" x14ac:dyDescent="0.2">
      <c r="C97" s="245"/>
      <c r="D97" s="245"/>
      <c r="E97" s="245"/>
      <c r="F97" s="245"/>
      <c r="G97" s="245"/>
      <c r="H97" s="245"/>
      <c r="I97" s="245"/>
      <c r="J97" s="245"/>
      <c r="K97" s="245"/>
      <c r="L97" s="245"/>
      <c r="M97" s="246"/>
      <c r="N97" s="246"/>
      <c r="O97" s="246"/>
      <c r="P97" s="246"/>
      <c r="Q97" s="246"/>
      <c r="R97" s="247"/>
      <c r="S97" s="248"/>
      <c r="T97" s="245"/>
      <c r="U97" s="245"/>
      <c r="V97" s="245"/>
      <c r="W97" s="245"/>
      <c r="X97" s="245"/>
      <c r="Y97" s="245"/>
      <c r="Z97" s="246"/>
      <c r="AA97" s="246"/>
      <c r="AB97" s="246"/>
      <c r="AC97" s="246"/>
      <c r="AD97" s="246"/>
      <c r="AE97" s="246"/>
      <c r="AF97" s="246"/>
      <c r="AG97" s="246"/>
      <c r="AH97" s="245"/>
    </row>
    <row r="98" spans="3:34" x14ac:dyDescent="0.2">
      <c r="C98" s="245"/>
      <c r="D98" s="245"/>
      <c r="E98" s="245"/>
      <c r="F98" s="245"/>
      <c r="G98" s="245"/>
      <c r="H98" s="245"/>
      <c r="I98" s="245"/>
      <c r="J98" s="245"/>
      <c r="K98" s="245"/>
      <c r="L98" s="245"/>
      <c r="M98" s="246"/>
      <c r="N98" s="246"/>
      <c r="O98" s="246"/>
      <c r="P98" s="246"/>
      <c r="Q98" s="246"/>
      <c r="R98" s="247"/>
      <c r="S98" s="248"/>
      <c r="T98" s="245"/>
      <c r="U98" s="245"/>
      <c r="V98" s="245"/>
      <c r="W98" s="245"/>
      <c r="X98" s="245"/>
      <c r="Y98" s="245"/>
      <c r="Z98" s="246"/>
      <c r="AA98" s="246"/>
      <c r="AB98" s="246"/>
      <c r="AC98" s="246"/>
      <c r="AD98" s="246"/>
      <c r="AE98" s="246"/>
      <c r="AF98" s="246"/>
      <c r="AG98" s="246"/>
      <c r="AH98" s="245"/>
    </row>
    <row r="99" spans="3:34" x14ac:dyDescent="0.2">
      <c r="C99" s="245"/>
      <c r="D99" s="245"/>
      <c r="E99" s="245"/>
      <c r="F99" s="245"/>
      <c r="G99" s="245"/>
      <c r="H99" s="245"/>
      <c r="I99" s="245"/>
      <c r="J99" s="245"/>
      <c r="K99" s="245"/>
      <c r="L99" s="245"/>
      <c r="M99" s="246"/>
      <c r="N99" s="246"/>
      <c r="O99" s="246"/>
      <c r="P99" s="246"/>
      <c r="Q99" s="246"/>
      <c r="R99" s="247"/>
      <c r="S99" s="248"/>
      <c r="T99" s="245"/>
      <c r="U99" s="245"/>
      <c r="V99" s="245"/>
      <c r="W99" s="245"/>
      <c r="X99" s="245"/>
      <c r="Y99" s="245"/>
      <c r="Z99" s="246"/>
      <c r="AA99" s="246"/>
      <c r="AB99" s="246"/>
      <c r="AC99" s="246"/>
      <c r="AD99" s="246"/>
      <c r="AE99" s="246"/>
      <c r="AF99" s="246"/>
      <c r="AG99" s="246"/>
      <c r="AH99" s="245"/>
    </row>
    <row r="100" spans="3:34" x14ac:dyDescent="0.2">
      <c r="C100" s="245"/>
      <c r="D100" s="245"/>
      <c r="E100" s="245"/>
      <c r="F100" s="245"/>
      <c r="G100" s="245"/>
      <c r="H100" s="245"/>
      <c r="I100" s="245"/>
      <c r="J100" s="245"/>
      <c r="K100" s="245"/>
      <c r="L100" s="245"/>
      <c r="M100" s="246"/>
      <c r="N100" s="246"/>
      <c r="O100" s="246"/>
      <c r="P100" s="246"/>
      <c r="Q100" s="246"/>
      <c r="R100" s="247"/>
      <c r="S100" s="248"/>
      <c r="T100" s="245"/>
      <c r="U100" s="245"/>
      <c r="V100" s="245"/>
      <c r="W100" s="245"/>
      <c r="X100" s="245"/>
      <c r="Y100" s="245"/>
      <c r="Z100" s="246"/>
      <c r="AA100" s="246"/>
      <c r="AB100" s="246"/>
      <c r="AC100" s="246"/>
      <c r="AD100" s="246"/>
      <c r="AE100" s="246"/>
      <c r="AF100" s="246"/>
      <c r="AG100" s="246"/>
      <c r="AH100" s="245"/>
    </row>
    <row r="101" spans="3:34" x14ac:dyDescent="0.2">
      <c r="C101" s="245"/>
      <c r="D101" s="245"/>
      <c r="E101" s="245"/>
      <c r="F101" s="245"/>
      <c r="G101" s="245"/>
      <c r="H101" s="245"/>
      <c r="I101" s="245"/>
      <c r="J101" s="245"/>
      <c r="K101" s="245"/>
      <c r="L101" s="245"/>
      <c r="M101" s="246"/>
      <c r="N101" s="246"/>
      <c r="O101" s="246"/>
      <c r="P101" s="246"/>
      <c r="Q101" s="246"/>
      <c r="R101" s="247"/>
      <c r="S101" s="248"/>
      <c r="T101" s="245"/>
      <c r="U101" s="245"/>
      <c r="V101" s="245"/>
      <c r="W101" s="245"/>
      <c r="X101" s="245"/>
      <c r="Y101" s="245"/>
      <c r="Z101" s="246"/>
      <c r="AA101" s="246"/>
      <c r="AB101" s="246"/>
      <c r="AC101" s="246"/>
      <c r="AD101" s="246"/>
      <c r="AE101" s="246"/>
      <c r="AF101" s="246"/>
      <c r="AG101" s="246"/>
      <c r="AH101" s="245"/>
    </row>
    <row r="102" spans="3:34" x14ac:dyDescent="0.2">
      <c r="C102" s="245"/>
      <c r="D102" s="245"/>
      <c r="E102" s="245"/>
      <c r="F102" s="245"/>
      <c r="G102" s="245"/>
      <c r="H102" s="245"/>
      <c r="I102" s="245"/>
      <c r="J102" s="245"/>
      <c r="K102" s="245"/>
      <c r="L102" s="245"/>
      <c r="M102" s="246"/>
      <c r="N102" s="246"/>
      <c r="O102" s="246"/>
      <c r="P102" s="246"/>
      <c r="Q102" s="246"/>
      <c r="R102" s="247"/>
      <c r="S102" s="248"/>
      <c r="T102" s="245"/>
      <c r="U102" s="245"/>
      <c r="V102" s="245"/>
      <c r="W102" s="245"/>
      <c r="X102" s="245"/>
      <c r="Y102" s="245"/>
      <c r="Z102" s="246"/>
      <c r="AA102" s="246"/>
      <c r="AB102" s="246"/>
      <c r="AC102" s="246"/>
      <c r="AD102" s="246"/>
      <c r="AE102" s="246"/>
      <c r="AF102" s="246"/>
      <c r="AG102" s="246"/>
      <c r="AH102" s="245"/>
    </row>
    <row r="103" spans="3:34" x14ac:dyDescent="0.2">
      <c r="C103" s="245"/>
      <c r="D103" s="245"/>
      <c r="E103" s="245"/>
      <c r="F103" s="245"/>
      <c r="G103" s="245"/>
      <c r="H103" s="245"/>
      <c r="I103" s="245"/>
      <c r="J103" s="245"/>
      <c r="K103" s="245"/>
      <c r="L103" s="245"/>
      <c r="M103" s="246"/>
      <c r="N103" s="246"/>
      <c r="O103" s="246"/>
      <c r="P103" s="246"/>
      <c r="Q103" s="246"/>
      <c r="R103" s="247"/>
      <c r="S103" s="248"/>
      <c r="T103" s="245"/>
      <c r="U103" s="245"/>
      <c r="V103" s="245"/>
      <c r="W103" s="245"/>
      <c r="X103" s="245"/>
      <c r="Y103" s="245"/>
      <c r="Z103" s="246"/>
      <c r="AA103" s="246"/>
      <c r="AB103" s="246"/>
      <c r="AC103" s="246"/>
      <c r="AD103" s="246"/>
      <c r="AE103" s="246"/>
      <c r="AF103" s="246"/>
      <c r="AG103" s="246"/>
      <c r="AH103" s="245"/>
    </row>
    <row r="104" spans="3:34" x14ac:dyDescent="0.2">
      <c r="C104" s="245"/>
      <c r="D104" s="245"/>
      <c r="E104" s="245"/>
      <c r="F104" s="245"/>
      <c r="G104" s="245"/>
      <c r="H104" s="245"/>
      <c r="I104" s="245"/>
      <c r="J104" s="245"/>
      <c r="K104" s="245"/>
      <c r="L104" s="245"/>
      <c r="M104" s="246"/>
      <c r="N104" s="246"/>
      <c r="O104" s="246"/>
      <c r="P104" s="246"/>
      <c r="Q104" s="246"/>
      <c r="R104" s="247"/>
      <c r="S104" s="248"/>
      <c r="T104" s="245"/>
      <c r="U104" s="245"/>
      <c r="V104" s="245"/>
      <c r="W104" s="245"/>
      <c r="X104" s="245"/>
      <c r="Y104" s="245"/>
      <c r="Z104" s="246"/>
      <c r="AA104" s="246"/>
      <c r="AB104" s="246"/>
      <c r="AC104" s="246"/>
      <c r="AD104" s="246"/>
      <c r="AE104" s="246"/>
      <c r="AF104" s="246"/>
      <c r="AG104" s="246"/>
      <c r="AH104" s="245"/>
    </row>
    <row r="105" spans="3:34" x14ac:dyDescent="0.2">
      <c r="C105" s="245"/>
      <c r="D105" s="245"/>
      <c r="E105" s="245"/>
      <c r="F105" s="245"/>
      <c r="G105" s="245"/>
      <c r="H105" s="245"/>
      <c r="I105" s="245"/>
      <c r="J105" s="245"/>
      <c r="K105" s="245"/>
      <c r="L105" s="245"/>
      <c r="M105" s="246"/>
      <c r="N105" s="246"/>
      <c r="O105" s="246"/>
      <c r="P105" s="246"/>
      <c r="Q105" s="246"/>
      <c r="R105" s="247"/>
      <c r="S105" s="248"/>
      <c r="T105" s="245"/>
      <c r="U105" s="245"/>
      <c r="V105" s="245"/>
      <c r="W105" s="245"/>
      <c r="X105" s="245"/>
      <c r="Y105" s="245"/>
      <c r="Z105" s="246"/>
      <c r="AA105" s="246"/>
      <c r="AB105" s="246"/>
      <c r="AC105" s="246"/>
      <c r="AD105" s="246"/>
      <c r="AE105" s="246"/>
      <c r="AF105" s="246"/>
      <c r="AG105" s="246"/>
      <c r="AH105" s="245"/>
    </row>
    <row r="106" spans="3:34" x14ac:dyDescent="0.2">
      <c r="C106" s="245"/>
      <c r="D106" s="245"/>
      <c r="E106" s="245"/>
      <c r="F106" s="245"/>
      <c r="G106" s="245"/>
      <c r="H106" s="245"/>
      <c r="I106" s="245"/>
      <c r="J106" s="245"/>
      <c r="K106" s="245"/>
      <c r="L106" s="245"/>
      <c r="M106" s="246"/>
      <c r="N106" s="246"/>
      <c r="O106" s="246"/>
      <c r="P106" s="246"/>
      <c r="Q106" s="246"/>
      <c r="R106" s="247"/>
      <c r="S106" s="248"/>
      <c r="T106" s="245"/>
      <c r="U106" s="245"/>
      <c r="V106" s="245"/>
      <c r="W106" s="245"/>
      <c r="X106" s="245"/>
      <c r="Y106" s="245"/>
      <c r="Z106" s="246"/>
      <c r="AA106" s="246"/>
      <c r="AB106" s="246"/>
      <c r="AC106" s="246"/>
      <c r="AD106" s="246"/>
      <c r="AE106" s="246"/>
      <c r="AF106" s="246"/>
      <c r="AG106" s="246"/>
      <c r="AH106" s="245"/>
    </row>
    <row r="107" spans="3:34" x14ac:dyDescent="0.2">
      <c r="C107" s="245"/>
      <c r="D107" s="245"/>
      <c r="E107" s="245"/>
      <c r="F107" s="245"/>
      <c r="G107" s="245"/>
      <c r="H107" s="245"/>
      <c r="I107" s="245"/>
      <c r="J107" s="245"/>
      <c r="K107" s="245"/>
      <c r="L107" s="245"/>
      <c r="M107" s="246"/>
      <c r="N107" s="246"/>
      <c r="O107" s="246"/>
      <c r="P107" s="246"/>
      <c r="Q107" s="246"/>
      <c r="R107" s="247"/>
      <c r="S107" s="248"/>
      <c r="T107" s="245"/>
      <c r="U107" s="245"/>
      <c r="V107" s="245"/>
      <c r="W107" s="245"/>
      <c r="X107" s="245"/>
      <c r="Y107" s="245"/>
      <c r="Z107" s="246"/>
      <c r="AA107" s="246"/>
      <c r="AB107" s="246"/>
      <c r="AC107" s="246"/>
      <c r="AD107" s="246"/>
      <c r="AE107" s="246"/>
      <c r="AF107" s="246"/>
      <c r="AG107" s="246"/>
      <c r="AH107" s="245"/>
    </row>
    <row r="108" spans="3:34" x14ac:dyDescent="0.2">
      <c r="C108" s="245"/>
      <c r="D108" s="245"/>
      <c r="E108" s="245"/>
      <c r="F108" s="245"/>
      <c r="G108" s="245"/>
      <c r="H108" s="245"/>
      <c r="I108" s="245"/>
      <c r="J108" s="245"/>
      <c r="K108" s="245"/>
      <c r="L108" s="245"/>
      <c r="M108" s="246"/>
      <c r="N108" s="246"/>
      <c r="O108" s="246"/>
      <c r="P108" s="246"/>
      <c r="Q108" s="246"/>
      <c r="R108" s="247"/>
      <c r="S108" s="248"/>
      <c r="T108" s="245"/>
      <c r="U108" s="245"/>
      <c r="V108" s="245"/>
      <c r="W108" s="245"/>
      <c r="X108" s="245"/>
      <c r="Y108" s="245"/>
      <c r="Z108" s="246"/>
      <c r="AA108" s="246"/>
      <c r="AB108" s="246"/>
      <c r="AC108" s="246"/>
      <c r="AD108" s="246"/>
      <c r="AE108" s="246"/>
      <c r="AF108" s="246"/>
      <c r="AG108" s="246"/>
      <c r="AH108" s="245"/>
    </row>
    <row r="109" spans="3:34" x14ac:dyDescent="0.2">
      <c r="C109" s="245"/>
      <c r="D109" s="245"/>
      <c r="E109" s="245"/>
      <c r="F109" s="245"/>
      <c r="G109" s="245"/>
      <c r="H109" s="245"/>
      <c r="I109" s="245"/>
      <c r="J109" s="245"/>
      <c r="K109" s="245"/>
      <c r="L109" s="245"/>
      <c r="M109" s="246"/>
      <c r="N109" s="246"/>
      <c r="O109" s="246"/>
      <c r="P109" s="246"/>
      <c r="Q109" s="246"/>
      <c r="R109" s="247"/>
      <c r="S109" s="248"/>
      <c r="T109" s="245"/>
      <c r="U109" s="245"/>
      <c r="V109" s="245"/>
      <c r="W109" s="245"/>
      <c r="X109" s="245"/>
      <c r="Y109" s="245"/>
      <c r="Z109" s="246"/>
      <c r="AA109" s="246"/>
      <c r="AB109" s="246"/>
      <c r="AC109" s="246"/>
      <c r="AD109" s="246"/>
      <c r="AE109" s="246"/>
      <c r="AF109" s="246"/>
      <c r="AG109" s="246"/>
      <c r="AH109" s="245"/>
    </row>
    <row r="110" spans="3:34" x14ac:dyDescent="0.2">
      <c r="C110" s="245"/>
      <c r="D110" s="245"/>
      <c r="E110" s="245"/>
      <c r="F110" s="245"/>
      <c r="G110" s="245"/>
      <c r="H110" s="245"/>
      <c r="I110" s="245"/>
      <c r="J110" s="245"/>
      <c r="K110" s="245"/>
      <c r="L110" s="245"/>
      <c r="M110" s="246"/>
      <c r="N110" s="246"/>
      <c r="O110" s="246"/>
      <c r="P110" s="246"/>
      <c r="Q110" s="246"/>
      <c r="R110" s="247"/>
      <c r="S110" s="248"/>
      <c r="T110" s="245"/>
      <c r="U110" s="245"/>
      <c r="V110" s="245"/>
      <c r="W110" s="245"/>
      <c r="X110" s="245"/>
      <c r="Y110" s="245"/>
      <c r="Z110" s="246"/>
      <c r="AA110" s="246"/>
      <c r="AB110" s="246"/>
      <c r="AC110" s="246"/>
      <c r="AD110" s="246"/>
      <c r="AE110" s="246"/>
      <c r="AF110" s="246"/>
      <c r="AG110" s="246"/>
      <c r="AH110" s="245"/>
    </row>
    <row r="111" spans="3:34" x14ac:dyDescent="0.2">
      <c r="C111" s="245"/>
      <c r="D111" s="245"/>
      <c r="E111" s="245"/>
      <c r="F111" s="245"/>
      <c r="G111" s="245"/>
      <c r="H111" s="245"/>
      <c r="I111" s="245"/>
      <c r="J111" s="245"/>
      <c r="K111" s="245"/>
      <c r="L111" s="245"/>
      <c r="M111" s="246"/>
      <c r="N111" s="246"/>
      <c r="O111" s="246"/>
      <c r="P111" s="246"/>
      <c r="Q111" s="246"/>
      <c r="R111" s="247"/>
      <c r="S111" s="248"/>
      <c r="T111" s="245"/>
      <c r="U111" s="245"/>
      <c r="V111" s="245"/>
      <c r="W111" s="245"/>
      <c r="X111" s="245"/>
      <c r="Y111" s="245"/>
      <c r="Z111" s="246"/>
      <c r="AA111" s="246"/>
      <c r="AB111" s="246"/>
      <c r="AC111" s="246"/>
      <c r="AD111" s="246"/>
      <c r="AE111" s="246"/>
      <c r="AF111" s="246"/>
      <c r="AG111" s="246"/>
      <c r="AH111" s="245"/>
    </row>
    <row r="112" spans="3:34" x14ac:dyDescent="0.2">
      <c r="C112" s="245"/>
      <c r="D112" s="245"/>
      <c r="E112" s="245"/>
      <c r="F112" s="245"/>
      <c r="G112" s="245"/>
      <c r="H112" s="245"/>
      <c r="I112" s="245"/>
      <c r="J112" s="245"/>
      <c r="K112" s="245"/>
      <c r="L112" s="245"/>
      <c r="M112" s="246"/>
      <c r="N112" s="246"/>
      <c r="O112" s="246"/>
      <c r="P112" s="246"/>
      <c r="Q112" s="246"/>
      <c r="R112" s="247"/>
      <c r="S112" s="248"/>
      <c r="T112" s="245"/>
      <c r="U112" s="245"/>
      <c r="V112" s="245"/>
      <c r="W112" s="245"/>
      <c r="X112" s="245"/>
      <c r="Y112" s="245"/>
      <c r="Z112" s="246"/>
      <c r="AA112" s="246"/>
      <c r="AB112" s="246"/>
      <c r="AC112" s="246"/>
      <c r="AD112" s="246"/>
      <c r="AE112" s="246"/>
      <c r="AF112" s="246"/>
      <c r="AG112" s="246"/>
      <c r="AH112" s="245"/>
    </row>
    <row r="113" spans="3:34" x14ac:dyDescent="0.2">
      <c r="C113" s="245"/>
      <c r="D113" s="245"/>
      <c r="E113" s="245"/>
      <c r="F113" s="245"/>
      <c r="G113" s="245"/>
      <c r="H113" s="245"/>
      <c r="I113" s="245"/>
      <c r="J113" s="245"/>
      <c r="K113" s="245"/>
      <c r="L113" s="245"/>
      <c r="M113" s="246"/>
      <c r="N113" s="246"/>
      <c r="O113" s="246"/>
      <c r="P113" s="246"/>
      <c r="Q113" s="246"/>
      <c r="R113" s="247"/>
      <c r="S113" s="248"/>
      <c r="T113" s="245"/>
      <c r="U113" s="245"/>
      <c r="V113" s="245"/>
      <c r="W113" s="245"/>
      <c r="X113" s="245"/>
      <c r="Y113" s="245"/>
      <c r="Z113" s="246"/>
      <c r="AA113" s="246"/>
      <c r="AB113" s="246"/>
      <c r="AC113" s="246"/>
      <c r="AD113" s="246"/>
      <c r="AE113" s="246"/>
      <c r="AF113" s="246"/>
      <c r="AG113" s="246"/>
      <c r="AH113" s="245"/>
    </row>
    <row r="114" spans="3:34" x14ac:dyDescent="0.2">
      <c r="C114" s="245"/>
      <c r="D114" s="245"/>
      <c r="E114" s="245"/>
      <c r="F114" s="245"/>
      <c r="G114" s="245"/>
      <c r="H114" s="245"/>
      <c r="I114" s="245"/>
      <c r="J114" s="245"/>
      <c r="K114" s="245"/>
      <c r="L114" s="245"/>
      <c r="M114" s="246"/>
      <c r="N114" s="246"/>
      <c r="O114" s="246"/>
      <c r="P114" s="246"/>
      <c r="Q114" s="246"/>
      <c r="R114" s="247"/>
      <c r="S114" s="248"/>
      <c r="T114" s="245"/>
      <c r="U114" s="245"/>
      <c r="V114" s="245"/>
      <c r="W114" s="245"/>
      <c r="X114" s="245"/>
      <c r="Y114" s="245"/>
      <c r="Z114" s="246"/>
      <c r="AA114" s="246"/>
      <c r="AB114" s="246"/>
      <c r="AC114" s="246"/>
      <c r="AD114" s="246"/>
      <c r="AE114" s="246"/>
      <c r="AF114" s="246"/>
      <c r="AG114" s="246"/>
      <c r="AH114" s="245"/>
    </row>
    <row r="115" spans="3:34" x14ac:dyDescent="0.2">
      <c r="C115" s="245"/>
      <c r="D115" s="245"/>
      <c r="E115" s="245"/>
      <c r="F115" s="245"/>
      <c r="G115" s="245"/>
      <c r="H115" s="245"/>
      <c r="I115" s="245"/>
      <c r="J115" s="245"/>
      <c r="K115" s="245"/>
      <c r="L115" s="245"/>
      <c r="M115" s="246"/>
      <c r="N115" s="246"/>
      <c r="O115" s="246"/>
      <c r="P115" s="246"/>
      <c r="Q115" s="246"/>
      <c r="R115" s="247"/>
      <c r="S115" s="248"/>
      <c r="T115" s="245"/>
      <c r="U115" s="245"/>
      <c r="V115" s="245"/>
      <c r="W115" s="245"/>
      <c r="X115" s="245"/>
      <c r="Y115" s="245"/>
      <c r="Z115" s="246"/>
      <c r="AA115" s="246"/>
      <c r="AB115" s="246"/>
      <c r="AC115" s="246"/>
      <c r="AD115" s="246"/>
      <c r="AE115" s="246"/>
      <c r="AF115" s="246"/>
      <c r="AG115" s="246"/>
      <c r="AH115" s="245"/>
    </row>
    <row r="116" spans="3:34" x14ac:dyDescent="0.2">
      <c r="C116" s="245"/>
      <c r="D116" s="245"/>
      <c r="E116" s="245"/>
      <c r="F116" s="245"/>
      <c r="G116" s="245"/>
      <c r="H116" s="245"/>
      <c r="I116" s="245"/>
      <c r="J116" s="245"/>
      <c r="K116" s="245"/>
      <c r="L116" s="245"/>
      <c r="M116" s="246"/>
      <c r="N116" s="246"/>
      <c r="O116" s="246"/>
      <c r="P116" s="246"/>
      <c r="Q116" s="246"/>
      <c r="R116" s="247"/>
      <c r="S116" s="248"/>
      <c r="T116" s="245"/>
      <c r="U116" s="245"/>
      <c r="V116" s="245"/>
      <c r="W116" s="245"/>
      <c r="X116" s="245"/>
      <c r="Y116" s="245"/>
      <c r="Z116" s="246"/>
      <c r="AA116" s="246"/>
      <c r="AB116" s="246"/>
      <c r="AC116" s="246"/>
      <c r="AD116" s="246"/>
      <c r="AE116" s="246"/>
      <c r="AF116" s="246"/>
      <c r="AG116" s="246"/>
      <c r="AH116" s="245"/>
    </row>
    <row r="117" spans="3:34" x14ac:dyDescent="0.2">
      <c r="C117" s="245"/>
      <c r="D117" s="245"/>
      <c r="E117" s="245"/>
      <c r="F117" s="245"/>
      <c r="G117" s="245"/>
      <c r="H117" s="245"/>
      <c r="I117" s="245"/>
      <c r="J117" s="245"/>
      <c r="K117" s="245"/>
      <c r="L117" s="245"/>
      <c r="M117" s="246"/>
      <c r="N117" s="246"/>
      <c r="O117" s="246"/>
      <c r="P117" s="246"/>
      <c r="Q117" s="246"/>
      <c r="R117" s="247"/>
      <c r="S117" s="248"/>
      <c r="T117" s="245"/>
      <c r="U117" s="245"/>
      <c r="V117" s="245"/>
      <c r="W117" s="245"/>
      <c r="X117" s="245"/>
      <c r="Y117" s="245"/>
      <c r="Z117" s="246"/>
      <c r="AA117" s="246"/>
      <c r="AB117" s="246"/>
      <c r="AC117" s="246"/>
      <c r="AD117" s="246"/>
      <c r="AE117" s="246"/>
      <c r="AF117" s="246"/>
      <c r="AG117" s="246"/>
      <c r="AH117" s="245"/>
    </row>
    <row r="118" spans="3:34" x14ac:dyDescent="0.2">
      <c r="C118" s="245"/>
      <c r="D118" s="245"/>
      <c r="E118" s="245"/>
      <c r="F118" s="245"/>
      <c r="G118" s="245"/>
      <c r="H118" s="245"/>
      <c r="I118" s="245"/>
      <c r="J118" s="245"/>
      <c r="K118" s="245"/>
      <c r="L118" s="245"/>
      <c r="M118" s="246"/>
      <c r="N118" s="246"/>
      <c r="O118" s="246"/>
      <c r="P118" s="246"/>
      <c r="Q118" s="246"/>
      <c r="R118" s="247"/>
      <c r="S118" s="248"/>
      <c r="T118" s="245"/>
      <c r="U118" s="245"/>
      <c r="V118" s="245"/>
      <c r="W118" s="245"/>
      <c r="X118" s="245"/>
      <c r="Y118" s="245"/>
      <c r="Z118" s="246"/>
      <c r="AA118" s="246"/>
      <c r="AB118" s="246"/>
      <c r="AC118" s="246"/>
      <c r="AD118" s="246"/>
      <c r="AE118" s="246"/>
      <c r="AF118" s="246"/>
      <c r="AG118" s="246"/>
      <c r="AH118" s="245"/>
    </row>
    <row r="119" spans="3:34" x14ac:dyDescent="0.2">
      <c r="C119" s="245"/>
      <c r="D119" s="245"/>
      <c r="E119" s="245"/>
      <c r="F119" s="245"/>
      <c r="G119" s="245"/>
      <c r="H119" s="245"/>
      <c r="I119" s="245"/>
      <c r="J119" s="245"/>
      <c r="K119" s="245"/>
      <c r="L119" s="245"/>
      <c r="M119" s="246"/>
      <c r="N119" s="246"/>
      <c r="O119" s="246"/>
      <c r="P119" s="246"/>
      <c r="Q119" s="246"/>
      <c r="R119" s="247"/>
      <c r="S119" s="248"/>
      <c r="T119" s="245"/>
      <c r="U119" s="245"/>
      <c r="V119" s="245"/>
      <c r="W119" s="245"/>
      <c r="X119" s="245"/>
      <c r="Y119" s="245"/>
      <c r="Z119" s="246"/>
      <c r="AA119" s="246"/>
      <c r="AB119" s="246"/>
      <c r="AC119" s="246"/>
      <c r="AD119" s="246"/>
      <c r="AE119" s="246"/>
      <c r="AF119" s="246"/>
      <c r="AG119" s="246"/>
      <c r="AH119" s="245"/>
    </row>
    <row r="120" spans="3:34" x14ac:dyDescent="0.2">
      <c r="C120" s="252"/>
      <c r="D120" s="252"/>
      <c r="E120" s="252"/>
      <c r="F120" s="252"/>
      <c r="G120" s="252"/>
      <c r="H120" s="252"/>
      <c r="I120" s="252"/>
      <c r="J120" s="252"/>
      <c r="K120" s="252"/>
      <c r="L120" s="252"/>
      <c r="M120" s="253"/>
      <c r="N120" s="253"/>
      <c r="O120" s="253"/>
      <c r="P120" s="253"/>
      <c r="Q120" s="253"/>
      <c r="R120" s="254"/>
      <c r="S120" s="255"/>
      <c r="T120" s="252"/>
      <c r="U120" s="252"/>
      <c r="V120" s="252"/>
      <c r="W120" s="252"/>
      <c r="X120" s="252"/>
      <c r="Y120" s="252"/>
      <c r="Z120" s="253"/>
      <c r="AA120" s="253"/>
      <c r="AB120" s="253"/>
      <c r="AC120" s="253"/>
      <c r="AD120" s="253"/>
      <c r="AE120" s="253"/>
      <c r="AF120" s="253"/>
      <c r="AG120" s="253"/>
      <c r="AH120" s="252"/>
    </row>
    <row r="121" spans="3:34" x14ac:dyDescent="0.2">
      <c r="C121" s="252"/>
      <c r="D121" s="252"/>
      <c r="E121" s="252"/>
      <c r="F121" s="252"/>
      <c r="G121" s="252"/>
      <c r="H121" s="252"/>
      <c r="I121" s="252"/>
      <c r="J121" s="252"/>
      <c r="K121" s="252"/>
      <c r="L121" s="252"/>
      <c r="M121" s="253"/>
      <c r="N121" s="253"/>
      <c r="O121" s="253"/>
      <c r="P121" s="253"/>
      <c r="Q121" s="253"/>
      <c r="R121" s="254"/>
      <c r="S121" s="255"/>
      <c r="T121" s="252"/>
      <c r="U121" s="252"/>
      <c r="V121" s="252"/>
      <c r="W121" s="252"/>
      <c r="X121" s="252"/>
      <c r="Y121" s="252"/>
      <c r="Z121" s="253"/>
      <c r="AA121" s="253"/>
      <c r="AB121" s="253"/>
      <c r="AC121" s="253"/>
      <c r="AD121" s="253"/>
      <c r="AE121" s="253"/>
      <c r="AF121" s="253"/>
      <c r="AG121" s="253"/>
      <c r="AH121" s="252"/>
    </row>
    <row r="122" spans="3:34" x14ac:dyDescent="0.2">
      <c r="C122" s="252"/>
      <c r="D122" s="252"/>
      <c r="E122" s="252"/>
      <c r="F122" s="252"/>
      <c r="G122" s="252"/>
      <c r="H122" s="252"/>
      <c r="I122" s="252"/>
      <c r="J122" s="252"/>
      <c r="K122" s="252"/>
      <c r="L122" s="252"/>
      <c r="M122" s="253"/>
      <c r="N122" s="253"/>
      <c r="O122" s="253"/>
      <c r="P122" s="253"/>
      <c r="Q122" s="253"/>
      <c r="R122" s="254"/>
      <c r="S122" s="255"/>
      <c r="T122" s="252"/>
      <c r="U122" s="252"/>
      <c r="V122" s="252"/>
      <c r="W122" s="252"/>
      <c r="X122" s="252"/>
      <c r="Y122" s="252"/>
      <c r="Z122" s="253"/>
      <c r="AA122" s="253"/>
      <c r="AB122" s="253"/>
      <c r="AC122" s="253"/>
      <c r="AD122" s="253"/>
      <c r="AE122" s="253"/>
      <c r="AF122" s="253"/>
      <c r="AG122" s="253"/>
      <c r="AH122" s="252"/>
    </row>
    <row r="123" spans="3:34" x14ac:dyDescent="0.2">
      <c r="C123" s="252"/>
      <c r="D123" s="252"/>
      <c r="E123" s="252"/>
      <c r="F123" s="252"/>
      <c r="G123" s="252"/>
      <c r="H123" s="252"/>
      <c r="I123" s="252"/>
      <c r="J123" s="252"/>
      <c r="K123" s="252"/>
      <c r="L123" s="252"/>
      <c r="M123" s="253"/>
      <c r="N123" s="253"/>
      <c r="O123" s="253"/>
      <c r="P123" s="253"/>
      <c r="Q123" s="253"/>
      <c r="R123" s="254"/>
      <c r="S123" s="255"/>
      <c r="T123" s="252"/>
      <c r="U123" s="252"/>
      <c r="V123" s="252"/>
      <c r="W123" s="252"/>
      <c r="X123" s="252"/>
      <c r="Y123" s="252"/>
      <c r="Z123" s="253"/>
      <c r="AA123" s="253"/>
      <c r="AB123" s="253"/>
      <c r="AC123" s="253"/>
      <c r="AD123" s="253"/>
      <c r="AE123" s="253"/>
      <c r="AF123" s="253"/>
      <c r="AG123" s="253"/>
      <c r="AH123" s="252"/>
    </row>
    <row r="124" spans="3:34" x14ac:dyDescent="0.2">
      <c r="C124" s="252"/>
      <c r="D124" s="252"/>
      <c r="E124" s="252"/>
      <c r="F124" s="252"/>
      <c r="G124" s="252"/>
      <c r="H124" s="252"/>
      <c r="I124" s="252"/>
      <c r="J124" s="252"/>
      <c r="K124" s="252"/>
      <c r="L124" s="252"/>
      <c r="M124" s="253"/>
      <c r="N124" s="253"/>
      <c r="O124" s="253"/>
      <c r="P124" s="253"/>
      <c r="Q124" s="253"/>
      <c r="R124" s="254"/>
      <c r="S124" s="255"/>
      <c r="T124" s="252"/>
      <c r="U124" s="252"/>
      <c r="V124" s="252"/>
      <c r="W124" s="252"/>
      <c r="X124" s="252"/>
      <c r="Y124" s="252"/>
      <c r="Z124" s="253"/>
      <c r="AA124" s="253"/>
      <c r="AB124" s="253"/>
      <c r="AC124" s="253"/>
      <c r="AD124" s="253"/>
      <c r="AE124" s="253"/>
      <c r="AF124" s="253"/>
      <c r="AG124" s="253"/>
      <c r="AH124" s="252"/>
    </row>
    <row r="125" spans="3:34" x14ac:dyDescent="0.2">
      <c r="C125" s="252"/>
      <c r="D125" s="252"/>
      <c r="E125" s="252"/>
      <c r="F125" s="252"/>
      <c r="G125" s="252"/>
      <c r="H125" s="252"/>
      <c r="I125" s="252"/>
      <c r="J125" s="252"/>
      <c r="K125" s="252"/>
      <c r="L125" s="252"/>
      <c r="M125" s="253"/>
      <c r="N125" s="253"/>
      <c r="O125" s="253"/>
      <c r="P125" s="253"/>
      <c r="Q125" s="253"/>
      <c r="R125" s="254"/>
      <c r="S125" s="255"/>
      <c r="T125" s="252"/>
      <c r="U125" s="252"/>
      <c r="V125" s="252"/>
      <c r="W125" s="252"/>
      <c r="X125" s="252"/>
      <c r="Y125" s="252"/>
      <c r="Z125" s="253"/>
      <c r="AA125" s="253"/>
      <c r="AB125" s="253"/>
      <c r="AC125" s="253"/>
      <c r="AD125" s="253"/>
      <c r="AE125" s="253"/>
      <c r="AF125" s="253"/>
      <c r="AG125" s="253"/>
      <c r="AH125" s="252"/>
    </row>
    <row r="126" spans="3:34" x14ac:dyDescent="0.2">
      <c r="C126" s="252"/>
      <c r="D126" s="252"/>
      <c r="E126" s="252"/>
      <c r="F126" s="252"/>
      <c r="G126" s="252"/>
      <c r="H126" s="252"/>
      <c r="I126" s="252"/>
      <c r="J126" s="252"/>
      <c r="K126" s="252"/>
      <c r="L126" s="252"/>
      <c r="M126" s="253"/>
      <c r="N126" s="253"/>
      <c r="O126" s="253"/>
      <c r="P126" s="253"/>
      <c r="Q126" s="253"/>
      <c r="R126" s="254"/>
      <c r="S126" s="255"/>
      <c r="T126" s="252"/>
      <c r="U126" s="252"/>
      <c r="V126" s="252"/>
      <c r="W126" s="252"/>
      <c r="X126" s="252"/>
      <c r="Y126" s="252"/>
      <c r="Z126" s="253"/>
      <c r="AA126" s="253"/>
      <c r="AB126" s="253"/>
      <c r="AC126" s="253"/>
      <c r="AD126" s="253"/>
      <c r="AE126" s="253"/>
      <c r="AF126" s="253"/>
      <c r="AG126" s="253"/>
      <c r="AH126" s="252"/>
    </row>
    <row r="127" spans="3:34" x14ac:dyDescent="0.2">
      <c r="C127" s="252"/>
      <c r="D127" s="252"/>
      <c r="E127" s="252"/>
      <c r="F127" s="252"/>
      <c r="G127" s="252"/>
      <c r="H127" s="252"/>
      <c r="I127" s="252"/>
      <c r="J127" s="252"/>
      <c r="K127" s="252"/>
      <c r="L127" s="252"/>
      <c r="M127" s="253"/>
      <c r="N127" s="253"/>
      <c r="O127" s="253"/>
      <c r="P127" s="253"/>
      <c r="Q127" s="253"/>
      <c r="R127" s="254"/>
      <c r="S127" s="255"/>
      <c r="T127" s="252"/>
      <c r="U127" s="252"/>
      <c r="V127" s="252"/>
      <c r="W127" s="252"/>
      <c r="X127" s="252"/>
      <c r="Y127" s="252"/>
      <c r="Z127" s="253"/>
      <c r="AA127" s="253"/>
      <c r="AB127" s="253"/>
      <c r="AC127" s="253"/>
      <c r="AD127" s="253"/>
      <c r="AE127" s="253"/>
      <c r="AF127" s="253"/>
      <c r="AG127" s="253"/>
      <c r="AH127" s="252"/>
    </row>
    <row r="128" spans="3:34" x14ac:dyDescent="0.2">
      <c r="C128" s="252"/>
      <c r="D128" s="252"/>
      <c r="E128" s="252"/>
      <c r="F128" s="252"/>
      <c r="G128" s="252"/>
      <c r="H128" s="252"/>
      <c r="I128" s="252"/>
      <c r="J128" s="252"/>
      <c r="K128" s="252"/>
      <c r="L128" s="252"/>
      <c r="M128" s="253"/>
      <c r="N128" s="253"/>
      <c r="O128" s="253"/>
      <c r="P128" s="253"/>
      <c r="Q128" s="253"/>
      <c r="R128" s="254"/>
      <c r="S128" s="255"/>
      <c r="T128" s="252"/>
      <c r="U128" s="252"/>
      <c r="V128" s="252"/>
      <c r="W128" s="252"/>
      <c r="X128" s="252"/>
      <c r="Y128" s="252"/>
      <c r="Z128" s="253"/>
      <c r="AA128" s="253"/>
      <c r="AB128" s="253"/>
      <c r="AC128" s="253"/>
      <c r="AD128" s="253"/>
      <c r="AE128" s="253"/>
      <c r="AF128" s="253"/>
      <c r="AG128" s="253"/>
      <c r="AH128" s="252"/>
    </row>
    <row r="129" spans="3:34" x14ac:dyDescent="0.2">
      <c r="C129" s="252"/>
      <c r="D129" s="252"/>
      <c r="E129" s="252"/>
      <c r="F129" s="252"/>
      <c r="G129" s="252"/>
      <c r="H129" s="252"/>
      <c r="I129" s="252"/>
      <c r="J129" s="252"/>
      <c r="K129" s="252"/>
      <c r="L129" s="252"/>
      <c r="M129" s="253"/>
      <c r="N129" s="253"/>
      <c r="O129" s="253"/>
      <c r="P129" s="253"/>
      <c r="Q129" s="253"/>
      <c r="R129" s="254"/>
      <c r="S129" s="255"/>
      <c r="T129" s="252"/>
      <c r="U129" s="252"/>
      <c r="V129" s="252"/>
      <c r="W129" s="252"/>
      <c r="X129" s="252"/>
      <c r="Y129" s="252"/>
      <c r="Z129" s="253"/>
      <c r="AA129" s="253"/>
      <c r="AB129" s="253"/>
      <c r="AC129" s="253"/>
      <c r="AD129" s="253"/>
      <c r="AE129" s="253"/>
      <c r="AF129" s="253"/>
      <c r="AG129" s="253"/>
      <c r="AH129" s="252"/>
    </row>
    <row r="130" spans="3:34" x14ac:dyDescent="0.2">
      <c r="C130" s="252"/>
      <c r="D130" s="252"/>
      <c r="E130" s="252"/>
      <c r="F130" s="252"/>
      <c r="G130" s="252"/>
      <c r="H130" s="252"/>
      <c r="I130" s="252"/>
      <c r="J130" s="252"/>
      <c r="K130" s="252"/>
      <c r="L130" s="252"/>
      <c r="M130" s="253"/>
      <c r="N130" s="253"/>
      <c r="O130" s="253"/>
      <c r="P130" s="253"/>
      <c r="Q130" s="253"/>
      <c r="R130" s="254"/>
      <c r="S130" s="255"/>
      <c r="T130" s="252"/>
      <c r="U130" s="252"/>
      <c r="V130" s="252"/>
      <c r="W130" s="252"/>
      <c r="X130" s="252"/>
      <c r="Y130" s="252"/>
      <c r="Z130" s="253"/>
      <c r="AA130" s="253"/>
      <c r="AB130" s="253"/>
      <c r="AC130" s="253"/>
      <c r="AD130" s="253"/>
      <c r="AE130" s="253"/>
      <c r="AF130" s="253"/>
      <c r="AG130" s="253"/>
      <c r="AH130" s="252"/>
    </row>
    <row r="131" spans="3:34" x14ac:dyDescent="0.2">
      <c r="C131" s="252"/>
      <c r="D131" s="252"/>
      <c r="E131" s="252"/>
      <c r="F131" s="252"/>
      <c r="G131" s="252"/>
      <c r="H131" s="252"/>
      <c r="I131" s="252"/>
      <c r="J131" s="252"/>
      <c r="K131" s="252"/>
      <c r="L131" s="252"/>
      <c r="M131" s="253"/>
      <c r="N131" s="253"/>
      <c r="O131" s="253"/>
      <c r="P131" s="253"/>
      <c r="Q131" s="253"/>
      <c r="R131" s="254"/>
      <c r="S131" s="255"/>
      <c r="T131" s="252"/>
      <c r="U131" s="252"/>
      <c r="V131" s="252"/>
      <c r="W131" s="252"/>
      <c r="X131" s="252"/>
      <c r="Y131" s="252"/>
      <c r="Z131" s="253"/>
      <c r="AA131" s="253"/>
      <c r="AB131" s="253"/>
      <c r="AC131" s="253"/>
      <c r="AD131" s="253"/>
      <c r="AE131" s="253"/>
      <c r="AF131" s="253"/>
      <c r="AG131" s="253"/>
      <c r="AH131" s="252"/>
    </row>
    <row r="132" spans="3:34" x14ac:dyDescent="0.2">
      <c r="C132" s="252"/>
      <c r="D132" s="252"/>
      <c r="E132" s="252"/>
      <c r="F132" s="252"/>
      <c r="G132" s="252"/>
      <c r="H132" s="252"/>
      <c r="I132" s="252"/>
      <c r="J132" s="252"/>
      <c r="K132" s="252"/>
      <c r="L132" s="252"/>
      <c r="M132" s="253"/>
      <c r="N132" s="253"/>
      <c r="O132" s="253"/>
      <c r="P132" s="253"/>
      <c r="Q132" s="253"/>
      <c r="R132" s="254"/>
      <c r="S132" s="255"/>
      <c r="T132" s="252"/>
      <c r="U132" s="252"/>
      <c r="V132" s="252"/>
      <c r="W132" s="252"/>
      <c r="X132" s="252"/>
      <c r="Y132" s="252"/>
      <c r="Z132" s="253"/>
      <c r="AA132" s="253"/>
      <c r="AB132" s="253"/>
      <c r="AC132" s="253"/>
      <c r="AD132" s="253"/>
      <c r="AE132" s="253"/>
      <c r="AF132" s="253"/>
      <c r="AG132" s="253"/>
      <c r="AH132" s="252"/>
    </row>
    <row r="133" spans="3:34" x14ac:dyDescent="0.2">
      <c r="C133" s="252"/>
      <c r="D133" s="252"/>
      <c r="E133" s="252"/>
      <c r="F133" s="252"/>
      <c r="G133" s="252"/>
      <c r="H133" s="252"/>
      <c r="I133" s="252"/>
      <c r="J133" s="252"/>
      <c r="K133" s="252"/>
      <c r="L133" s="252"/>
      <c r="M133" s="253"/>
      <c r="N133" s="253"/>
      <c r="O133" s="253"/>
      <c r="P133" s="253"/>
      <c r="Q133" s="253"/>
      <c r="R133" s="254"/>
      <c r="S133" s="255"/>
      <c r="T133" s="252"/>
      <c r="U133" s="252"/>
      <c r="V133" s="252"/>
      <c r="W133" s="252"/>
      <c r="X133" s="252"/>
      <c r="Y133" s="252"/>
      <c r="Z133" s="253"/>
      <c r="AA133" s="253"/>
      <c r="AB133" s="253"/>
      <c r="AC133" s="253"/>
      <c r="AD133" s="253"/>
      <c r="AE133" s="253"/>
      <c r="AF133" s="253"/>
      <c r="AG133" s="253"/>
      <c r="AH133" s="252"/>
    </row>
    <row r="134" spans="3:34" x14ac:dyDescent="0.2">
      <c r="C134" s="252"/>
      <c r="D134" s="252"/>
      <c r="E134" s="252"/>
      <c r="F134" s="252"/>
      <c r="G134" s="252"/>
      <c r="H134" s="252"/>
      <c r="I134" s="252"/>
      <c r="J134" s="252"/>
      <c r="K134" s="252"/>
      <c r="L134" s="252"/>
      <c r="M134" s="253"/>
      <c r="N134" s="253"/>
      <c r="O134" s="253"/>
      <c r="P134" s="253"/>
      <c r="Q134" s="253"/>
      <c r="R134" s="254"/>
      <c r="S134" s="255"/>
      <c r="T134" s="252"/>
      <c r="U134" s="252"/>
      <c r="V134" s="252"/>
      <c r="W134" s="252"/>
      <c r="X134" s="252"/>
      <c r="Y134" s="252"/>
      <c r="Z134" s="253"/>
      <c r="AA134" s="253"/>
      <c r="AB134" s="253"/>
      <c r="AC134" s="253"/>
      <c r="AD134" s="253"/>
      <c r="AE134" s="253"/>
      <c r="AF134" s="253"/>
      <c r="AG134" s="253"/>
      <c r="AH134" s="252"/>
    </row>
    <row r="135" spans="3:34" x14ac:dyDescent="0.2">
      <c r="C135" s="252"/>
      <c r="D135" s="252"/>
      <c r="E135" s="252"/>
      <c r="F135" s="252"/>
      <c r="G135" s="252"/>
      <c r="H135" s="252"/>
      <c r="I135" s="252"/>
      <c r="J135" s="252"/>
      <c r="K135" s="252"/>
      <c r="L135" s="252"/>
      <c r="M135" s="253"/>
      <c r="N135" s="253"/>
      <c r="O135" s="253"/>
      <c r="P135" s="253"/>
      <c r="Q135" s="253"/>
      <c r="R135" s="254"/>
      <c r="S135" s="255"/>
      <c r="T135" s="252"/>
      <c r="U135" s="252"/>
      <c r="V135" s="252"/>
      <c r="W135" s="252"/>
      <c r="X135" s="252"/>
      <c r="Y135" s="252"/>
      <c r="Z135" s="253"/>
      <c r="AA135" s="253"/>
      <c r="AB135" s="253"/>
      <c r="AC135" s="253"/>
      <c r="AD135" s="253"/>
      <c r="AE135" s="253"/>
      <c r="AF135" s="253"/>
      <c r="AG135" s="253"/>
      <c r="AH135" s="252"/>
    </row>
    <row r="136" spans="3:34" x14ac:dyDescent="0.2">
      <c r="C136" s="252"/>
      <c r="D136" s="252"/>
      <c r="E136" s="252"/>
      <c r="F136" s="252"/>
      <c r="G136" s="252"/>
      <c r="H136" s="252"/>
      <c r="I136" s="252"/>
      <c r="J136" s="252"/>
      <c r="K136" s="252"/>
      <c r="L136" s="252"/>
      <c r="M136" s="253"/>
      <c r="N136" s="253"/>
      <c r="O136" s="253"/>
      <c r="P136" s="253"/>
      <c r="Q136" s="253"/>
      <c r="R136" s="254"/>
      <c r="S136" s="255"/>
      <c r="T136" s="252"/>
      <c r="U136" s="252"/>
      <c r="V136" s="252"/>
      <c r="W136" s="252"/>
      <c r="X136" s="252"/>
      <c r="Y136" s="252"/>
      <c r="Z136" s="253"/>
      <c r="AA136" s="253"/>
      <c r="AB136" s="253"/>
      <c r="AC136" s="253"/>
      <c r="AD136" s="253"/>
      <c r="AE136" s="253"/>
      <c r="AF136" s="253"/>
      <c r="AG136" s="253"/>
      <c r="AH136" s="252"/>
    </row>
    <row r="137" spans="3:34" x14ac:dyDescent="0.2">
      <c r="C137" s="252"/>
      <c r="D137" s="252"/>
      <c r="E137" s="252"/>
      <c r="F137" s="252"/>
      <c r="G137" s="252"/>
      <c r="H137" s="252"/>
      <c r="I137" s="252"/>
      <c r="J137" s="252"/>
      <c r="K137" s="252"/>
      <c r="L137" s="252"/>
      <c r="M137" s="253"/>
      <c r="N137" s="253"/>
      <c r="O137" s="253"/>
      <c r="P137" s="253"/>
      <c r="Q137" s="253"/>
      <c r="R137" s="254"/>
      <c r="S137" s="255"/>
      <c r="T137" s="252"/>
      <c r="U137" s="252"/>
      <c r="V137" s="252"/>
      <c r="W137" s="252"/>
      <c r="X137" s="252"/>
      <c r="Y137" s="252"/>
      <c r="Z137" s="253"/>
      <c r="AA137" s="253"/>
      <c r="AB137" s="253"/>
      <c r="AC137" s="253"/>
      <c r="AD137" s="253"/>
      <c r="AE137" s="253"/>
      <c r="AF137" s="253"/>
      <c r="AG137" s="253"/>
      <c r="AH137" s="252"/>
    </row>
    <row r="138" spans="3:34" x14ac:dyDescent="0.2">
      <c r="C138" s="252"/>
      <c r="D138" s="252"/>
      <c r="E138" s="252"/>
      <c r="F138" s="252"/>
      <c r="G138" s="252"/>
      <c r="H138" s="252"/>
      <c r="I138" s="252"/>
      <c r="J138" s="252"/>
      <c r="K138" s="252"/>
      <c r="L138" s="252"/>
      <c r="M138" s="253"/>
      <c r="N138" s="253"/>
      <c r="O138" s="253"/>
      <c r="P138" s="253"/>
      <c r="Q138" s="253"/>
      <c r="R138" s="254"/>
      <c r="S138" s="255"/>
      <c r="T138" s="252"/>
      <c r="U138" s="252"/>
      <c r="V138" s="252"/>
      <c r="W138" s="252"/>
      <c r="X138" s="252"/>
      <c r="Y138" s="252"/>
      <c r="Z138" s="253"/>
      <c r="AA138" s="253"/>
      <c r="AB138" s="253"/>
      <c r="AC138" s="253"/>
      <c r="AD138" s="253"/>
      <c r="AE138" s="253"/>
      <c r="AF138" s="253"/>
      <c r="AG138" s="253"/>
      <c r="AH138" s="252"/>
    </row>
    <row r="139" spans="3:34" x14ac:dyDescent="0.2">
      <c r="C139" s="252"/>
      <c r="D139" s="252"/>
      <c r="E139" s="252"/>
      <c r="F139" s="252"/>
      <c r="G139" s="252"/>
      <c r="H139" s="252"/>
      <c r="I139" s="252"/>
      <c r="J139" s="252"/>
      <c r="K139" s="252"/>
      <c r="L139" s="252"/>
      <c r="M139" s="253"/>
      <c r="N139" s="253"/>
      <c r="O139" s="253"/>
      <c r="P139" s="253"/>
      <c r="Q139" s="253"/>
      <c r="R139" s="254"/>
      <c r="S139" s="255"/>
      <c r="T139" s="252"/>
      <c r="U139" s="252"/>
      <c r="V139" s="252"/>
      <c r="W139" s="252"/>
      <c r="X139" s="252"/>
      <c r="Y139" s="252"/>
      <c r="Z139" s="253"/>
      <c r="AA139" s="253"/>
      <c r="AB139" s="253"/>
      <c r="AC139" s="253"/>
      <c r="AD139" s="253"/>
      <c r="AE139" s="253"/>
      <c r="AF139" s="253"/>
      <c r="AG139" s="253"/>
      <c r="AH139" s="252"/>
    </row>
    <row r="140" spans="3:34" x14ac:dyDescent="0.2">
      <c r="C140" s="252"/>
      <c r="D140" s="252"/>
      <c r="E140" s="252"/>
      <c r="F140" s="252"/>
      <c r="G140" s="252"/>
      <c r="H140" s="252"/>
      <c r="I140" s="252"/>
      <c r="J140" s="252"/>
      <c r="K140" s="252"/>
      <c r="L140" s="252"/>
      <c r="M140" s="253"/>
      <c r="N140" s="253"/>
      <c r="O140" s="253"/>
      <c r="P140" s="253"/>
      <c r="Q140" s="253"/>
      <c r="R140" s="254"/>
      <c r="S140" s="255"/>
      <c r="T140" s="252"/>
      <c r="U140" s="252"/>
      <c r="V140" s="252"/>
      <c r="W140" s="252"/>
      <c r="X140" s="252"/>
      <c r="Y140" s="252"/>
      <c r="Z140" s="253"/>
      <c r="AA140" s="253"/>
      <c r="AB140" s="253"/>
      <c r="AC140" s="253"/>
      <c r="AD140" s="253"/>
      <c r="AE140" s="253"/>
      <c r="AF140" s="253"/>
      <c r="AG140" s="253"/>
      <c r="AH140" s="252"/>
    </row>
    <row r="141" spans="3:34" x14ac:dyDescent="0.2">
      <c r="C141" s="252"/>
      <c r="D141" s="252"/>
      <c r="E141" s="252"/>
      <c r="F141" s="252"/>
      <c r="G141" s="252"/>
      <c r="H141" s="252"/>
      <c r="I141" s="252"/>
      <c r="J141" s="252"/>
      <c r="K141" s="252"/>
      <c r="L141" s="252"/>
      <c r="M141" s="253"/>
      <c r="N141" s="253"/>
      <c r="O141" s="253"/>
      <c r="P141" s="253"/>
      <c r="Q141" s="253"/>
      <c r="R141" s="254"/>
      <c r="S141" s="255"/>
      <c r="T141" s="252"/>
      <c r="U141" s="252"/>
      <c r="V141" s="252"/>
      <c r="W141" s="252"/>
      <c r="X141" s="252"/>
      <c r="Y141" s="252"/>
      <c r="Z141" s="253"/>
      <c r="AA141" s="253"/>
      <c r="AB141" s="253"/>
      <c r="AC141" s="253"/>
      <c r="AD141" s="253"/>
      <c r="AE141" s="253"/>
      <c r="AF141" s="253"/>
      <c r="AG141" s="253"/>
      <c r="AH141" s="252"/>
    </row>
    <row r="142" spans="3:34" x14ac:dyDescent="0.2">
      <c r="C142" s="252"/>
      <c r="D142" s="252"/>
      <c r="E142" s="252"/>
      <c r="F142" s="252"/>
      <c r="G142" s="252"/>
      <c r="H142" s="252"/>
      <c r="I142" s="252"/>
      <c r="J142" s="252"/>
      <c r="K142" s="252"/>
      <c r="L142" s="252"/>
      <c r="M142" s="253"/>
      <c r="N142" s="253"/>
      <c r="O142" s="253"/>
      <c r="P142" s="253"/>
      <c r="Q142" s="253"/>
      <c r="R142" s="254"/>
      <c r="S142" s="255"/>
      <c r="T142" s="252"/>
      <c r="U142" s="252"/>
      <c r="V142" s="252"/>
      <c r="W142" s="252"/>
      <c r="X142" s="252"/>
      <c r="Y142" s="252"/>
      <c r="Z142" s="253"/>
      <c r="AA142" s="253"/>
      <c r="AB142" s="253"/>
      <c r="AC142" s="253"/>
      <c r="AD142" s="253"/>
      <c r="AE142" s="253"/>
      <c r="AF142" s="253"/>
      <c r="AG142" s="253"/>
      <c r="AH142" s="252"/>
    </row>
    <row r="143" spans="3:34" x14ac:dyDescent="0.2">
      <c r="C143" s="252"/>
      <c r="D143" s="252"/>
      <c r="E143" s="252"/>
      <c r="F143" s="252"/>
      <c r="G143" s="252"/>
      <c r="H143" s="252"/>
      <c r="I143" s="252"/>
      <c r="J143" s="252"/>
      <c r="K143" s="252"/>
      <c r="L143" s="252"/>
      <c r="M143" s="253"/>
      <c r="N143" s="253"/>
      <c r="O143" s="253"/>
      <c r="P143" s="253"/>
      <c r="Q143" s="253"/>
      <c r="R143" s="254"/>
      <c r="S143" s="255"/>
      <c r="T143" s="252"/>
      <c r="U143" s="252"/>
      <c r="V143" s="252"/>
      <c r="W143" s="252"/>
      <c r="X143" s="252"/>
      <c r="Y143" s="252"/>
      <c r="Z143" s="253"/>
      <c r="AA143" s="253"/>
      <c r="AB143" s="253"/>
      <c r="AC143" s="253"/>
      <c r="AD143" s="253"/>
      <c r="AE143" s="253"/>
      <c r="AF143" s="253"/>
      <c r="AG143" s="253"/>
      <c r="AH143" s="252"/>
    </row>
    <row r="144" spans="3:34" x14ac:dyDescent="0.2">
      <c r="C144" s="252"/>
      <c r="D144" s="252"/>
      <c r="E144" s="252"/>
      <c r="F144" s="252"/>
      <c r="G144" s="252"/>
      <c r="H144" s="252"/>
      <c r="I144" s="252"/>
      <c r="J144" s="252"/>
      <c r="K144" s="252"/>
      <c r="L144" s="252"/>
      <c r="M144" s="253"/>
      <c r="N144" s="253"/>
      <c r="O144" s="253"/>
      <c r="P144" s="253"/>
      <c r="Q144" s="253"/>
      <c r="R144" s="254"/>
      <c r="S144" s="255"/>
      <c r="T144" s="252"/>
      <c r="U144" s="252"/>
      <c r="V144" s="252"/>
      <c r="W144" s="252"/>
      <c r="X144" s="252"/>
      <c r="Y144" s="252"/>
      <c r="Z144" s="253"/>
      <c r="AA144" s="253"/>
      <c r="AB144" s="253"/>
      <c r="AC144" s="253"/>
      <c r="AD144" s="253"/>
      <c r="AE144" s="253"/>
      <c r="AF144" s="253"/>
      <c r="AG144" s="253"/>
      <c r="AH144" s="252"/>
    </row>
    <row r="145" spans="3:34" x14ac:dyDescent="0.2">
      <c r="C145" s="252"/>
      <c r="D145" s="252"/>
      <c r="E145" s="252"/>
      <c r="F145" s="252"/>
      <c r="G145" s="252"/>
      <c r="H145" s="252"/>
      <c r="I145" s="252"/>
      <c r="J145" s="252"/>
      <c r="K145" s="252"/>
      <c r="L145" s="252"/>
      <c r="M145" s="253"/>
      <c r="N145" s="253"/>
      <c r="O145" s="253"/>
      <c r="P145" s="253"/>
      <c r="Q145" s="253"/>
      <c r="R145" s="254"/>
      <c r="S145" s="255"/>
      <c r="T145" s="252"/>
      <c r="U145" s="252"/>
      <c r="V145" s="252"/>
      <c r="W145" s="252"/>
      <c r="X145" s="252"/>
      <c r="Y145" s="252"/>
      <c r="Z145" s="253"/>
      <c r="AA145" s="253"/>
      <c r="AB145" s="253"/>
      <c r="AC145" s="253"/>
      <c r="AD145" s="253"/>
      <c r="AE145" s="253"/>
      <c r="AF145" s="253"/>
      <c r="AG145" s="253"/>
      <c r="AH145" s="252"/>
    </row>
    <row r="146" spans="3:34" x14ac:dyDescent="0.2">
      <c r="C146" s="252"/>
      <c r="D146" s="252"/>
      <c r="E146" s="252"/>
      <c r="F146" s="252"/>
      <c r="G146" s="252"/>
      <c r="H146" s="252"/>
      <c r="I146" s="252"/>
      <c r="J146" s="252"/>
      <c r="K146" s="252"/>
      <c r="L146" s="252"/>
      <c r="M146" s="253"/>
      <c r="N146" s="253"/>
      <c r="O146" s="253"/>
      <c r="P146" s="253"/>
      <c r="Q146" s="253"/>
      <c r="R146" s="254"/>
      <c r="S146" s="255"/>
      <c r="T146" s="252"/>
      <c r="U146" s="252"/>
      <c r="V146" s="252"/>
      <c r="W146" s="252"/>
      <c r="X146" s="252"/>
      <c r="Y146" s="252"/>
      <c r="Z146" s="253"/>
      <c r="AA146" s="253"/>
      <c r="AB146" s="253"/>
      <c r="AC146" s="253"/>
      <c r="AD146" s="253"/>
      <c r="AE146" s="253"/>
      <c r="AF146" s="253"/>
      <c r="AG146" s="253"/>
      <c r="AH146" s="252"/>
    </row>
    <row r="147" spans="3:34" x14ac:dyDescent="0.2">
      <c r="C147" s="252"/>
      <c r="D147" s="252"/>
      <c r="E147" s="252"/>
      <c r="F147" s="252"/>
      <c r="G147" s="252"/>
      <c r="H147" s="252"/>
      <c r="I147" s="252"/>
      <c r="J147" s="252"/>
      <c r="K147" s="252"/>
      <c r="L147" s="252"/>
      <c r="M147" s="253"/>
      <c r="N147" s="253"/>
      <c r="O147" s="253"/>
      <c r="P147" s="253"/>
      <c r="Q147" s="253"/>
      <c r="R147" s="254"/>
      <c r="S147" s="255"/>
      <c r="T147" s="252"/>
      <c r="U147" s="252"/>
      <c r="V147" s="252"/>
      <c r="W147" s="252"/>
      <c r="X147" s="252"/>
      <c r="Y147" s="252"/>
      <c r="Z147" s="253"/>
      <c r="AA147" s="253"/>
      <c r="AB147" s="253"/>
      <c r="AC147" s="253"/>
      <c r="AD147" s="253"/>
      <c r="AE147" s="253"/>
      <c r="AF147" s="253"/>
      <c r="AG147" s="253"/>
      <c r="AH147" s="252"/>
    </row>
    <row r="148" spans="3:34" x14ac:dyDescent="0.2">
      <c r="C148" s="252"/>
      <c r="D148" s="252"/>
      <c r="E148" s="252"/>
      <c r="F148" s="252"/>
      <c r="G148" s="252"/>
      <c r="H148" s="252"/>
      <c r="I148" s="252"/>
      <c r="J148" s="252"/>
      <c r="K148" s="252"/>
      <c r="L148" s="252"/>
      <c r="M148" s="253"/>
      <c r="N148" s="253"/>
      <c r="O148" s="253"/>
      <c r="P148" s="253"/>
      <c r="Q148" s="253"/>
      <c r="R148" s="254"/>
      <c r="S148" s="255"/>
      <c r="T148" s="252"/>
      <c r="U148" s="252"/>
      <c r="V148" s="252"/>
      <c r="W148" s="252"/>
      <c r="X148" s="252"/>
      <c r="Y148" s="252"/>
      <c r="Z148" s="253"/>
      <c r="AA148" s="253"/>
      <c r="AB148" s="253"/>
      <c r="AC148" s="253"/>
      <c r="AD148" s="253"/>
      <c r="AE148" s="253"/>
      <c r="AF148" s="253"/>
      <c r="AG148" s="253"/>
      <c r="AH148" s="252"/>
    </row>
    <row r="149" spans="3:34" x14ac:dyDescent="0.2">
      <c r="C149" s="252"/>
      <c r="D149" s="252"/>
      <c r="E149" s="252"/>
      <c r="F149" s="252"/>
      <c r="G149" s="252"/>
      <c r="H149" s="252"/>
      <c r="I149" s="252"/>
      <c r="J149" s="252"/>
      <c r="K149" s="252"/>
      <c r="L149" s="252"/>
      <c r="M149" s="253"/>
      <c r="N149" s="253"/>
      <c r="O149" s="253"/>
      <c r="P149" s="253"/>
      <c r="Q149" s="253"/>
      <c r="R149" s="254"/>
      <c r="S149" s="255"/>
      <c r="T149" s="252"/>
      <c r="U149" s="252"/>
      <c r="V149" s="252"/>
      <c r="W149" s="252"/>
      <c r="X149" s="252"/>
      <c r="Y149" s="252"/>
      <c r="Z149" s="253"/>
      <c r="AA149" s="253"/>
      <c r="AB149" s="253"/>
      <c r="AC149" s="253"/>
      <c r="AD149" s="253"/>
      <c r="AE149" s="253"/>
      <c r="AF149" s="253"/>
      <c r="AG149" s="253"/>
      <c r="AH149" s="252"/>
    </row>
    <row r="150" spans="3:34" x14ac:dyDescent="0.2">
      <c r="C150" s="252"/>
      <c r="D150" s="252"/>
      <c r="E150" s="252"/>
      <c r="F150" s="252"/>
      <c r="G150" s="252"/>
      <c r="H150" s="252"/>
      <c r="I150" s="252"/>
      <c r="J150" s="252"/>
      <c r="K150" s="252"/>
      <c r="L150" s="252"/>
      <c r="M150" s="253"/>
      <c r="N150" s="253"/>
      <c r="O150" s="253"/>
      <c r="P150" s="253"/>
      <c r="Q150" s="253"/>
      <c r="R150" s="254"/>
      <c r="S150" s="255"/>
      <c r="T150" s="252"/>
      <c r="U150" s="252"/>
      <c r="V150" s="252"/>
      <c r="W150" s="252"/>
      <c r="X150" s="252"/>
      <c r="Y150" s="252"/>
      <c r="Z150" s="253"/>
      <c r="AA150" s="253"/>
      <c r="AB150" s="253"/>
      <c r="AC150" s="253"/>
      <c r="AD150" s="253"/>
      <c r="AE150" s="253"/>
      <c r="AF150" s="253"/>
      <c r="AG150" s="253"/>
      <c r="AH150" s="252"/>
    </row>
    <row r="151" spans="3:34" x14ac:dyDescent="0.2">
      <c r="C151" s="252"/>
      <c r="D151" s="252"/>
      <c r="E151" s="252"/>
      <c r="F151" s="252"/>
      <c r="G151" s="252"/>
      <c r="H151" s="252"/>
      <c r="I151" s="252"/>
      <c r="J151" s="252"/>
      <c r="K151" s="252"/>
      <c r="L151" s="252"/>
      <c r="M151" s="253"/>
      <c r="N151" s="253"/>
      <c r="O151" s="253"/>
      <c r="P151" s="253"/>
      <c r="Q151" s="253"/>
      <c r="R151" s="254"/>
      <c r="S151" s="255"/>
      <c r="T151" s="252"/>
      <c r="U151" s="252"/>
      <c r="V151" s="252"/>
      <c r="W151" s="252"/>
      <c r="X151" s="252"/>
      <c r="Y151" s="252"/>
      <c r="Z151" s="253"/>
      <c r="AA151" s="253"/>
      <c r="AB151" s="253"/>
      <c r="AC151" s="253"/>
      <c r="AD151" s="253"/>
      <c r="AE151" s="253"/>
      <c r="AF151" s="253"/>
      <c r="AG151" s="253"/>
      <c r="AH151" s="252"/>
    </row>
    <row r="152" spans="3:34" x14ac:dyDescent="0.2">
      <c r="C152" s="252"/>
      <c r="D152" s="252"/>
      <c r="E152" s="252"/>
      <c r="F152" s="252"/>
      <c r="G152" s="252"/>
      <c r="H152" s="252"/>
      <c r="I152" s="252"/>
      <c r="J152" s="252"/>
      <c r="K152" s="252"/>
      <c r="L152" s="252"/>
      <c r="M152" s="253"/>
      <c r="N152" s="253"/>
      <c r="O152" s="253"/>
      <c r="P152" s="253"/>
      <c r="Q152" s="253"/>
      <c r="R152" s="254"/>
      <c r="S152" s="255"/>
      <c r="T152" s="252"/>
      <c r="U152" s="252"/>
      <c r="V152" s="252"/>
      <c r="W152" s="252"/>
      <c r="X152" s="252"/>
      <c r="Y152" s="252"/>
      <c r="Z152" s="253"/>
      <c r="AA152" s="253"/>
      <c r="AB152" s="253"/>
      <c r="AC152" s="253"/>
      <c r="AD152" s="253"/>
      <c r="AE152" s="253"/>
      <c r="AF152" s="253"/>
      <c r="AG152" s="253"/>
      <c r="AH152" s="252"/>
    </row>
    <row r="153" spans="3:34" x14ac:dyDescent="0.2">
      <c r="C153" s="252"/>
      <c r="D153" s="252"/>
      <c r="E153" s="252"/>
      <c r="F153" s="252"/>
      <c r="G153" s="252"/>
      <c r="H153" s="252"/>
      <c r="I153" s="252"/>
      <c r="J153" s="252"/>
      <c r="K153" s="252"/>
      <c r="L153" s="252"/>
      <c r="M153" s="253"/>
      <c r="N153" s="253"/>
      <c r="O153" s="253"/>
      <c r="P153" s="253"/>
      <c r="Q153" s="253"/>
      <c r="R153" s="254"/>
      <c r="S153" s="255"/>
      <c r="T153" s="252"/>
      <c r="U153" s="252"/>
      <c r="V153" s="252"/>
      <c r="W153" s="252"/>
      <c r="X153" s="252"/>
      <c r="Y153" s="252"/>
      <c r="Z153" s="253"/>
      <c r="AA153" s="253"/>
      <c r="AB153" s="253"/>
      <c r="AC153" s="253"/>
      <c r="AD153" s="253"/>
      <c r="AE153" s="253"/>
      <c r="AF153" s="253"/>
      <c r="AG153" s="253"/>
      <c r="AH153" s="252"/>
    </row>
    <row r="154" spans="3:34" x14ac:dyDescent="0.2">
      <c r="C154" s="252"/>
      <c r="D154" s="252"/>
      <c r="E154" s="252"/>
      <c r="F154" s="252"/>
      <c r="G154" s="252"/>
      <c r="H154" s="252"/>
      <c r="I154" s="252"/>
      <c r="J154" s="252"/>
      <c r="K154" s="252"/>
      <c r="L154" s="252"/>
      <c r="M154" s="253"/>
      <c r="N154" s="253"/>
      <c r="O154" s="253"/>
      <c r="P154" s="253"/>
      <c r="Q154" s="253"/>
      <c r="R154" s="254"/>
      <c r="S154" s="255"/>
      <c r="T154" s="252"/>
      <c r="U154" s="252"/>
      <c r="V154" s="252"/>
      <c r="W154" s="252"/>
      <c r="X154" s="252"/>
      <c r="Y154" s="252"/>
      <c r="Z154" s="253"/>
      <c r="AA154" s="253"/>
      <c r="AB154" s="253"/>
      <c r="AC154" s="253"/>
      <c r="AD154" s="253"/>
      <c r="AE154" s="253"/>
      <c r="AF154" s="253"/>
      <c r="AG154" s="253"/>
      <c r="AH154" s="252"/>
    </row>
    <row r="155" spans="3:34" x14ac:dyDescent="0.2">
      <c r="C155" s="252"/>
      <c r="D155" s="252"/>
      <c r="E155" s="252"/>
      <c r="F155" s="252"/>
      <c r="G155" s="252"/>
      <c r="H155" s="252"/>
      <c r="I155" s="252"/>
      <c r="J155" s="252"/>
      <c r="K155" s="252"/>
      <c r="L155" s="252"/>
      <c r="M155" s="253"/>
      <c r="N155" s="253"/>
      <c r="O155" s="253"/>
      <c r="P155" s="253"/>
      <c r="Q155" s="253"/>
      <c r="R155" s="254"/>
      <c r="S155" s="255"/>
      <c r="T155" s="252"/>
      <c r="U155" s="252"/>
      <c r="V155" s="252"/>
      <c r="W155" s="252"/>
      <c r="X155" s="252"/>
      <c r="Y155" s="252"/>
      <c r="Z155" s="253"/>
      <c r="AA155" s="253"/>
      <c r="AB155" s="253"/>
      <c r="AC155" s="253"/>
      <c r="AD155" s="253"/>
      <c r="AE155" s="253"/>
      <c r="AF155" s="253"/>
      <c r="AG155" s="253"/>
      <c r="AH155" s="252"/>
    </row>
    <row r="156" spans="3:34" x14ac:dyDescent="0.2">
      <c r="C156" s="252"/>
      <c r="D156" s="252"/>
      <c r="E156" s="252"/>
      <c r="F156" s="252"/>
      <c r="G156" s="252"/>
      <c r="H156" s="252"/>
      <c r="I156" s="252"/>
      <c r="J156" s="252"/>
      <c r="K156" s="252"/>
      <c r="L156" s="252"/>
      <c r="M156" s="253"/>
      <c r="N156" s="253"/>
      <c r="O156" s="253"/>
      <c r="P156" s="253"/>
      <c r="Q156" s="253"/>
      <c r="R156" s="254"/>
      <c r="S156" s="255"/>
      <c r="T156" s="252"/>
      <c r="U156" s="252"/>
      <c r="V156" s="252"/>
      <c r="W156" s="252"/>
      <c r="X156" s="252"/>
      <c r="Y156" s="252"/>
      <c r="Z156" s="253"/>
      <c r="AA156" s="253"/>
      <c r="AB156" s="253"/>
      <c r="AC156" s="253"/>
      <c r="AD156" s="253"/>
      <c r="AE156" s="253"/>
      <c r="AF156" s="253"/>
      <c r="AG156" s="253"/>
      <c r="AH156" s="252"/>
    </row>
    <row r="157" spans="3:34" x14ac:dyDescent="0.2">
      <c r="C157" s="252"/>
      <c r="D157" s="252"/>
      <c r="E157" s="252"/>
      <c r="F157" s="252"/>
      <c r="G157" s="252"/>
      <c r="H157" s="252"/>
      <c r="I157" s="252"/>
      <c r="J157" s="252"/>
      <c r="K157" s="252"/>
      <c r="L157" s="252"/>
      <c r="M157" s="253"/>
      <c r="N157" s="253"/>
      <c r="O157" s="253"/>
      <c r="P157" s="253"/>
      <c r="Q157" s="253"/>
      <c r="R157" s="254"/>
      <c r="S157" s="255"/>
      <c r="T157" s="252"/>
      <c r="U157" s="252"/>
      <c r="V157" s="252"/>
      <c r="W157" s="252"/>
      <c r="X157" s="252"/>
      <c r="Y157" s="252"/>
      <c r="Z157" s="253"/>
      <c r="AA157" s="253"/>
      <c r="AB157" s="253"/>
      <c r="AC157" s="253"/>
      <c r="AD157" s="253"/>
      <c r="AE157" s="253"/>
      <c r="AF157" s="253"/>
      <c r="AG157" s="253"/>
      <c r="AH157" s="252"/>
    </row>
    <row r="158" spans="3:34" x14ac:dyDescent="0.2">
      <c r="C158" s="252"/>
      <c r="D158" s="252"/>
      <c r="E158" s="252"/>
      <c r="F158" s="252"/>
      <c r="G158" s="252"/>
      <c r="H158" s="252"/>
      <c r="I158" s="252"/>
      <c r="J158" s="252"/>
      <c r="K158" s="252"/>
      <c r="L158" s="252"/>
      <c r="M158" s="253"/>
      <c r="N158" s="253"/>
      <c r="O158" s="253"/>
      <c r="P158" s="253"/>
      <c r="Q158" s="253"/>
      <c r="R158" s="254"/>
      <c r="S158" s="255"/>
      <c r="T158" s="252"/>
      <c r="U158" s="252"/>
      <c r="V158" s="252"/>
      <c r="W158" s="252"/>
      <c r="X158" s="252"/>
      <c r="Y158" s="252"/>
      <c r="Z158" s="253"/>
      <c r="AA158" s="253"/>
      <c r="AB158" s="253"/>
      <c r="AC158" s="253"/>
      <c r="AD158" s="253"/>
      <c r="AE158" s="253"/>
      <c r="AF158" s="253"/>
      <c r="AG158" s="253"/>
      <c r="AH158" s="252"/>
    </row>
    <row r="159" spans="3:34" x14ac:dyDescent="0.2">
      <c r="C159" s="252"/>
      <c r="D159" s="252"/>
      <c r="E159" s="252"/>
      <c r="F159" s="252"/>
      <c r="G159" s="252"/>
      <c r="H159" s="252"/>
      <c r="I159" s="252"/>
      <c r="J159" s="252"/>
      <c r="K159" s="252"/>
      <c r="L159" s="252"/>
      <c r="M159" s="253"/>
      <c r="N159" s="253"/>
      <c r="O159" s="253"/>
      <c r="P159" s="253"/>
      <c r="Q159" s="253"/>
      <c r="R159" s="254"/>
      <c r="S159" s="255"/>
      <c r="T159" s="252"/>
      <c r="U159" s="252"/>
      <c r="V159" s="252"/>
      <c r="W159" s="252"/>
      <c r="X159" s="252"/>
      <c r="Y159" s="252"/>
      <c r="Z159" s="253"/>
      <c r="AA159" s="253"/>
      <c r="AB159" s="253"/>
      <c r="AC159" s="253"/>
      <c r="AD159" s="253"/>
      <c r="AE159" s="253"/>
      <c r="AF159" s="253"/>
      <c r="AG159" s="253"/>
      <c r="AH159" s="252"/>
    </row>
    <row r="160" spans="3:34" x14ac:dyDescent="0.2">
      <c r="C160" s="252"/>
      <c r="D160" s="252"/>
      <c r="E160" s="252"/>
      <c r="F160" s="252"/>
      <c r="G160" s="252"/>
      <c r="H160" s="252"/>
      <c r="I160" s="252"/>
      <c r="J160" s="252"/>
      <c r="K160" s="252"/>
      <c r="L160" s="252"/>
      <c r="M160" s="253"/>
      <c r="N160" s="253"/>
      <c r="O160" s="253"/>
      <c r="P160" s="253"/>
      <c r="Q160" s="253"/>
      <c r="R160" s="254"/>
      <c r="S160" s="255"/>
      <c r="T160" s="252"/>
      <c r="U160" s="252"/>
      <c r="V160" s="252"/>
      <c r="W160" s="252"/>
      <c r="X160" s="252"/>
      <c r="Y160" s="252"/>
      <c r="Z160" s="253"/>
      <c r="AA160" s="253"/>
      <c r="AB160" s="253"/>
      <c r="AC160" s="253"/>
      <c r="AD160" s="253"/>
      <c r="AE160" s="253"/>
      <c r="AF160" s="253"/>
      <c r="AG160" s="253"/>
      <c r="AH160" s="252"/>
    </row>
    <row r="161" spans="3:34" x14ac:dyDescent="0.2">
      <c r="C161" s="252"/>
      <c r="D161" s="252"/>
      <c r="E161" s="252"/>
      <c r="F161" s="252"/>
      <c r="G161" s="252"/>
      <c r="H161" s="252"/>
      <c r="I161" s="252"/>
      <c r="J161" s="252"/>
      <c r="K161" s="252"/>
      <c r="L161" s="252"/>
      <c r="M161" s="253"/>
      <c r="N161" s="253"/>
      <c r="O161" s="253"/>
      <c r="P161" s="253"/>
      <c r="Q161" s="253"/>
      <c r="R161" s="254"/>
      <c r="S161" s="255"/>
      <c r="T161" s="252"/>
      <c r="U161" s="252"/>
      <c r="V161" s="252"/>
      <c r="W161" s="252"/>
      <c r="X161" s="252"/>
      <c r="Y161" s="252"/>
      <c r="Z161" s="253"/>
      <c r="AA161" s="253"/>
      <c r="AB161" s="253"/>
      <c r="AC161" s="253"/>
      <c r="AD161" s="253"/>
      <c r="AE161" s="253"/>
      <c r="AF161" s="253"/>
      <c r="AG161" s="253"/>
      <c r="AH161" s="252"/>
    </row>
    <row r="162" spans="3:34" x14ac:dyDescent="0.2">
      <c r="C162" s="252"/>
      <c r="D162" s="252"/>
      <c r="E162" s="252"/>
      <c r="F162" s="252"/>
      <c r="G162" s="252"/>
      <c r="H162" s="252"/>
      <c r="I162" s="252"/>
      <c r="J162" s="252"/>
      <c r="K162" s="252"/>
      <c r="L162" s="252"/>
      <c r="M162" s="253"/>
      <c r="N162" s="253"/>
      <c r="O162" s="253"/>
      <c r="P162" s="253"/>
      <c r="Q162" s="253"/>
      <c r="R162" s="254"/>
      <c r="S162" s="255"/>
      <c r="T162" s="252"/>
      <c r="U162" s="252"/>
      <c r="V162" s="252"/>
      <c r="W162" s="252"/>
      <c r="X162" s="252"/>
      <c r="Y162" s="252"/>
      <c r="Z162" s="253"/>
      <c r="AA162" s="253"/>
      <c r="AB162" s="253"/>
      <c r="AC162" s="253"/>
      <c r="AD162" s="253"/>
      <c r="AE162" s="253"/>
      <c r="AF162" s="253"/>
      <c r="AG162" s="253"/>
      <c r="AH162" s="252"/>
    </row>
    <row r="163" spans="3:34" x14ac:dyDescent="0.2">
      <c r="C163" s="252"/>
      <c r="D163" s="252"/>
      <c r="E163" s="252"/>
      <c r="F163" s="252"/>
      <c r="G163" s="252"/>
      <c r="H163" s="252"/>
      <c r="I163" s="252"/>
      <c r="J163" s="252"/>
      <c r="K163" s="252"/>
      <c r="L163" s="252"/>
      <c r="M163" s="253"/>
      <c r="N163" s="253"/>
      <c r="O163" s="253"/>
      <c r="P163" s="253"/>
      <c r="Q163" s="253"/>
      <c r="R163" s="254"/>
      <c r="S163" s="255"/>
      <c r="T163" s="252"/>
      <c r="U163" s="252"/>
      <c r="V163" s="252"/>
      <c r="W163" s="252"/>
      <c r="X163" s="252"/>
      <c r="Y163" s="252"/>
      <c r="Z163" s="253"/>
      <c r="AA163" s="253"/>
      <c r="AB163" s="253"/>
      <c r="AC163" s="253"/>
      <c r="AD163" s="253"/>
      <c r="AE163" s="253"/>
      <c r="AF163" s="253"/>
      <c r="AG163" s="253"/>
      <c r="AH163" s="252"/>
    </row>
    <row r="164" spans="3:34" x14ac:dyDescent="0.2">
      <c r="C164" s="252"/>
      <c r="D164" s="252"/>
      <c r="E164" s="252"/>
      <c r="F164" s="252"/>
      <c r="G164" s="252"/>
      <c r="H164" s="252"/>
      <c r="I164" s="252"/>
      <c r="J164" s="252"/>
      <c r="K164" s="252"/>
      <c r="L164" s="252"/>
      <c r="M164" s="253"/>
      <c r="N164" s="253"/>
      <c r="O164" s="253"/>
      <c r="P164" s="253"/>
      <c r="Q164" s="253"/>
      <c r="R164" s="254"/>
      <c r="S164" s="255"/>
      <c r="T164" s="252"/>
      <c r="U164" s="252"/>
      <c r="V164" s="252"/>
      <c r="W164" s="252"/>
      <c r="X164" s="252"/>
      <c r="Y164" s="252"/>
      <c r="Z164" s="253"/>
      <c r="AA164" s="253"/>
      <c r="AB164" s="253"/>
      <c r="AC164" s="253"/>
      <c r="AD164" s="253"/>
      <c r="AE164" s="253"/>
      <c r="AF164" s="253"/>
      <c r="AG164" s="253"/>
      <c r="AH164" s="252"/>
    </row>
    <row r="165" spans="3:34" x14ac:dyDescent="0.2">
      <c r="C165" s="252"/>
      <c r="D165" s="252"/>
      <c r="E165" s="252"/>
      <c r="F165" s="252"/>
      <c r="G165" s="252"/>
      <c r="H165" s="252"/>
      <c r="I165" s="252"/>
      <c r="J165" s="252"/>
      <c r="K165" s="252"/>
      <c r="L165" s="252"/>
      <c r="M165" s="253"/>
      <c r="N165" s="253"/>
      <c r="O165" s="253"/>
      <c r="P165" s="253"/>
      <c r="Q165" s="253"/>
      <c r="R165" s="254"/>
      <c r="S165" s="255"/>
      <c r="T165" s="252"/>
      <c r="U165" s="252"/>
      <c r="V165" s="252"/>
      <c r="W165" s="252"/>
      <c r="X165" s="252"/>
      <c r="Y165" s="252"/>
      <c r="Z165" s="253"/>
      <c r="AA165" s="253"/>
      <c r="AB165" s="253"/>
      <c r="AC165" s="253"/>
      <c r="AD165" s="253"/>
      <c r="AE165" s="253"/>
      <c r="AF165" s="253"/>
      <c r="AG165" s="253"/>
      <c r="AH165" s="252"/>
    </row>
    <row r="166" spans="3:34" x14ac:dyDescent="0.2">
      <c r="C166" s="252"/>
      <c r="D166" s="252"/>
      <c r="E166" s="252"/>
      <c r="F166" s="252"/>
      <c r="G166" s="252"/>
      <c r="H166" s="252"/>
      <c r="I166" s="252"/>
      <c r="J166" s="252"/>
      <c r="K166" s="252"/>
      <c r="L166" s="252"/>
      <c r="M166" s="253"/>
      <c r="N166" s="253"/>
      <c r="O166" s="253"/>
      <c r="P166" s="253"/>
      <c r="Q166" s="253"/>
      <c r="R166" s="254"/>
      <c r="S166" s="255"/>
      <c r="T166" s="252"/>
      <c r="U166" s="252"/>
      <c r="V166" s="252"/>
      <c r="W166" s="252"/>
      <c r="X166" s="252"/>
      <c r="Y166" s="252"/>
      <c r="Z166" s="253"/>
      <c r="AA166" s="253"/>
      <c r="AB166" s="253"/>
      <c r="AC166" s="253"/>
      <c r="AD166" s="253"/>
      <c r="AE166" s="253"/>
      <c r="AF166" s="253"/>
      <c r="AG166" s="253"/>
      <c r="AH166" s="252"/>
    </row>
    <row r="167" spans="3:34" x14ac:dyDescent="0.2">
      <c r="C167" s="252"/>
      <c r="D167" s="252"/>
      <c r="E167" s="252"/>
      <c r="F167" s="252"/>
      <c r="G167" s="252"/>
      <c r="H167" s="252"/>
      <c r="I167" s="252"/>
      <c r="J167" s="252"/>
      <c r="K167" s="252"/>
      <c r="L167" s="252"/>
      <c r="M167" s="253"/>
      <c r="N167" s="253"/>
      <c r="O167" s="253"/>
      <c r="P167" s="253"/>
      <c r="Q167" s="253"/>
      <c r="R167" s="254"/>
      <c r="S167" s="255"/>
      <c r="T167" s="252"/>
      <c r="U167" s="252"/>
      <c r="V167" s="252"/>
      <c r="W167" s="252"/>
      <c r="X167" s="252"/>
      <c r="Y167" s="252"/>
      <c r="Z167" s="253"/>
      <c r="AA167" s="253"/>
      <c r="AB167" s="253"/>
      <c r="AC167" s="253"/>
      <c r="AD167" s="253"/>
      <c r="AE167" s="253"/>
      <c r="AF167" s="253"/>
      <c r="AG167" s="253"/>
      <c r="AH167" s="252"/>
    </row>
    <row r="168" spans="3:34" x14ac:dyDescent="0.2">
      <c r="C168" s="252"/>
      <c r="D168" s="252"/>
      <c r="E168" s="252"/>
      <c r="F168" s="252"/>
      <c r="G168" s="252"/>
      <c r="H168" s="252"/>
      <c r="I168" s="252"/>
      <c r="J168" s="252"/>
      <c r="K168" s="252"/>
      <c r="L168" s="252"/>
      <c r="M168" s="253"/>
      <c r="N168" s="253"/>
      <c r="O168" s="253"/>
      <c r="P168" s="253"/>
      <c r="Q168" s="253"/>
      <c r="R168" s="254"/>
      <c r="S168" s="255"/>
      <c r="T168" s="252"/>
      <c r="U168" s="252"/>
      <c r="V168" s="252"/>
      <c r="W168" s="252"/>
      <c r="X168" s="252"/>
      <c r="Y168" s="252"/>
      <c r="Z168" s="253"/>
      <c r="AA168" s="253"/>
      <c r="AB168" s="253"/>
      <c r="AC168" s="253"/>
      <c r="AD168" s="253"/>
      <c r="AE168" s="253"/>
      <c r="AF168" s="253"/>
      <c r="AG168" s="253"/>
      <c r="AH168" s="252"/>
    </row>
    <row r="169" spans="3:34" x14ac:dyDescent="0.2">
      <c r="C169" s="252"/>
      <c r="D169" s="252"/>
      <c r="E169" s="252"/>
      <c r="F169" s="252"/>
      <c r="G169" s="252"/>
      <c r="H169" s="252"/>
      <c r="I169" s="252"/>
      <c r="J169" s="252"/>
      <c r="K169" s="252"/>
      <c r="L169" s="252"/>
      <c r="M169" s="253"/>
      <c r="N169" s="253"/>
      <c r="O169" s="253"/>
      <c r="P169" s="253"/>
      <c r="Q169" s="253"/>
      <c r="R169" s="254"/>
      <c r="S169" s="255"/>
      <c r="T169" s="252"/>
      <c r="U169" s="252"/>
      <c r="V169" s="252"/>
      <c r="W169" s="252"/>
      <c r="X169" s="252"/>
      <c r="Y169" s="252"/>
      <c r="Z169" s="253"/>
      <c r="AA169" s="253"/>
      <c r="AB169" s="253"/>
      <c r="AC169" s="253"/>
      <c r="AD169" s="253"/>
      <c r="AE169" s="253"/>
      <c r="AF169" s="253"/>
      <c r="AG169" s="253"/>
      <c r="AH169" s="252"/>
    </row>
    <row r="170" spans="3:34" x14ac:dyDescent="0.2">
      <c r="C170" s="252"/>
      <c r="D170" s="252"/>
      <c r="E170" s="252"/>
      <c r="F170" s="252"/>
      <c r="G170" s="252"/>
      <c r="H170" s="252"/>
      <c r="I170" s="252"/>
      <c r="J170" s="252"/>
      <c r="K170" s="252"/>
      <c r="L170" s="252"/>
      <c r="M170" s="253"/>
      <c r="N170" s="253"/>
      <c r="O170" s="253"/>
      <c r="P170" s="253"/>
      <c r="Q170" s="253"/>
      <c r="R170" s="254"/>
      <c r="S170" s="255"/>
      <c r="T170" s="252"/>
      <c r="U170" s="252"/>
      <c r="V170" s="252"/>
      <c r="W170" s="252"/>
      <c r="X170" s="252"/>
      <c r="Y170" s="252"/>
      <c r="Z170" s="253"/>
      <c r="AA170" s="253"/>
      <c r="AB170" s="253"/>
      <c r="AC170" s="253"/>
      <c r="AD170" s="253"/>
      <c r="AE170" s="253"/>
      <c r="AF170" s="253"/>
      <c r="AG170" s="253"/>
      <c r="AH170" s="252"/>
    </row>
    <row r="171" spans="3:34" x14ac:dyDescent="0.2">
      <c r="C171" s="252"/>
      <c r="D171" s="252"/>
      <c r="E171" s="252"/>
      <c r="F171" s="252"/>
      <c r="G171" s="252"/>
      <c r="H171" s="252"/>
      <c r="I171" s="252"/>
      <c r="J171" s="252"/>
      <c r="K171" s="252"/>
      <c r="L171" s="252"/>
      <c r="M171" s="253"/>
      <c r="N171" s="253"/>
      <c r="O171" s="253"/>
      <c r="P171" s="253"/>
      <c r="Q171" s="253"/>
      <c r="R171" s="254"/>
      <c r="S171" s="255"/>
      <c r="T171" s="252"/>
      <c r="U171" s="252"/>
      <c r="V171" s="252"/>
      <c r="W171" s="252"/>
      <c r="X171" s="252"/>
      <c r="Y171" s="252"/>
      <c r="Z171" s="253"/>
      <c r="AA171" s="253"/>
      <c r="AB171" s="253"/>
      <c r="AC171" s="253"/>
      <c r="AD171" s="253"/>
      <c r="AE171" s="253"/>
      <c r="AF171" s="253"/>
      <c r="AG171" s="253"/>
      <c r="AH171" s="252"/>
    </row>
    <row r="172" spans="3:34" x14ac:dyDescent="0.2">
      <c r="C172" s="252"/>
      <c r="D172" s="252"/>
      <c r="E172" s="252"/>
      <c r="F172" s="252"/>
      <c r="G172" s="252"/>
      <c r="H172" s="252"/>
      <c r="I172" s="252"/>
      <c r="J172" s="252"/>
      <c r="K172" s="252"/>
      <c r="L172" s="252"/>
      <c r="M172" s="253"/>
      <c r="N172" s="253"/>
      <c r="O172" s="253"/>
      <c r="P172" s="253"/>
      <c r="Q172" s="253"/>
      <c r="R172" s="254"/>
      <c r="S172" s="255"/>
      <c r="T172" s="252"/>
      <c r="U172" s="252"/>
      <c r="V172" s="252"/>
      <c r="W172" s="252"/>
      <c r="X172" s="252"/>
      <c r="Y172" s="252"/>
      <c r="Z172" s="253"/>
      <c r="AA172" s="253"/>
      <c r="AB172" s="253"/>
      <c r="AC172" s="253"/>
      <c r="AD172" s="253"/>
      <c r="AE172" s="253"/>
      <c r="AF172" s="253"/>
      <c r="AG172" s="253"/>
      <c r="AH172" s="252"/>
    </row>
    <row r="173" spans="3:34" x14ac:dyDescent="0.2">
      <c r="C173" s="252"/>
      <c r="D173" s="252"/>
      <c r="E173" s="252"/>
      <c r="F173" s="252"/>
      <c r="G173" s="252"/>
      <c r="H173" s="252"/>
      <c r="I173" s="252"/>
      <c r="J173" s="252"/>
      <c r="K173" s="252"/>
      <c r="L173" s="252"/>
      <c r="M173" s="253"/>
      <c r="N173" s="253"/>
      <c r="O173" s="253"/>
      <c r="P173" s="253"/>
      <c r="Q173" s="253"/>
      <c r="R173" s="254"/>
      <c r="S173" s="255"/>
      <c r="T173" s="252"/>
      <c r="U173" s="252"/>
      <c r="V173" s="252"/>
      <c r="W173" s="252"/>
      <c r="X173" s="252"/>
      <c r="Y173" s="252"/>
      <c r="Z173" s="253"/>
      <c r="AA173" s="253"/>
      <c r="AB173" s="253"/>
      <c r="AC173" s="253"/>
      <c r="AD173" s="253"/>
      <c r="AE173" s="253"/>
      <c r="AF173" s="253"/>
      <c r="AG173" s="253"/>
      <c r="AH173" s="252"/>
    </row>
    <row r="174" spans="3:34" x14ac:dyDescent="0.2">
      <c r="C174" s="252"/>
      <c r="D174" s="252"/>
      <c r="E174" s="252"/>
      <c r="F174" s="252"/>
      <c r="G174" s="252"/>
      <c r="H174" s="252"/>
      <c r="I174" s="252"/>
      <c r="J174" s="252"/>
      <c r="K174" s="252"/>
      <c r="L174" s="252"/>
      <c r="M174" s="253"/>
      <c r="N174" s="253"/>
      <c r="O174" s="253"/>
      <c r="P174" s="253"/>
      <c r="Q174" s="253"/>
      <c r="R174" s="254"/>
      <c r="S174" s="255"/>
      <c r="T174" s="252"/>
      <c r="U174" s="252"/>
      <c r="V174" s="252"/>
      <c r="W174" s="252"/>
      <c r="X174" s="252"/>
      <c r="Y174" s="252"/>
      <c r="Z174" s="253"/>
      <c r="AA174" s="253"/>
      <c r="AB174" s="253"/>
      <c r="AC174" s="253"/>
      <c r="AD174" s="253"/>
      <c r="AE174" s="253"/>
      <c r="AF174" s="253"/>
      <c r="AG174" s="253"/>
      <c r="AH174" s="252"/>
    </row>
    <row r="175" spans="3:34" x14ac:dyDescent="0.2">
      <c r="C175" s="252"/>
      <c r="D175" s="252"/>
      <c r="E175" s="252"/>
      <c r="F175" s="252"/>
      <c r="G175" s="252"/>
      <c r="H175" s="252"/>
      <c r="I175" s="252"/>
      <c r="J175" s="252"/>
      <c r="K175" s="252"/>
      <c r="L175" s="252"/>
      <c r="M175" s="253"/>
      <c r="N175" s="253"/>
      <c r="O175" s="253"/>
      <c r="P175" s="253"/>
      <c r="Q175" s="253"/>
      <c r="R175" s="254"/>
      <c r="S175" s="255"/>
      <c r="T175" s="252"/>
      <c r="U175" s="252"/>
      <c r="V175" s="252"/>
      <c r="W175" s="252"/>
      <c r="X175" s="252"/>
      <c r="Y175" s="252"/>
      <c r="Z175" s="253"/>
      <c r="AA175" s="253"/>
      <c r="AB175" s="253"/>
      <c r="AC175" s="253"/>
      <c r="AD175" s="253"/>
      <c r="AE175" s="253"/>
      <c r="AF175" s="253"/>
      <c r="AG175" s="253"/>
      <c r="AH175" s="252"/>
    </row>
    <row r="176" spans="3:34" x14ac:dyDescent="0.2">
      <c r="C176" s="252"/>
      <c r="D176" s="252"/>
      <c r="E176" s="252"/>
      <c r="F176" s="252"/>
      <c r="G176" s="252"/>
      <c r="H176" s="252"/>
      <c r="I176" s="252"/>
      <c r="J176" s="252"/>
      <c r="K176" s="252"/>
      <c r="L176" s="252"/>
      <c r="M176" s="253"/>
      <c r="N176" s="253"/>
      <c r="O176" s="253"/>
      <c r="P176" s="253"/>
      <c r="Q176" s="253"/>
      <c r="R176" s="254"/>
      <c r="S176" s="255"/>
      <c r="T176" s="252"/>
      <c r="U176" s="252"/>
      <c r="V176" s="252"/>
      <c r="W176" s="252"/>
      <c r="X176" s="252"/>
      <c r="Y176" s="252"/>
      <c r="Z176" s="253"/>
      <c r="AA176" s="253"/>
      <c r="AB176" s="253"/>
      <c r="AC176" s="253"/>
      <c r="AD176" s="253"/>
      <c r="AE176" s="253"/>
      <c r="AF176" s="253"/>
      <c r="AG176" s="253"/>
      <c r="AH176" s="252"/>
    </row>
    <row r="177" spans="3:34" x14ac:dyDescent="0.2">
      <c r="C177" s="252"/>
      <c r="D177" s="252"/>
      <c r="E177" s="252"/>
      <c r="F177" s="252"/>
      <c r="G177" s="252"/>
      <c r="H177" s="252"/>
      <c r="I177" s="252"/>
      <c r="J177" s="252"/>
      <c r="K177" s="252"/>
      <c r="L177" s="252"/>
      <c r="M177" s="253"/>
      <c r="N177" s="253"/>
      <c r="O177" s="253"/>
      <c r="P177" s="253"/>
      <c r="Q177" s="253"/>
      <c r="R177" s="254"/>
      <c r="S177" s="255"/>
      <c r="T177" s="252"/>
      <c r="U177" s="252"/>
      <c r="V177" s="252"/>
      <c r="W177" s="252"/>
      <c r="X177" s="252"/>
      <c r="Y177" s="252"/>
      <c r="Z177" s="253"/>
      <c r="AA177" s="253"/>
      <c r="AB177" s="253"/>
      <c r="AC177" s="253"/>
      <c r="AD177" s="253"/>
      <c r="AE177" s="253"/>
      <c r="AF177" s="253"/>
      <c r="AG177" s="253"/>
      <c r="AH177" s="252"/>
    </row>
    <row r="178" spans="3:34" x14ac:dyDescent="0.2">
      <c r="C178" s="252"/>
      <c r="D178" s="252"/>
      <c r="E178" s="252"/>
      <c r="F178" s="252"/>
      <c r="G178" s="252"/>
      <c r="H178" s="252"/>
      <c r="I178" s="252"/>
      <c r="J178" s="252"/>
      <c r="K178" s="252"/>
      <c r="L178" s="252"/>
      <c r="M178" s="253"/>
      <c r="N178" s="253"/>
      <c r="O178" s="253"/>
      <c r="P178" s="253"/>
      <c r="Q178" s="253"/>
      <c r="R178" s="254"/>
      <c r="S178" s="255"/>
      <c r="T178" s="252"/>
      <c r="U178" s="252"/>
      <c r="V178" s="252"/>
      <c r="W178" s="252"/>
      <c r="X178" s="252"/>
      <c r="Y178" s="252"/>
      <c r="Z178" s="253"/>
      <c r="AA178" s="253"/>
      <c r="AB178" s="253"/>
      <c r="AC178" s="253"/>
      <c r="AD178" s="253"/>
      <c r="AE178" s="253"/>
      <c r="AF178" s="253"/>
      <c r="AG178" s="253"/>
      <c r="AH178" s="252"/>
    </row>
    <row r="179" spans="3:34" x14ac:dyDescent="0.2">
      <c r="C179" s="252"/>
      <c r="D179" s="252"/>
      <c r="E179" s="252"/>
      <c r="F179" s="252"/>
      <c r="G179" s="252"/>
      <c r="H179" s="252"/>
      <c r="I179" s="252"/>
      <c r="J179" s="252"/>
      <c r="K179" s="252"/>
      <c r="L179" s="252"/>
      <c r="M179" s="253"/>
      <c r="N179" s="253"/>
      <c r="O179" s="253"/>
      <c r="P179" s="253"/>
      <c r="Q179" s="253"/>
      <c r="R179" s="254"/>
      <c r="S179" s="255"/>
      <c r="T179" s="252"/>
      <c r="U179" s="252"/>
      <c r="V179" s="252"/>
      <c r="W179" s="252"/>
      <c r="X179" s="252"/>
      <c r="Y179" s="252"/>
      <c r="Z179" s="253"/>
      <c r="AA179" s="253"/>
      <c r="AB179" s="253"/>
      <c r="AC179" s="253"/>
      <c r="AD179" s="253"/>
      <c r="AE179" s="253"/>
      <c r="AF179" s="253"/>
      <c r="AG179" s="253"/>
      <c r="AH179" s="252"/>
    </row>
    <row r="180" spans="3:34" x14ac:dyDescent="0.2">
      <c r="C180" s="252"/>
      <c r="D180" s="252"/>
      <c r="E180" s="252"/>
      <c r="F180" s="252"/>
      <c r="G180" s="252"/>
      <c r="H180" s="252"/>
      <c r="I180" s="252"/>
      <c r="J180" s="252"/>
      <c r="K180" s="252"/>
      <c r="L180" s="252"/>
      <c r="M180" s="253"/>
      <c r="N180" s="253"/>
      <c r="O180" s="253"/>
      <c r="P180" s="253"/>
      <c r="Q180" s="253"/>
      <c r="R180" s="254"/>
      <c r="S180" s="255"/>
      <c r="T180" s="252"/>
      <c r="U180" s="252"/>
      <c r="V180" s="252"/>
      <c r="W180" s="252"/>
      <c r="X180" s="252"/>
      <c r="Y180" s="252"/>
      <c r="Z180" s="253"/>
      <c r="AA180" s="253"/>
      <c r="AB180" s="253"/>
      <c r="AC180" s="253"/>
      <c r="AD180" s="253"/>
      <c r="AE180" s="253"/>
      <c r="AF180" s="253"/>
      <c r="AG180" s="253"/>
      <c r="AH180" s="252"/>
    </row>
    <row r="181" spans="3:34" x14ac:dyDescent="0.2">
      <c r="C181" s="252"/>
      <c r="D181" s="252"/>
      <c r="E181" s="252"/>
      <c r="F181" s="252"/>
      <c r="G181" s="252"/>
      <c r="H181" s="252"/>
      <c r="I181" s="252"/>
      <c r="J181" s="252"/>
      <c r="K181" s="252"/>
      <c r="L181" s="252"/>
      <c r="M181" s="253"/>
      <c r="N181" s="253"/>
      <c r="O181" s="253"/>
      <c r="P181" s="253"/>
      <c r="Q181" s="253"/>
      <c r="R181" s="254"/>
      <c r="S181" s="255"/>
      <c r="T181" s="252"/>
      <c r="U181" s="252"/>
      <c r="V181" s="252"/>
      <c r="W181" s="252"/>
      <c r="X181" s="252"/>
      <c r="Y181" s="252"/>
      <c r="Z181" s="253"/>
      <c r="AA181" s="253"/>
      <c r="AB181" s="253"/>
      <c r="AC181" s="253"/>
      <c r="AD181" s="253"/>
      <c r="AE181" s="253"/>
      <c r="AF181" s="253"/>
      <c r="AG181" s="253"/>
      <c r="AH181" s="252"/>
    </row>
    <row r="182" spans="3:34" x14ac:dyDescent="0.2">
      <c r="C182" s="252"/>
      <c r="D182" s="252"/>
      <c r="E182" s="252"/>
      <c r="F182" s="252"/>
      <c r="G182" s="252"/>
      <c r="H182" s="252"/>
      <c r="I182" s="252"/>
      <c r="J182" s="252"/>
      <c r="K182" s="252"/>
      <c r="L182" s="252"/>
      <c r="M182" s="253"/>
      <c r="N182" s="253"/>
      <c r="O182" s="253"/>
      <c r="P182" s="253"/>
      <c r="Q182" s="253"/>
      <c r="R182" s="254"/>
      <c r="S182" s="255"/>
      <c r="T182" s="252"/>
      <c r="U182" s="252"/>
      <c r="V182" s="252"/>
      <c r="W182" s="252"/>
      <c r="X182" s="252"/>
      <c r="Y182" s="252"/>
      <c r="Z182" s="253"/>
      <c r="AA182" s="253"/>
      <c r="AB182" s="253"/>
      <c r="AC182" s="253"/>
      <c r="AD182" s="253"/>
      <c r="AE182" s="253"/>
      <c r="AF182" s="253"/>
      <c r="AG182" s="253"/>
      <c r="AH182" s="252"/>
    </row>
    <row r="183" spans="3:34" x14ac:dyDescent="0.2">
      <c r="C183" s="252"/>
      <c r="D183" s="252"/>
      <c r="E183" s="252"/>
      <c r="F183" s="252"/>
      <c r="G183" s="252"/>
      <c r="H183" s="252"/>
      <c r="I183" s="252"/>
      <c r="J183" s="252"/>
      <c r="K183" s="252"/>
      <c r="L183" s="252"/>
      <c r="M183" s="253"/>
      <c r="N183" s="253"/>
      <c r="O183" s="253"/>
      <c r="P183" s="253"/>
      <c r="Q183" s="253"/>
      <c r="R183" s="254"/>
      <c r="S183" s="255"/>
      <c r="T183" s="252"/>
      <c r="U183" s="252"/>
      <c r="V183" s="252"/>
      <c r="W183" s="252"/>
      <c r="X183" s="252"/>
      <c r="Y183" s="252"/>
      <c r="Z183" s="253"/>
      <c r="AA183" s="253"/>
      <c r="AB183" s="253"/>
      <c r="AC183" s="253"/>
      <c r="AD183" s="253"/>
      <c r="AE183" s="253"/>
      <c r="AF183" s="253"/>
      <c r="AG183" s="253"/>
      <c r="AH183" s="252"/>
    </row>
    <row r="184" spans="3:34" x14ac:dyDescent="0.2">
      <c r="C184" s="252"/>
      <c r="D184" s="252"/>
      <c r="E184" s="252"/>
      <c r="F184" s="252"/>
      <c r="G184" s="252"/>
      <c r="H184" s="252"/>
      <c r="I184" s="252"/>
      <c r="J184" s="252"/>
      <c r="K184" s="252"/>
      <c r="L184" s="252"/>
      <c r="M184" s="253"/>
      <c r="N184" s="253"/>
      <c r="O184" s="253"/>
      <c r="P184" s="253"/>
      <c r="Q184" s="253"/>
      <c r="R184" s="254"/>
      <c r="S184" s="255"/>
      <c r="T184" s="252"/>
      <c r="U184" s="252"/>
      <c r="V184" s="252"/>
      <c r="W184" s="252"/>
      <c r="X184" s="252"/>
      <c r="Y184" s="252"/>
      <c r="Z184" s="253"/>
      <c r="AA184" s="253"/>
      <c r="AB184" s="253"/>
      <c r="AC184" s="253"/>
      <c r="AD184" s="253"/>
      <c r="AE184" s="253"/>
      <c r="AF184" s="253"/>
      <c r="AG184" s="253"/>
      <c r="AH184" s="252"/>
    </row>
    <row r="185" spans="3:34" x14ac:dyDescent="0.2">
      <c r="C185" s="252"/>
      <c r="D185" s="252"/>
      <c r="E185" s="252"/>
      <c r="F185" s="252"/>
      <c r="G185" s="252"/>
      <c r="H185" s="252"/>
      <c r="I185" s="252"/>
      <c r="J185" s="252"/>
      <c r="K185" s="252"/>
      <c r="L185" s="252"/>
      <c r="M185" s="253"/>
      <c r="N185" s="253"/>
      <c r="O185" s="253"/>
      <c r="P185" s="253"/>
      <c r="Q185" s="253"/>
      <c r="R185" s="254"/>
      <c r="S185" s="255"/>
      <c r="T185" s="252"/>
      <c r="U185" s="252"/>
      <c r="V185" s="252"/>
      <c r="W185" s="252"/>
      <c r="X185" s="252"/>
      <c r="Y185" s="252"/>
      <c r="Z185" s="253"/>
      <c r="AA185" s="253"/>
      <c r="AB185" s="253"/>
      <c r="AC185" s="253"/>
      <c r="AD185" s="253"/>
      <c r="AE185" s="253"/>
      <c r="AF185" s="253"/>
      <c r="AG185" s="253"/>
      <c r="AH185" s="252"/>
    </row>
    <row r="186" spans="3:34" x14ac:dyDescent="0.2">
      <c r="C186" s="252"/>
      <c r="D186" s="252"/>
      <c r="E186" s="252"/>
      <c r="F186" s="252"/>
      <c r="G186" s="252"/>
      <c r="H186" s="252"/>
      <c r="I186" s="252"/>
      <c r="J186" s="252"/>
      <c r="K186" s="252"/>
      <c r="L186" s="252"/>
      <c r="M186" s="253"/>
      <c r="N186" s="253"/>
      <c r="O186" s="253"/>
      <c r="P186" s="253"/>
      <c r="Q186" s="253"/>
      <c r="R186" s="254"/>
      <c r="S186" s="255"/>
      <c r="T186" s="252"/>
      <c r="U186" s="252"/>
      <c r="V186" s="252"/>
      <c r="W186" s="252"/>
      <c r="X186" s="252"/>
      <c r="Y186" s="252"/>
      <c r="Z186" s="253"/>
      <c r="AA186" s="253"/>
      <c r="AB186" s="253"/>
      <c r="AC186" s="253"/>
      <c r="AD186" s="253"/>
      <c r="AE186" s="253"/>
      <c r="AF186" s="253"/>
      <c r="AG186" s="253"/>
      <c r="AH186" s="252"/>
    </row>
    <row r="187" spans="3:34" x14ac:dyDescent="0.2">
      <c r="C187" s="252"/>
      <c r="D187" s="252"/>
      <c r="E187" s="252"/>
      <c r="F187" s="252"/>
      <c r="G187" s="252"/>
      <c r="H187" s="252"/>
      <c r="I187" s="252"/>
      <c r="J187" s="252"/>
      <c r="K187" s="252"/>
      <c r="L187" s="252"/>
      <c r="M187" s="253"/>
      <c r="N187" s="253"/>
      <c r="O187" s="253"/>
      <c r="P187" s="253"/>
      <c r="Q187" s="253"/>
      <c r="R187" s="254"/>
      <c r="S187" s="255"/>
      <c r="T187" s="252"/>
      <c r="U187" s="252"/>
      <c r="V187" s="252"/>
      <c r="W187" s="252"/>
      <c r="X187" s="252"/>
      <c r="Y187" s="252"/>
      <c r="Z187" s="253"/>
      <c r="AA187" s="253"/>
      <c r="AB187" s="253"/>
      <c r="AC187" s="253"/>
      <c r="AD187" s="253"/>
      <c r="AE187" s="253"/>
      <c r="AF187" s="253"/>
      <c r="AG187" s="253"/>
      <c r="AH187" s="252"/>
    </row>
    <row r="188" spans="3:34" x14ac:dyDescent="0.2">
      <c r="C188" s="252"/>
      <c r="D188" s="252"/>
      <c r="E188" s="252"/>
      <c r="F188" s="252"/>
      <c r="G188" s="252"/>
      <c r="H188" s="252"/>
      <c r="I188" s="252"/>
      <c r="J188" s="252"/>
      <c r="K188" s="252"/>
      <c r="L188" s="252"/>
      <c r="M188" s="253"/>
      <c r="N188" s="253"/>
      <c r="O188" s="253"/>
      <c r="P188" s="253"/>
      <c r="Q188" s="253"/>
      <c r="R188" s="254"/>
      <c r="S188" s="255"/>
      <c r="T188" s="252"/>
      <c r="U188" s="252"/>
      <c r="V188" s="252"/>
      <c r="W188" s="252"/>
      <c r="X188" s="252"/>
      <c r="Y188" s="252"/>
      <c r="Z188" s="253"/>
      <c r="AA188" s="253"/>
      <c r="AB188" s="253"/>
      <c r="AC188" s="253"/>
      <c r="AD188" s="253"/>
      <c r="AE188" s="253"/>
      <c r="AF188" s="253"/>
      <c r="AG188" s="253"/>
      <c r="AH188" s="252"/>
    </row>
    <row r="189" spans="3:34" x14ac:dyDescent="0.2">
      <c r="C189" s="252"/>
      <c r="D189" s="252"/>
      <c r="E189" s="252"/>
      <c r="F189" s="252"/>
      <c r="G189" s="252"/>
      <c r="H189" s="252"/>
      <c r="I189" s="252"/>
      <c r="J189" s="252"/>
      <c r="K189" s="252"/>
      <c r="L189" s="252"/>
      <c r="M189" s="253"/>
      <c r="N189" s="253"/>
      <c r="O189" s="253"/>
      <c r="P189" s="253"/>
      <c r="Q189" s="253"/>
      <c r="R189" s="254"/>
      <c r="S189" s="255"/>
      <c r="T189" s="252"/>
      <c r="U189" s="252"/>
      <c r="V189" s="252"/>
      <c r="W189" s="252"/>
      <c r="X189" s="252"/>
      <c r="Y189" s="252"/>
      <c r="Z189" s="253"/>
      <c r="AA189" s="253"/>
      <c r="AB189" s="253"/>
      <c r="AC189" s="253"/>
      <c r="AD189" s="253"/>
      <c r="AE189" s="253"/>
      <c r="AF189" s="253"/>
      <c r="AG189" s="253"/>
      <c r="AH189" s="252"/>
    </row>
    <row r="190" spans="3:34" x14ac:dyDescent="0.2">
      <c r="C190" s="252"/>
      <c r="D190" s="252"/>
      <c r="E190" s="252"/>
      <c r="F190" s="252"/>
      <c r="G190" s="252"/>
      <c r="H190" s="252"/>
      <c r="I190" s="252"/>
      <c r="J190" s="252"/>
      <c r="K190" s="252"/>
      <c r="L190" s="252"/>
      <c r="M190" s="253"/>
      <c r="N190" s="253"/>
      <c r="O190" s="253"/>
      <c r="P190" s="253"/>
      <c r="Q190" s="253"/>
      <c r="R190" s="254"/>
      <c r="S190" s="255"/>
      <c r="T190" s="252"/>
      <c r="U190" s="252"/>
      <c r="V190" s="252"/>
      <c r="W190" s="252"/>
      <c r="X190" s="252"/>
      <c r="Y190" s="252"/>
      <c r="Z190" s="253"/>
      <c r="AA190" s="253"/>
      <c r="AB190" s="253"/>
      <c r="AC190" s="253"/>
      <c r="AD190" s="253"/>
      <c r="AE190" s="253"/>
      <c r="AF190" s="253"/>
      <c r="AG190" s="253"/>
      <c r="AH190" s="252"/>
    </row>
    <row r="191" spans="3:34" x14ac:dyDescent="0.2">
      <c r="C191" s="252"/>
      <c r="D191" s="252"/>
      <c r="E191" s="252"/>
      <c r="F191" s="252"/>
      <c r="G191" s="252"/>
      <c r="H191" s="252"/>
      <c r="I191" s="252"/>
      <c r="J191" s="252"/>
      <c r="K191" s="252"/>
      <c r="L191" s="252"/>
      <c r="M191" s="253"/>
      <c r="N191" s="253"/>
      <c r="O191" s="253"/>
      <c r="P191" s="253"/>
      <c r="Q191" s="253"/>
      <c r="R191" s="254"/>
      <c r="S191" s="255"/>
      <c r="T191" s="252"/>
      <c r="U191" s="252"/>
      <c r="V191" s="252"/>
      <c r="W191" s="252"/>
      <c r="X191" s="252"/>
      <c r="Y191" s="252"/>
      <c r="Z191" s="253"/>
      <c r="AA191" s="253"/>
      <c r="AB191" s="253"/>
      <c r="AC191" s="253"/>
      <c r="AD191" s="253"/>
      <c r="AE191" s="253"/>
      <c r="AF191" s="253"/>
      <c r="AG191" s="253"/>
      <c r="AH191" s="252"/>
    </row>
    <row r="192" spans="3:34" x14ac:dyDescent="0.2">
      <c r="C192" s="252"/>
      <c r="D192" s="252"/>
      <c r="E192" s="252"/>
      <c r="F192" s="252"/>
      <c r="G192" s="252"/>
      <c r="H192" s="252"/>
      <c r="I192" s="252"/>
      <c r="J192" s="252"/>
      <c r="K192" s="252"/>
      <c r="L192" s="252"/>
      <c r="M192" s="253"/>
      <c r="N192" s="253"/>
      <c r="O192" s="253"/>
      <c r="P192" s="253"/>
      <c r="Q192" s="253"/>
      <c r="R192" s="254"/>
      <c r="S192" s="255"/>
      <c r="T192" s="252"/>
      <c r="U192" s="252"/>
      <c r="V192" s="252"/>
      <c r="W192" s="252"/>
      <c r="X192" s="252"/>
      <c r="Y192" s="252"/>
      <c r="Z192" s="253"/>
      <c r="AA192" s="253"/>
      <c r="AB192" s="253"/>
      <c r="AC192" s="253"/>
      <c r="AD192" s="253"/>
      <c r="AE192" s="253"/>
      <c r="AF192" s="253"/>
      <c r="AG192" s="253"/>
      <c r="AH192" s="252"/>
    </row>
    <row r="193" spans="3:34" x14ac:dyDescent="0.2">
      <c r="C193" s="252"/>
      <c r="D193" s="252"/>
      <c r="E193" s="252"/>
      <c r="F193" s="252"/>
      <c r="G193" s="252"/>
      <c r="H193" s="252"/>
      <c r="I193" s="252"/>
      <c r="J193" s="252"/>
      <c r="K193" s="252"/>
      <c r="L193" s="252"/>
      <c r="M193" s="253"/>
      <c r="N193" s="253"/>
      <c r="O193" s="253"/>
      <c r="P193" s="253"/>
      <c r="Q193" s="253"/>
      <c r="R193" s="254"/>
      <c r="S193" s="255"/>
      <c r="T193" s="252"/>
      <c r="U193" s="252"/>
      <c r="V193" s="252"/>
      <c r="W193" s="252"/>
      <c r="X193" s="252"/>
      <c r="Y193" s="252"/>
      <c r="Z193" s="253"/>
      <c r="AA193" s="253"/>
      <c r="AB193" s="253"/>
      <c r="AC193" s="253"/>
      <c r="AD193" s="253"/>
      <c r="AE193" s="253"/>
      <c r="AF193" s="253"/>
      <c r="AG193" s="253"/>
      <c r="AH193" s="252"/>
    </row>
    <row r="194" spans="3:34" x14ac:dyDescent="0.2">
      <c r="C194" s="252"/>
      <c r="D194" s="252"/>
      <c r="E194" s="252"/>
      <c r="F194" s="252"/>
      <c r="G194" s="252"/>
      <c r="H194" s="252"/>
      <c r="I194" s="252"/>
      <c r="J194" s="252"/>
      <c r="K194" s="252"/>
      <c r="L194" s="252"/>
      <c r="M194" s="253"/>
      <c r="N194" s="253"/>
      <c r="O194" s="253"/>
      <c r="P194" s="253"/>
      <c r="Q194" s="253"/>
      <c r="R194" s="254"/>
      <c r="S194" s="255"/>
      <c r="T194" s="252"/>
      <c r="U194" s="252"/>
      <c r="V194" s="252"/>
      <c r="W194" s="252"/>
      <c r="X194" s="252"/>
      <c r="Y194" s="252"/>
      <c r="Z194" s="253"/>
      <c r="AA194" s="253"/>
      <c r="AB194" s="253"/>
      <c r="AC194" s="253"/>
      <c r="AD194" s="253"/>
      <c r="AE194" s="253"/>
      <c r="AF194" s="253"/>
      <c r="AG194" s="253"/>
      <c r="AH194" s="252"/>
    </row>
    <row r="195" spans="3:34" x14ac:dyDescent="0.2">
      <c r="C195" s="252"/>
      <c r="D195" s="252"/>
      <c r="E195" s="252"/>
      <c r="F195" s="252"/>
      <c r="G195" s="252"/>
      <c r="H195" s="252"/>
      <c r="I195" s="252"/>
      <c r="J195" s="252"/>
      <c r="K195" s="252"/>
      <c r="L195" s="252"/>
      <c r="M195" s="253"/>
      <c r="N195" s="253"/>
      <c r="O195" s="253"/>
      <c r="P195" s="253"/>
      <c r="Q195" s="253"/>
      <c r="R195" s="254"/>
      <c r="S195" s="255"/>
      <c r="T195" s="252"/>
      <c r="U195" s="252"/>
      <c r="V195" s="252"/>
      <c r="W195" s="252"/>
      <c r="X195" s="252"/>
      <c r="Y195" s="252"/>
      <c r="Z195" s="253"/>
      <c r="AA195" s="253"/>
      <c r="AB195" s="253"/>
      <c r="AC195" s="253"/>
      <c r="AD195" s="253"/>
      <c r="AE195" s="253"/>
      <c r="AF195" s="253"/>
      <c r="AG195" s="253"/>
      <c r="AH195" s="252"/>
    </row>
    <row r="196" spans="3:34" x14ac:dyDescent="0.2">
      <c r="C196" s="252"/>
      <c r="D196" s="252"/>
      <c r="E196" s="252"/>
      <c r="F196" s="252"/>
      <c r="G196" s="252"/>
      <c r="H196" s="252"/>
      <c r="I196" s="252"/>
      <c r="J196" s="252"/>
      <c r="K196" s="252"/>
      <c r="L196" s="252"/>
      <c r="M196" s="253"/>
      <c r="N196" s="253"/>
      <c r="O196" s="253"/>
      <c r="P196" s="253"/>
      <c r="Q196" s="253"/>
      <c r="R196" s="254"/>
      <c r="S196" s="255"/>
      <c r="T196" s="252"/>
      <c r="U196" s="252"/>
      <c r="V196" s="252"/>
      <c r="W196" s="252"/>
      <c r="X196" s="252"/>
      <c r="Y196" s="252"/>
      <c r="Z196" s="253"/>
      <c r="AA196" s="253"/>
      <c r="AB196" s="253"/>
      <c r="AC196" s="253"/>
      <c r="AD196" s="253"/>
      <c r="AE196" s="253"/>
      <c r="AF196" s="253"/>
      <c r="AG196" s="253"/>
      <c r="AH196" s="252"/>
    </row>
    <row r="197" spans="3:34" x14ac:dyDescent="0.2">
      <c r="C197" s="252"/>
      <c r="D197" s="252"/>
      <c r="E197" s="252"/>
      <c r="F197" s="252"/>
      <c r="G197" s="252"/>
      <c r="H197" s="252"/>
      <c r="I197" s="252"/>
      <c r="J197" s="252"/>
      <c r="K197" s="252"/>
      <c r="L197" s="252"/>
      <c r="M197" s="253"/>
      <c r="N197" s="253"/>
      <c r="O197" s="253"/>
      <c r="P197" s="253"/>
      <c r="Q197" s="253"/>
      <c r="R197" s="254"/>
      <c r="S197" s="255"/>
      <c r="T197" s="252"/>
      <c r="U197" s="252"/>
      <c r="V197" s="252"/>
      <c r="W197" s="252"/>
      <c r="X197" s="252"/>
      <c r="Y197" s="252"/>
      <c r="Z197" s="253"/>
      <c r="AA197" s="253"/>
      <c r="AB197" s="253"/>
      <c r="AC197" s="253"/>
      <c r="AD197" s="253"/>
      <c r="AE197" s="253"/>
      <c r="AF197" s="253"/>
      <c r="AG197" s="253"/>
      <c r="AH197" s="252"/>
    </row>
    <row r="198" spans="3:34" x14ac:dyDescent="0.2">
      <c r="C198" s="252"/>
      <c r="D198" s="252"/>
      <c r="E198" s="252"/>
      <c r="F198" s="252"/>
      <c r="G198" s="252"/>
      <c r="H198" s="252"/>
      <c r="I198" s="252"/>
      <c r="J198" s="252"/>
      <c r="K198" s="252"/>
      <c r="L198" s="252"/>
      <c r="M198" s="253"/>
      <c r="N198" s="253"/>
      <c r="O198" s="253"/>
      <c r="P198" s="253"/>
      <c r="Q198" s="253"/>
      <c r="R198" s="254"/>
      <c r="S198" s="255"/>
      <c r="T198" s="252"/>
      <c r="U198" s="252"/>
      <c r="V198" s="252"/>
      <c r="W198" s="252"/>
      <c r="X198" s="252"/>
      <c r="Y198" s="252"/>
      <c r="Z198" s="253"/>
      <c r="AA198" s="253"/>
      <c r="AB198" s="253"/>
      <c r="AC198" s="253"/>
      <c r="AD198" s="253"/>
      <c r="AE198" s="253"/>
      <c r="AF198" s="253"/>
      <c r="AG198" s="253"/>
      <c r="AH198" s="252"/>
    </row>
    <row r="199" spans="3:34" x14ac:dyDescent="0.2">
      <c r="C199" s="252"/>
      <c r="D199" s="252"/>
      <c r="E199" s="252"/>
      <c r="F199" s="252"/>
      <c r="G199" s="252"/>
      <c r="H199" s="252"/>
      <c r="I199" s="252"/>
      <c r="J199" s="252"/>
      <c r="K199" s="252"/>
      <c r="L199" s="252"/>
      <c r="M199" s="253"/>
      <c r="N199" s="253"/>
      <c r="O199" s="253"/>
      <c r="P199" s="253"/>
      <c r="Q199" s="253"/>
      <c r="R199" s="254"/>
      <c r="S199" s="255"/>
      <c r="T199" s="252"/>
      <c r="U199" s="252"/>
      <c r="V199" s="252"/>
      <c r="W199" s="252"/>
      <c r="X199" s="252"/>
      <c r="Y199" s="252"/>
      <c r="Z199" s="253"/>
      <c r="AA199" s="253"/>
      <c r="AB199" s="253"/>
      <c r="AC199" s="253"/>
      <c r="AD199" s="253"/>
      <c r="AE199" s="253"/>
      <c r="AF199" s="253"/>
      <c r="AG199" s="253"/>
      <c r="AH199" s="252"/>
    </row>
    <row r="200" spans="3:34" x14ac:dyDescent="0.2">
      <c r="C200" s="252"/>
      <c r="D200" s="252"/>
      <c r="E200" s="252"/>
      <c r="F200" s="252"/>
      <c r="G200" s="252"/>
      <c r="H200" s="252"/>
      <c r="I200" s="252"/>
      <c r="J200" s="252"/>
      <c r="K200" s="252"/>
      <c r="L200" s="252"/>
      <c r="M200" s="253"/>
      <c r="N200" s="253"/>
      <c r="O200" s="253"/>
      <c r="P200" s="253"/>
      <c r="Q200" s="253"/>
      <c r="R200" s="254"/>
      <c r="S200" s="255"/>
      <c r="T200" s="252"/>
      <c r="U200" s="252"/>
      <c r="V200" s="252"/>
      <c r="W200" s="252"/>
      <c r="X200" s="252"/>
      <c r="Y200" s="252"/>
      <c r="Z200" s="253"/>
      <c r="AA200" s="253"/>
      <c r="AB200" s="253"/>
      <c r="AC200" s="253"/>
      <c r="AD200" s="253"/>
      <c r="AE200" s="253"/>
      <c r="AF200" s="253"/>
      <c r="AG200" s="253"/>
      <c r="AH200" s="252"/>
    </row>
    <row r="201" spans="3:34" x14ac:dyDescent="0.2">
      <c r="C201" s="252"/>
      <c r="D201" s="252"/>
      <c r="E201" s="252"/>
      <c r="F201" s="252"/>
      <c r="G201" s="252"/>
      <c r="H201" s="252"/>
      <c r="I201" s="252"/>
      <c r="J201" s="252"/>
      <c r="K201" s="252"/>
      <c r="L201" s="252"/>
      <c r="M201" s="253"/>
      <c r="N201" s="253"/>
      <c r="O201" s="253"/>
      <c r="P201" s="253"/>
      <c r="Q201" s="253"/>
      <c r="R201" s="254"/>
      <c r="S201" s="255"/>
      <c r="T201" s="252"/>
      <c r="U201" s="252"/>
      <c r="V201" s="252"/>
      <c r="W201" s="252"/>
      <c r="X201" s="252"/>
      <c r="Y201" s="252"/>
      <c r="Z201" s="253"/>
      <c r="AA201" s="253"/>
      <c r="AB201" s="253"/>
      <c r="AC201" s="253"/>
      <c r="AD201" s="253"/>
      <c r="AE201" s="253"/>
      <c r="AF201" s="253"/>
      <c r="AG201" s="253"/>
      <c r="AH201" s="252"/>
    </row>
    <row r="202" spans="3:34" x14ac:dyDescent="0.2">
      <c r="C202" s="252"/>
      <c r="D202" s="252"/>
      <c r="E202" s="252"/>
      <c r="F202" s="252"/>
      <c r="G202" s="252"/>
      <c r="H202" s="252"/>
      <c r="I202" s="252"/>
      <c r="J202" s="252"/>
      <c r="K202" s="252"/>
      <c r="L202" s="252"/>
      <c r="M202" s="253"/>
      <c r="N202" s="253"/>
      <c r="O202" s="253"/>
      <c r="P202" s="253"/>
      <c r="Q202" s="253"/>
      <c r="R202" s="254"/>
      <c r="S202" s="255"/>
      <c r="T202" s="252"/>
      <c r="U202" s="252"/>
      <c r="V202" s="252"/>
      <c r="W202" s="252"/>
      <c r="X202" s="252"/>
      <c r="Y202" s="252"/>
      <c r="Z202" s="253"/>
      <c r="AA202" s="253"/>
      <c r="AB202" s="253"/>
      <c r="AC202" s="253"/>
      <c r="AD202" s="253"/>
      <c r="AE202" s="253"/>
      <c r="AF202" s="253"/>
      <c r="AG202" s="253"/>
      <c r="AH202" s="252"/>
    </row>
    <row r="203" spans="3:34" x14ac:dyDescent="0.2">
      <c r="C203" s="252"/>
      <c r="D203" s="252"/>
      <c r="E203" s="252"/>
      <c r="F203" s="252"/>
      <c r="G203" s="252"/>
      <c r="H203" s="252"/>
      <c r="I203" s="252"/>
      <c r="J203" s="252"/>
      <c r="K203" s="252"/>
      <c r="L203" s="252"/>
      <c r="M203" s="253"/>
      <c r="N203" s="253"/>
      <c r="O203" s="253"/>
      <c r="P203" s="253"/>
      <c r="Q203" s="253"/>
      <c r="R203" s="254"/>
      <c r="S203" s="255"/>
      <c r="T203" s="252"/>
      <c r="U203" s="252"/>
      <c r="V203" s="252"/>
      <c r="W203" s="252"/>
      <c r="X203" s="252"/>
      <c r="Y203" s="252"/>
      <c r="Z203" s="253"/>
      <c r="AA203" s="253"/>
      <c r="AB203" s="253"/>
      <c r="AC203" s="253"/>
      <c r="AD203" s="253"/>
      <c r="AE203" s="253"/>
      <c r="AF203" s="253"/>
      <c r="AG203" s="253"/>
      <c r="AH203" s="252"/>
    </row>
    <row r="204" spans="3:34" x14ac:dyDescent="0.2">
      <c r="C204" s="252"/>
      <c r="D204" s="252"/>
      <c r="E204" s="252"/>
      <c r="F204" s="252"/>
      <c r="G204" s="252"/>
      <c r="H204" s="252"/>
      <c r="I204" s="252"/>
      <c r="J204" s="252"/>
      <c r="K204" s="252"/>
      <c r="L204" s="252"/>
      <c r="M204" s="253"/>
      <c r="N204" s="253"/>
      <c r="O204" s="253"/>
      <c r="P204" s="253"/>
      <c r="Q204" s="253"/>
      <c r="R204" s="254"/>
      <c r="S204" s="255"/>
      <c r="T204" s="252"/>
      <c r="U204" s="252"/>
      <c r="V204" s="252"/>
      <c r="W204" s="252"/>
      <c r="X204" s="252"/>
      <c r="Y204" s="252"/>
      <c r="Z204" s="253"/>
      <c r="AA204" s="253"/>
      <c r="AB204" s="253"/>
      <c r="AC204" s="253"/>
      <c r="AD204" s="253"/>
      <c r="AE204" s="253"/>
      <c r="AF204" s="253"/>
      <c r="AG204" s="253"/>
      <c r="AH204" s="252"/>
    </row>
    <row r="205" spans="3:34" x14ac:dyDescent="0.2">
      <c r="C205" s="252"/>
      <c r="D205" s="252"/>
      <c r="E205" s="252"/>
      <c r="F205" s="252"/>
      <c r="G205" s="252"/>
      <c r="H205" s="252"/>
      <c r="I205" s="252"/>
      <c r="J205" s="252"/>
      <c r="K205" s="252"/>
      <c r="L205" s="252"/>
      <c r="M205" s="253"/>
      <c r="N205" s="253"/>
      <c r="O205" s="253"/>
      <c r="P205" s="253"/>
      <c r="Q205" s="253"/>
      <c r="R205" s="254"/>
      <c r="S205" s="255"/>
      <c r="T205" s="252"/>
      <c r="U205" s="252"/>
      <c r="V205" s="252"/>
      <c r="W205" s="252"/>
      <c r="X205" s="252"/>
      <c r="Y205" s="252"/>
      <c r="Z205" s="253"/>
      <c r="AA205" s="253"/>
      <c r="AB205" s="253"/>
      <c r="AC205" s="253"/>
      <c r="AD205" s="253"/>
      <c r="AE205" s="253"/>
      <c r="AF205" s="253"/>
      <c r="AG205" s="253"/>
      <c r="AH205" s="252"/>
    </row>
    <row r="206" spans="3:34" x14ac:dyDescent="0.2">
      <c r="C206" s="252"/>
      <c r="D206" s="252"/>
      <c r="E206" s="252"/>
      <c r="F206" s="252"/>
      <c r="G206" s="252"/>
      <c r="H206" s="252"/>
      <c r="I206" s="252"/>
      <c r="J206" s="252"/>
      <c r="K206" s="252"/>
      <c r="L206" s="252"/>
      <c r="M206" s="253"/>
      <c r="N206" s="253"/>
      <c r="O206" s="253"/>
      <c r="P206" s="253"/>
      <c r="Q206" s="253"/>
      <c r="R206" s="254"/>
      <c r="S206" s="255"/>
      <c r="T206" s="252"/>
      <c r="U206" s="252"/>
      <c r="V206" s="252"/>
      <c r="W206" s="252"/>
      <c r="X206" s="252"/>
      <c r="Y206" s="252"/>
      <c r="Z206" s="253"/>
      <c r="AA206" s="253"/>
      <c r="AB206" s="253"/>
      <c r="AC206" s="253"/>
      <c r="AD206" s="253"/>
      <c r="AE206" s="253"/>
      <c r="AF206" s="253"/>
      <c r="AG206" s="253"/>
      <c r="AH206" s="252"/>
    </row>
    <row r="207" spans="3:34" x14ac:dyDescent="0.2">
      <c r="C207" s="252"/>
      <c r="D207" s="252"/>
      <c r="E207" s="252"/>
      <c r="F207" s="252"/>
      <c r="G207" s="252"/>
      <c r="H207" s="252"/>
      <c r="I207" s="252"/>
      <c r="J207" s="252"/>
      <c r="K207" s="252"/>
      <c r="L207" s="252"/>
      <c r="M207" s="253"/>
      <c r="N207" s="253"/>
      <c r="O207" s="253"/>
      <c r="P207" s="253"/>
      <c r="Q207" s="253"/>
      <c r="R207" s="254"/>
      <c r="S207" s="255"/>
      <c r="T207" s="252"/>
      <c r="U207" s="252"/>
      <c r="V207" s="252"/>
      <c r="W207" s="252"/>
      <c r="X207" s="252"/>
      <c r="Y207" s="252"/>
      <c r="Z207" s="253"/>
      <c r="AA207" s="253"/>
      <c r="AB207" s="253"/>
      <c r="AC207" s="253"/>
      <c r="AD207" s="253"/>
      <c r="AE207" s="253"/>
      <c r="AF207" s="253"/>
      <c r="AG207" s="253"/>
      <c r="AH207" s="252"/>
    </row>
    <row r="208" spans="3:34" x14ac:dyDescent="0.2">
      <c r="C208" s="252"/>
      <c r="D208" s="252"/>
      <c r="E208" s="252"/>
      <c r="F208" s="252"/>
      <c r="G208" s="252"/>
      <c r="H208" s="252"/>
      <c r="I208" s="252"/>
      <c r="J208" s="252"/>
      <c r="K208" s="252"/>
      <c r="L208" s="252"/>
      <c r="M208" s="253"/>
      <c r="N208" s="253"/>
      <c r="O208" s="253"/>
      <c r="P208" s="253"/>
      <c r="Q208" s="253"/>
      <c r="R208" s="254"/>
      <c r="S208" s="255"/>
      <c r="T208" s="252"/>
      <c r="U208" s="252"/>
      <c r="V208" s="252"/>
      <c r="W208" s="252"/>
      <c r="X208" s="252"/>
      <c r="Y208" s="252"/>
      <c r="Z208" s="253"/>
      <c r="AA208" s="253"/>
      <c r="AB208" s="253"/>
      <c r="AC208" s="253"/>
      <c r="AD208" s="253"/>
      <c r="AE208" s="253"/>
      <c r="AF208" s="253"/>
      <c r="AG208" s="253"/>
      <c r="AH208" s="252"/>
    </row>
    <row r="209" spans="3:34" x14ac:dyDescent="0.2">
      <c r="C209" s="252"/>
      <c r="D209" s="252"/>
      <c r="E209" s="252"/>
      <c r="F209" s="252"/>
      <c r="G209" s="252"/>
      <c r="H209" s="252"/>
      <c r="I209" s="252"/>
      <c r="J209" s="252"/>
      <c r="K209" s="252"/>
      <c r="L209" s="252"/>
      <c r="M209" s="253"/>
      <c r="N209" s="253"/>
      <c r="O209" s="253"/>
      <c r="P209" s="253"/>
      <c r="Q209" s="253"/>
      <c r="R209" s="254"/>
      <c r="S209" s="255"/>
      <c r="T209" s="252"/>
      <c r="U209" s="252"/>
      <c r="V209" s="252"/>
      <c r="W209" s="252"/>
      <c r="X209" s="252"/>
      <c r="Y209" s="252"/>
      <c r="Z209" s="253"/>
      <c r="AA209" s="253"/>
      <c r="AB209" s="253"/>
      <c r="AC209" s="253"/>
      <c r="AD209" s="253"/>
      <c r="AE209" s="253"/>
      <c r="AF209" s="253"/>
      <c r="AG209" s="253"/>
      <c r="AH209" s="252"/>
    </row>
    <row r="210" spans="3:34" x14ac:dyDescent="0.2">
      <c r="C210" s="252"/>
      <c r="D210" s="252"/>
      <c r="E210" s="252"/>
      <c r="F210" s="252"/>
      <c r="G210" s="252"/>
      <c r="H210" s="252"/>
      <c r="I210" s="252"/>
      <c r="J210" s="252"/>
      <c r="K210" s="252"/>
      <c r="L210" s="252"/>
      <c r="M210" s="253"/>
      <c r="N210" s="253"/>
      <c r="O210" s="253"/>
      <c r="P210" s="253"/>
      <c r="Q210" s="253"/>
      <c r="R210" s="254"/>
      <c r="S210" s="255"/>
      <c r="T210" s="252"/>
      <c r="U210" s="252"/>
      <c r="V210" s="252"/>
      <c r="W210" s="252"/>
      <c r="X210" s="252"/>
      <c r="Y210" s="252"/>
      <c r="Z210" s="253"/>
      <c r="AA210" s="253"/>
      <c r="AB210" s="253"/>
      <c r="AC210" s="253"/>
      <c r="AD210" s="253"/>
      <c r="AE210" s="253"/>
      <c r="AF210" s="253"/>
      <c r="AG210" s="253"/>
      <c r="AH210" s="252"/>
    </row>
    <row r="211" spans="3:34" x14ac:dyDescent="0.2">
      <c r="C211" s="252"/>
      <c r="D211" s="252"/>
      <c r="E211" s="252"/>
      <c r="F211" s="252"/>
      <c r="G211" s="252"/>
      <c r="H211" s="252"/>
      <c r="I211" s="252"/>
      <c r="J211" s="252"/>
      <c r="K211" s="252"/>
      <c r="L211" s="252"/>
      <c r="M211" s="253"/>
      <c r="N211" s="253"/>
      <c r="O211" s="253"/>
      <c r="P211" s="253"/>
      <c r="Q211" s="253"/>
      <c r="R211" s="254"/>
      <c r="S211" s="255"/>
      <c r="T211" s="252"/>
      <c r="U211" s="252"/>
      <c r="V211" s="252"/>
      <c r="W211" s="252"/>
      <c r="X211" s="252"/>
      <c r="Y211" s="252"/>
      <c r="Z211" s="253"/>
      <c r="AA211" s="253"/>
      <c r="AB211" s="253"/>
      <c r="AC211" s="253"/>
      <c r="AD211" s="253"/>
      <c r="AE211" s="253"/>
      <c r="AF211" s="253"/>
      <c r="AG211" s="253"/>
      <c r="AH211" s="252"/>
    </row>
    <row r="212" spans="3:34" x14ac:dyDescent="0.2">
      <c r="C212" s="252"/>
      <c r="D212" s="252"/>
      <c r="E212" s="252"/>
      <c r="F212" s="252"/>
      <c r="G212" s="252"/>
      <c r="H212" s="252"/>
      <c r="I212" s="252"/>
      <c r="J212" s="252"/>
      <c r="K212" s="252"/>
      <c r="L212" s="252"/>
      <c r="M212" s="253"/>
      <c r="N212" s="253"/>
      <c r="O212" s="253"/>
      <c r="P212" s="253"/>
      <c r="Q212" s="253"/>
      <c r="R212" s="254"/>
      <c r="S212" s="255"/>
      <c r="T212" s="252"/>
      <c r="U212" s="252"/>
      <c r="V212" s="252"/>
      <c r="W212" s="252"/>
      <c r="X212" s="252"/>
      <c r="Y212" s="252"/>
      <c r="Z212" s="253"/>
      <c r="AA212" s="253"/>
      <c r="AB212" s="253"/>
      <c r="AC212" s="253"/>
      <c r="AD212" s="253"/>
      <c r="AE212" s="253"/>
      <c r="AF212" s="253"/>
      <c r="AG212" s="253"/>
      <c r="AH212" s="252"/>
    </row>
    <row r="213" spans="3:34" x14ac:dyDescent="0.2">
      <c r="C213" s="252"/>
      <c r="D213" s="252"/>
      <c r="E213" s="252"/>
      <c r="F213" s="252"/>
      <c r="G213" s="252"/>
      <c r="H213" s="252"/>
      <c r="I213" s="252"/>
      <c r="J213" s="252"/>
      <c r="K213" s="252"/>
      <c r="L213" s="252"/>
      <c r="M213" s="253"/>
      <c r="N213" s="253"/>
      <c r="O213" s="253"/>
      <c r="P213" s="253"/>
      <c r="Q213" s="253"/>
      <c r="R213" s="254"/>
      <c r="S213" s="255"/>
      <c r="T213" s="252"/>
      <c r="U213" s="252"/>
      <c r="V213" s="252"/>
      <c r="W213" s="252"/>
      <c r="X213" s="252"/>
      <c r="Y213" s="252"/>
      <c r="Z213" s="253"/>
      <c r="AA213" s="253"/>
      <c r="AB213" s="253"/>
      <c r="AC213" s="253"/>
      <c r="AD213" s="253"/>
      <c r="AE213" s="253"/>
      <c r="AF213" s="253"/>
      <c r="AG213" s="253"/>
      <c r="AH213" s="252"/>
    </row>
    <row r="214" spans="3:34" x14ac:dyDescent="0.2">
      <c r="C214" s="252"/>
      <c r="D214" s="252"/>
      <c r="E214" s="252"/>
      <c r="F214" s="252"/>
      <c r="G214" s="252"/>
      <c r="H214" s="252"/>
      <c r="I214" s="252"/>
      <c r="J214" s="252"/>
      <c r="K214" s="252"/>
      <c r="L214" s="252"/>
      <c r="M214" s="253"/>
      <c r="N214" s="253"/>
      <c r="O214" s="253"/>
      <c r="P214" s="253"/>
      <c r="Q214" s="253"/>
      <c r="R214" s="254"/>
      <c r="S214" s="255"/>
      <c r="T214" s="252"/>
      <c r="U214" s="252"/>
      <c r="V214" s="252"/>
      <c r="W214" s="252"/>
      <c r="X214" s="252"/>
      <c r="Y214" s="252"/>
      <c r="Z214" s="253"/>
      <c r="AA214" s="253"/>
      <c r="AB214" s="253"/>
      <c r="AC214" s="253"/>
      <c r="AD214" s="253"/>
      <c r="AE214" s="253"/>
      <c r="AF214" s="253"/>
      <c r="AG214" s="253"/>
      <c r="AH214" s="252"/>
    </row>
    <row r="215" spans="3:34" x14ac:dyDescent="0.2">
      <c r="C215" s="252"/>
      <c r="D215" s="252"/>
      <c r="E215" s="252"/>
      <c r="F215" s="252"/>
      <c r="G215" s="252"/>
      <c r="H215" s="252"/>
      <c r="I215" s="252"/>
      <c r="J215" s="252"/>
      <c r="K215" s="252"/>
      <c r="L215" s="252"/>
      <c r="M215" s="253"/>
      <c r="N215" s="253"/>
      <c r="O215" s="253"/>
      <c r="P215" s="253"/>
      <c r="Q215" s="253"/>
      <c r="R215" s="254"/>
      <c r="S215" s="255"/>
      <c r="T215" s="252"/>
      <c r="U215" s="252"/>
      <c r="V215" s="252"/>
      <c r="W215" s="252"/>
      <c r="X215" s="252"/>
      <c r="Y215" s="252"/>
      <c r="Z215" s="253"/>
      <c r="AA215" s="253"/>
      <c r="AB215" s="253"/>
      <c r="AC215" s="253"/>
      <c r="AD215" s="253"/>
      <c r="AE215" s="253"/>
      <c r="AF215" s="253"/>
      <c r="AG215" s="253"/>
      <c r="AH215" s="252"/>
    </row>
    <row r="216" spans="3:34" x14ac:dyDescent="0.2">
      <c r="C216" s="252"/>
      <c r="D216" s="252"/>
      <c r="E216" s="252"/>
      <c r="F216" s="252"/>
      <c r="G216" s="252"/>
      <c r="H216" s="252"/>
      <c r="I216" s="252"/>
      <c r="J216" s="252"/>
      <c r="K216" s="252"/>
      <c r="L216" s="252"/>
      <c r="M216" s="253"/>
      <c r="N216" s="253"/>
      <c r="O216" s="253"/>
      <c r="P216" s="253"/>
      <c r="Q216" s="253"/>
      <c r="R216" s="254"/>
      <c r="S216" s="255"/>
      <c r="T216" s="252"/>
      <c r="U216" s="252"/>
      <c r="V216" s="252"/>
      <c r="W216" s="252"/>
      <c r="X216" s="252"/>
      <c r="Y216" s="252"/>
      <c r="Z216" s="253"/>
      <c r="AA216" s="253"/>
      <c r="AB216" s="253"/>
      <c r="AC216" s="253"/>
      <c r="AD216" s="253"/>
      <c r="AE216" s="253"/>
      <c r="AF216" s="253"/>
      <c r="AG216" s="253"/>
      <c r="AH216" s="252"/>
    </row>
    <row r="217" spans="3:34" x14ac:dyDescent="0.2">
      <c r="C217" s="252"/>
      <c r="D217" s="252"/>
      <c r="E217" s="252"/>
      <c r="F217" s="252"/>
      <c r="G217" s="252"/>
      <c r="H217" s="252"/>
      <c r="I217" s="252"/>
      <c r="J217" s="252"/>
      <c r="K217" s="252"/>
      <c r="L217" s="252"/>
      <c r="M217" s="253"/>
      <c r="N217" s="253"/>
      <c r="O217" s="253"/>
      <c r="P217" s="253"/>
      <c r="Q217" s="253"/>
      <c r="R217" s="254"/>
      <c r="S217" s="255"/>
      <c r="T217" s="252"/>
      <c r="U217" s="252"/>
      <c r="V217" s="252"/>
      <c r="W217" s="252"/>
      <c r="X217" s="252"/>
      <c r="Y217" s="252"/>
      <c r="Z217" s="253"/>
      <c r="AA217" s="253"/>
      <c r="AB217" s="253"/>
      <c r="AC217" s="253"/>
      <c r="AD217" s="253"/>
      <c r="AE217" s="253"/>
      <c r="AF217" s="253"/>
      <c r="AG217" s="253"/>
      <c r="AH217" s="252"/>
    </row>
    <row r="218" spans="3:34" x14ac:dyDescent="0.2">
      <c r="C218" s="252"/>
      <c r="D218" s="252"/>
      <c r="E218" s="252"/>
      <c r="F218" s="252"/>
      <c r="G218" s="252"/>
      <c r="H218" s="252"/>
      <c r="I218" s="252"/>
      <c r="J218" s="252"/>
      <c r="K218" s="252"/>
      <c r="L218" s="252"/>
      <c r="M218" s="253"/>
      <c r="N218" s="253"/>
      <c r="O218" s="253"/>
      <c r="P218" s="253"/>
      <c r="Q218" s="253"/>
      <c r="R218" s="254"/>
      <c r="S218" s="255"/>
      <c r="T218" s="252"/>
      <c r="U218" s="252"/>
      <c r="V218" s="252"/>
      <c r="W218" s="252"/>
      <c r="X218" s="252"/>
      <c r="Y218" s="252"/>
      <c r="Z218" s="253"/>
      <c r="AA218" s="253"/>
      <c r="AB218" s="253"/>
      <c r="AC218" s="253"/>
      <c r="AD218" s="253"/>
      <c r="AE218" s="253"/>
      <c r="AF218" s="253"/>
      <c r="AG218" s="253"/>
      <c r="AH218" s="252"/>
    </row>
    <row r="219" spans="3:34" x14ac:dyDescent="0.2">
      <c r="C219" s="252"/>
      <c r="D219" s="252"/>
      <c r="E219" s="252"/>
      <c r="F219" s="252"/>
      <c r="G219" s="252"/>
      <c r="H219" s="252"/>
      <c r="I219" s="252"/>
      <c r="J219" s="252"/>
      <c r="K219" s="252"/>
      <c r="L219" s="252"/>
      <c r="M219" s="253"/>
      <c r="N219" s="253"/>
      <c r="O219" s="253"/>
      <c r="P219" s="253"/>
      <c r="Q219" s="253"/>
      <c r="R219" s="254"/>
      <c r="S219" s="255"/>
      <c r="T219" s="252"/>
      <c r="U219" s="252"/>
      <c r="V219" s="252"/>
      <c r="W219" s="252"/>
      <c r="X219" s="252"/>
      <c r="Y219" s="252"/>
      <c r="Z219" s="253"/>
      <c r="AA219" s="253"/>
      <c r="AB219" s="253"/>
      <c r="AC219" s="253"/>
      <c r="AD219" s="253"/>
      <c r="AE219" s="253"/>
      <c r="AF219" s="253"/>
      <c r="AG219" s="253"/>
      <c r="AH219" s="252"/>
    </row>
    <row r="220" spans="3:34" x14ac:dyDescent="0.2">
      <c r="C220" s="252"/>
      <c r="D220" s="252"/>
      <c r="E220" s="252"/>
      <c r="F220" s="252"/>
      <c r="G220" s="252"/>
      <c r="H220" s="252"/>
      <c r="I220" s="252"/>
      <c r="J220" s="252"/>
      <c r="K220" s="252"/>
      <c r="L220" s="252"/>
      <c r="M220" s="253"/>
      <c r="N220" s="253"/>
      <c r="O220" s="253"/>
      <c r="P220" s="253"/>
      <c r="Q220" s="253"/>
      <c r="R220" s="254"/>
      <c r="S220" s="255"/>
      <c r="T220" s="252"/>
      <c r="U220" s="252"/>
      <c r="V220" s="252"/>
      <c r="W220" s="252"/>
      <c r="X220" s="252"/>
      <c r="Y220" s="252"/>
      <c r="Z220" s="253"/>
      <c r="AA220" s="253"/>
      <c r="AB220" s="253"/>
      <c r="AC220" s="253"/>
      <c r="AD220" s="253"/>
      <c r="AE220" s="253"/>
      <c r="AF220" s="253"/>
      <c r="AG220" s="253"/>
      <c r="AH220" s="252"/>
    </row>
    <row r="221" spans="3:34" x14ac:dyDescent="0.2">
      <c r="C221" s="252"/>
      <c r="D221" s="252"/>
      <c r="E221" s="252"/>
      <c r="F221" s="252"/>
      <c r="G221" s="252"/>
      <c r="H221" s="252"/>
      <c r="I221" s="252"/>
      <c r="J221" s="252"/>
      <c r="K221" s="252"/>
      <c r="L221" s="252"/>
      <c r="M221" s="253"/>
      <c r="N221" s="253"/>
      <c r="O221" s="253"/>
      <c r="P221" s="253"/>
      <c r="Q221" s="253"/>
      <c r="R221" s="254"/>
      <c r="S221" s="255"/>
      <c r="T221" s="252"/>
      <c r="U221" s="252"/>
      <c r="V221" s="252"/>
      <c r="W221" s="252"/>
      <c r="X221" s="252"/>
      <c r="Y221" s="252"/>
      <c r="Z221" s="253"/>
      <c r="AA221" s="253"/>
      <c r="AB221" s="253"/>
      <c r="AC221" s="253"/>
      <c r="AD221" s="253"/>
      <c r="AE221" s="253"/>
      <c r="AF221" s="253"/>
      <c r="AG221" s="253"/>
      <c r="AH221" s="252"/>
    </row>
    <row r="222" spans="3:34" x14ac:dyDescent="0.2">
      <c r="C222" s="252"/>
      <c r="D222" s="252"/>
      <c r="E222" s="252"/>
      <c r="F222" s="252"/>
      <c r="G222" s="252"/>
      <c r="H222" s="252"/>
      <c r="I222" s="252"/>
      <c r="J222" s="252"/>
      <c r="K222" s="252"/>
      <c r="L222" s="252"/>
      <c r="M222" s="253"/>
      <c r="N222" s="253"/>
      <c r="O222" s="253"/>
      <c r="P222" s="253"/>
      <c r="Q222" s="253"/>
      <c r="R222" s="254"/>
      <c r="S222" s="255"/>
      <c r="T222" s="252"/>
      <c r="U222" s="252"/>
      <c r="V222" s="252"/>
      <c r="W222" s="252"/>
      <c r="X222" s="252"/>
      <c r="Y222" s="252"/>
      <c r="Z222" s="253"/>
      <c r="AA222" s="253"/>
      <c r="AB222" s="253"/>
      <c r="AC222" s="253"/>
      <c r="AD222" s="253"/>
      <c r="AE222" s="253"/>
      <c r="AF222" s="253"/>
      <c r="AG222" s="253"/>
      <c r="AH222" s="252"/>
    </row>
    <row r="223" spans="3:34" x14ac:dyDescent="0.2">
      <c r="C223" s="252"/>
      <c r="D223" s="252"/>
      <c r="E223" s="252"/>
      <c r="F223" s="252"/>
      <c r="G223" s="252"/>
      <c r="H223" s="252"/>
      <c r="I223" s="252"/>
      <c r="J223" s="252"/>
      <c r="K223" s="252"/>
      <c r="L223" s="252"/>
      <c r="M223" s="253"/>
      <c r="N223" s="253"/>
      <c r="O223" s="253"/>
      <c r="P223" s="253"/>
      <c r="Q223" s="253"/>
      <c r="R223" s="254"/>
      <c r="S223" s="255"/>
      <c r="T223" s="252"/>
      <c r="U223" s="252"/>
      <c r="V223" s="252"/>
      <c r="W223" s="252"/>
      <c r="X223" s="252"/>
      <c r="Y223" s="252"/>
      <c r="Z223" s="253"/>
      <c r="AA223" s="253"/>
      <c r="AB223" s="253"/>
      <c r="AC223" s="253"/>
      <c r="AD223" s="253"/>
      <c r="AE223" s="253"/>
      <c r="AF223" s="253"/>
      <c r="AG223" s="253"/>
      <c r="AH223" s="252"/>
    </row>
    <row r="224" spans="3:34" x14ac:dyDescent="0.2">
      <c r="C224" s="252"/>
      <c r="D224" s="252"/>
      <c r="E224" s="252"/>
      <c r="F224" s="252"/>
      <c r="G224" s="252"/>
      <c r="H224" s="252"/>
      <c r="I224" s="252"/>
      <c r="J224" s="252"/>
      <c r="K224" s="252"/>
      <c r="L224" s="252"/>
      <c r="M224" s="253"/>
      <c r="N224" s="253"/>
      <c r="O224" s="253"/>
      <c r="P224" s="253"/>
      <c r="Q224" s="253"/>
      <c r="R224" s="254"/>
      <c r="S224" s="255"/>
      <c r="T224" s="252"/>
      <c r="U224" s="252"/>
      <c r="V224" s="252"/>
      <c r="W224" s="252"/>
      <c r="X224" s="252"/>
      <c r="Y224" s="252"/>
      <c r="Z224" s="253"/>
      <c r="AA224" s="253"/>
      <c r="AB224" s="253"/>
      <c r="AC224" s="253"/>
      <c r="AD224" s="253"/>
      <c r="AE224" s="253"/>
      <c r="AF224" s="253"/>
      <c r="AG224" s="253"/>
      <c r="AH224" s="252"/>
    </row>
    <row r="225" spans="3:34" x14ac:dyDescent="0.2">
      <c r="C225" s="252"/>
      <c r="D225" s="252"/>
      <c r="E225" s="252"/>
      <c r="F225" s="252"/>
      <c r="G225" s="252"/>
      <c r="H225" s="252"/>
      <c r="I225" s="252"/>
      <c r="J225" s="252"/>
      <c r="K225" s="252"/>
      <c r="L225" s="252"/>
      <c r="M225" s="253"/>
      <c r="N225" s="253"/>
      <c r="O225" s="253"/>
      <c r="P225" s="253"/>
      <c r="Q225" s="253"/>
      <c r="R225" s="254"/>
      <c r="S225" s="255"/>
      <c r="T225" s="252"/>
      <c r="U225" s="252"/>
      <c r="V225" s="252"/>
      <c r="W225" s="252"/>
      <c r="X225" s="252"/>
      <c r="Y225" s="252"/>
      <c r="Z225" s="253"/>
      <c r="AA225" s="253"/>
      <c r="AB225" s="253"/>
      <c r="AC225" s="253"/>
      <c r="AD225" s="253"/>
      <c r="AE225" s="253"/>
      <c r="AF225" s="253"/>
      <c r="AG225" s="253"/>
      <c r="AH225" s="252"/>
    </row>
    <row r="226" spans="3:34" x14ac:dyDescent="0.2">
      <c r="C226" s="252"/>
      <c r="D226" s="252"/>
      <c r="E226" s="252"/>
      <c r="F226" s="252"/>
      <c r="G226" s="252"/>
      <c r="H226" s="252"/>
      <c r="I226" s="252"/>
      <c r="J226" s="252"/>
      <c r="K226" s="252"/>
      <c r="L226" s="252"/>
      <c r="M226" s="253"/>
      <c r="N226" s="253"/>
      <c r="O226" s="253"/>
      <c r="P226" s="253"/>
      <c r="Q226" s="253"/>
      <c r="R226" s="254"/>
      <c r="S226" s="255"/>
      <c r="T226" s="252"/>
      <c r="U226" s="252"/>
      <c r="V226" s="252"/>
      <c r="W226" s="252"/>
      <c r="X226" s="252"/>
      <c r="Y226" s="252"/>
      <c r="Z226" s="253"/>
      <c r="AA226" s="253"/>
      <c r="AB226" s="253"/>
      <c r="AC226" s="253"/>
      <c r="AD226" s="253"/>
      <c r="AE226" s="253"/>
      <c r="AF226" s="253"/>
      <c r="AG226" s="253"/>
      <c r="AH226" s="252"/>
    </row>
    <row r="227" spans="3:34" x14ac:dyDescent="0.2">
      <c r="C227" s="252"/>
      <c r="D227" s="252"/>
      <c r="E227" s="252"/>
      <c r="F227" s="252"/>
      <c r="G227" s="252"/>
      <c r="H227" s="252"/>
      <c r="I227" s="252"/>
      <c r="J227" s="252"/>
      <c r="K227" s="252"/>
      <c r="L227" s="252"/>
      <c r="M227" s="253"/>
      <c r="N227" s="253"/>
      <c r="O227" s="253"/>
      <c r="P227" s="253"/>
      <c r="Q227" s="253"/>
      <c r="R227" s="254"/>
      <c r="S227" s="255"/>
      <c r="T227" s="252"/>
      <c r="U227" s="252"/>
      <c r="V227" s="252"/>
      <c r="W227" s="252"/>
      <c r="X227" s="252"/>
      <c r="Y227" s="252"/>
      <c r="Z227" s="253"/>
      <c r="AA227" s="253"/>
      <c r="AB227" s="253"/>
      <c r="AC227" s="253"/>
      <c r="AD227" s="253"/>
      <c r="AE227" s="253"/>
      <c r="AF227" s="253"/>
      <c r="AG227" s="253"/>
      <c r="AH227" s="252"/>
    </row>
    <row r="228" spans="3:34" x14ac:dyDescent="0.2">
      <c r="C228" s="252"/>
      <c r="D228" s="252"/>
      <c r="E228" s="252"/>
      <c r="F228" s="252"/>
      <c r="G228" s="252"/>
      <c r="H228" s="252"/>
      <c r="I228" s="252"/>
      <c r="J228" s="252"/>
      <c r="K228" s="252"/>
      <c r="L228" s="252"/>
      <c r="M228" s="253"/>
      <c r="N228" s="253"/>
      <c r="O228" s="253"/>
      <c r="P228" s="253"/>
      <c r="Q228" s="253"/>
      <c r="R228" s="254"/>
      <c r="S228" s="255"/>
      <c r="T228" s="252"/>
      <c r="U228" s="252"/>
      <c r="V228" s="252"/>
      <c r="W228" s="252"/>
      <c r="X228" s="252"/>
      <c r="Y228" s="252"/>
      <c r="Z228" s="253"/>
      <c r="AA228" s="253"/>
      <c r="AB228" s="253"/>
      <c r="AC228" s="253"/>
      <c r="AD228" s="253"/>
      <c r="AE228" s="253"/>
      <c r="AF228" s="253"/>
      <c r="AG228" s="253"/>
      <c r="AH228" s="252"/>
    </row>
    <row r="229" spans="3:34" x14ac:dyDescent="0.2">
      <c r="C229" s="252"/>
      <c r="D229" s="252"/>
      <c r="E229" s="252"/>
      <c r="F229" s="252"/>
      <c r="G229" s="252"/>
      <c r="H229" s="252"/>
      <c r="I229" s="252"/>
      <c r="J229" s="252"/>
      <c r="K229" s="252"/>
      <c r="L229" s="252"/>
      <c r="M229" s="253"/>
      <c r="N229" s="253"/>
      <c r="O229" s="253"/>
      <c r="P229" s="253"/>
      <c r="Q229" s="253"/>
      <c r="R229" s="254"/>
      <c r="S229" s="255"/>
      <c r="T229" s="252"/>
      <c r="U229" s="252"/>
      <c r="V229" s="252"/>
      <c r="W229" s="252"/>
      <c r="X229" s="252"/>
      <c r="Y229" s="252"/>
      <c r="Z229" s="253"/>
      <c r="AA229" s="253"/>
      <c r="AB229" s="253"/>
      <c r="AC229" s="253"/>
      <c r="AD229" s="253"/>
      <c r="AE229" s="253"/>
      <c r="AF229" s="253"/>
      <c r="AG229" s="253"/>
      <c r="AH229" s="252"/>
    </row>
    <row r="230" spans="3:34" x14ac:dyDescent="0.2">
      <c r="C230" s="252"/>
      <c r="D230" s="252"/>
      <c r="E230" s="252"/>
      <c r="F230" s="252"/>
      <c r="G230" s="252"/>
      <c r="H230" s="252"/>
      <c r="I230" s="252"/>
      <c r="J230" s="252"/>
      <c r="K230" s="252"/>
      <c r="L230" s="252"/>
      <c r="M230" s="253"/>
      <c r="N230" s="253"/>
      <c r="O230" s="253"/>
      <c r="P230" s="253"/>
      <c r="Q230" s="253"/>
      <c r="R230" s="254"/>
      <c r="S230" s="255"/>
      <c r="T230" s="252"/>
      <c r="U230" s="252"/>
      <c r="V230" s="252"/>
      <c r="W230" s="252"/>
      <c r="X230" s="252"/>
      <c r="Y230" s="252"/>
      <c r="Z230" s="253"/>
      <c r="AA230" s="253"/>
      <c r="AB230" s="253"/>
      <c r="AC230" s="253"/>
      <c r="AD230" s="253"/>
      <c r="AE230" s="253"/>
      <c r="AF230" s="253"/>
      <c r="AG230" s="253"/>
      <c r="AH230" s="252"/>
    </row>
    <row r="231" spans="3:34" x14ac:dyDescent="0.2">
      <c r="C231" s="252"/>
      <c r="D231" s="252"/>
      <c r="E231" s="252"/>
      <c r="F231" s="252"/>
      <c r="G231" s="252"/>
      <c r="H231" s="252"/>
      <c r="I231" s="252"/>
      <c r="J231" s="252"/>
      <c r="K231" s="252"/>
      <c r="L231" s="252"/>
      <c r="M231" s="253"/>
      <c r="N231" s="253"/>
      <c r="O231" s="253"/>
      <c r="P231" s="253"/>
      <c r="Q231" s="253"/>
      <c r="R231" s="254"/>
      <c r="S231" s="255"/>
      <c r="T231" s="252"/>
      <c r="U231" s="252"/>
      <c r="V231" s="252"/>
      <c r="W231" s="252"/>
      <c r="X231" s="252"/>
      <c r="Y231" s="252"/>
      <c r="Z231" s="253"/>
      <c r="AA231" s="253"/>
      <c r="AB231" s="253"/>
      <c r="AC231" s="253"/>
      <c r="AD231" s="253"/>
      <c r="AE231" s="253"/>
      <c r="AF231" s="253"/>
      <c r="AG231" s="253"/>
      <c r="AH231" s="252"/>
    </row>
    <row r="232" spans="3:34" x14ac:dyDescent="0.2">
      <c r="C232" s="252"/>
      <c r="D232" s="252"/>
      <c r="E232" s="252"/>
      <c r="F232" s="252"/>
      <c r="G232" s="252"/>
      <c r="H232" s="252"/>
      <c r="I232" s="252"/>
      <c r="J232" s="252"/>
      <c r="K232" s="252"/>
      <c r="L232" s="252"/>
      <c r="M232" s="253"/>
      <c r="N232" s="253"/>
      <c r="O232" s="253"/>
      <c r="P232" s="253"/>
      <c r="Q232" s="253"/>
      <c r="R232" s="254"/>
      <c r="S232" s="255"/>
      <c r="T232" s="252"/>
      <c r="U232" s="252"/>
      <c r="V232" s="252"/>
      <c r="W232" s="252"/>
      <c r="X232" s="252"/>
      <c r="Y232" s="252"/>
      <c r="Z232" s="253"/>
      <c r="AA232" s="253"/>
      <c r="AB232" s="253"/>
      <c r="AC232" s="253"/>
      <c r="AD232" s="253"/>
      <c r="AE232" s="253"/>
      <c r="AF232" s="253"/>
      <c r="AG232" s="253"/>
      <c r="AH232" s="252"/>
    </row>
    <row r="233" spans="3:34" x14ac:dyDescent="0.2">
      <c r="C233" s="252"/>
      <c r="D233" s="252"/>
      <c r="E233" s="252"/>
      <c r="F233" s="252"/>
      <c r="G233" s="252"/>
      <c r="H233" s="252"/>
      <c r="I233" s="252"/>
      <c r="J233" s="252"/>
      <c r="K233" s="252"/>
      <c r="L233" s="252"/>
      <c r="M233" s="253"/>
      <c r="N233" s="253"/>
      <c r="O233" s="253"/>
      <c r="P233" s="253"/>
      <c r="Q233" s="253"/>
      <c r="R233" s="254"/>
      <c r="S233" s="255"/>
      <c r="T233" s="252"/>
      <c r="U233" s="252"/>
      <c r="V233" s="252"/>
      <c r="W233" s="252"/>
      <c r="X233" s="252"/>
      <c r="Y233" s="252"/>
      <c r="Z233" s="253"/>
      <c r="AA233" s="253"/>
      <c r="AB233" s="253"/>
      <c r="AC233" s="253"/>
      <c r="AD233" s="253"/>
      <c r="AE233" s="253"/>
      <c r="AF233" s="253"/>
      <c r="AG233" s="253"/>
      <c r="AH233" s="252"/>
    </row>
    <row r="234" spans="3:34" x14ac:dyDescent="0.2">
      <c r="C234" s="252"/>
      <c r="D234" s="252"/>
      <c r="E234" s="252"/>
      <c r="F234" s="252"/>
      <c r="G234" s="252"/>
      <c r="H234" s="252"/>
      <c r="I234" s="252"/>
      <c r="J234" s="252"/>
      <c r="K234" s="252"/>
      <c r="L234" s="252"/>
      <c r="M234" s="253"/>
      <c r="N234" s="253"/>
      <c r="O234" s="253"/>
      <c r="P234" s="253"/>
      <c r="Q234" s="253"/>
      <c r="R234" s="254"/>
      <c r="S234" s="255"/>
      <c r="T234" s="252"/>
      <c r="U234" s="252"/>
      <c r="V234" s="252"/>
      <c r="W234" s="252"/>
      <c r="X234" s="252"/>
      <c r="Y234" s="252"/>
      <c r="Z234" s="253"/>
      <c r="AA234" s="253"/>
      <c r="AB234" s="253"/>
      <c r="AC234" s="253"/>
      <c r="AD234" s="253"/>
      <c r="AE234" s="253"/>
      <c r="AF234" s="253"/>
      <c r="AG234" s="253"/>
      <c r="AH234" s="252"/>
    </row>
    <row r="235" spans="3:34" x14ac:dyDescent="0.2">
      <c r="C235" s="252"/>
      <c r="D235" s="252"/>
      <c r="E235" s="252"/>
      <c r="F235" s="252"/>
      <c r="G235" s="252"/>
      <c r="H235" s="252"/>
      <c r="I235" s="252"/>
      <c r="J235" s="252"/>
      <c r="K235" s="252"/>
      <c r="L235" s="252"/>
      <c r="M235" s="253"/>
      <c r="N235" s="253"/>
      <c r="O235" s="253"/>
      <c r="P235" s="253"/>
      <c r="Q235" s="253"/>
      <c r="R235" s="254"/>
      <c r="S235" s="255"/>
      <c r="T235" s="252"/>
      <c r="U235" s="252"/>
      <c r="V235" s="252"/>
      <c r="W235" s="252"/>
      <c r="X235" s="252"/>
      <c r="Y235" s="252"/>
      <c r="Z235" s="253"/>
      <c r="AA235" s="253"/>
      <c r="AB235" s="253"/>
      <c r="AC235" s="253"/>
      <c r="AD235" s="253"/>
      <c r="AE235" s="253"/>
      <c r="AF235" s="253"/>
      <c r="AG235" s="253"/>
      <c r="AH235" s="252"/>
    </row>
    <row r="236" spans="3:34" x14ac:dyDescent="0.2">
      <c r="C236" s="252"/>
      <c r="D236" s="252"/>
      <c r="E236" s="252"/>
      <c r="F236" s="252"/>
      <c r="G236" s="252"/>
      <c r="H236" s="252"/>
      <c r="I236" s="252"/>
      <c r="J236" s="252"/>
      <c r="K236" s="252"/>
      <c r="L236" s="252"/>
      <c r="M236" s="253"/>
      <c r="N236" s="253"/>
      <c r="O236" s="253"/>
      <c r="P236" s="253"/>
      <c r="Q236" s="253"/>
      <c r="R236" s="254"/>
      <c r="S236" s="255"/>
      <c r="T236" s="252"/>
      <c r="U236" s="252"/>
      <c r="V236" s="252"/>
      <c r="W236" s="252"/>
      <c r="X236" s="252"/>
      <c r="Y236" s="252"/>
      <c r="Z236" s="253"/>
      <c r="AA236" s="253"/>
      <c r="AB236" s="253"/>
      <c r="AC236" s="253"/>
      <c r="AD236" s="253"/>
      <c r="AE236" s="253"/>
      <c r="AF236" s="253"/>
      <c r="AG236" s="253"/>
      <c r="AH236" s="252"/>
    </row>
    <row r="237" spans="3:34" x14ac:dyDescent="0.2">
      <c r="C237" s="252"/>
      <c r="D237" s="252"/>
      <c r="E237" s="252"/>
      <c r="F237" s="252"/>
      <c r="G237" s="252"/>
      <c r="H237" s="252"/>
      <c r="I237" s="252"/>
      <c r="J237" s="252"/>
      <c r="K237" s="252"/>
      <c r="L237" s="252"/>
      <c r="M237" s="253"/>
      <c r="N237" s="253"/>
      <c r="O237" s="253"/>
      <c r="P237" s="253"/>
      <c r="Q237" s="253"/>
      <c r="R237" s="254"/>
      <c r="S237" s="255"/>
      <c r="T237" s="252"/>
      <c r="U237" s="252"/>
      <c r="V237" s="252"/>
      <c r="W237" s="252"/>
      <c r="X237" s="252"/>
      <c r="Y237" s="252"/>
      <c r="Z237" s="253"/>
      <c r="AA237" s="253"/>
      <c r="AB237" s="253"/>
      <c r="AC237" s="253"/>
      <c r="AD237" s="253"/>
      <c r="AE237" s="253"/>
      <c r="AF237" s="253"/>
      <c r="AG237" s="253"/>
      <c r="AH237" s="252"/>
    </row>
    <row r="238" spans="3:34" x14ac:dyDescent="0.2">
      <c r="C238" s="252"/>
      <c r="D238" s="252"/>
      <c r="E238" s="252"/>
      <c r="F238" s="252"/>
      <c r="G238" s="252"/>
      <c r="H238" s="252"/>
      <c r="I238" s="252"/>
      <c r="J238" s="252"/>
      <c r="K238" s="252"/>
      <c r="L238" s="252"/>
      <c r="M238" s="253"/>
      <c r="N238" s="253"/>
      <c r="O238" s="253"/>
      <c r="P238" s="253"/>
      <c r="Q238" s="253"/>
      <c r="R238" s="254"/>
      <c r="S238" s="255"/>
      <c r="T238" s="252"/>
      <c r="U238" s="252"/>
      <c r="V238" s="252"/>
      <c r="W238" s="252"/>
      <c r="X238" s="252"/>
      <c r="Y238" s="252"/>
      <c r="Z238" s="253"/>
      <c r="AA238" s="253"/>
      <c r="AB238" s="253"/>
      <c r="AC238" s="253"/>
      <c r="AD238" s="253"/>
      <c r="AE238" s="253"/>
      <c r="AF238" s="253"/>
      <c r="AG238" s="253"/>
      <c r="AH238" s="252"/>
    </row>
    <row r="239" spans="3:34" x14ac:dyDescent="0.2">
      <c r="C239" s="252"/>
      <c r="D239" s="252"/>
      <c r="E239" s="252"/>
      <c r="F239" s="252"/>
      <c r="G239" s="252"/>
      <c r="H239" s="252"/>
      <c r="I239" s="252"/>
      <c r="J239" s="252"/>
      <c r="K239" s="252"/>
      <c r="L239" s="252"/>
      <c r="M239" s="253"/>
      <c r="N239" s="253"/>
      <c r="O239" s="253"/>
      <c r="P239" s="253"/>
      <c r="Q239" s="253"/>
      <c r="R239" s="254"/>
      <c r="S239" s="255"/>
      <c r="T239" s="252"/>
      <c r="U239" s="252"/>
      <c r="V239" s="252"/>
      <c r="W239" s="252"/>
      <c r="X239" s="252"/>
      <c r="Y239" s="252"/>
      <c r="Z239" s="253"/>
      <c r="AA239" s="253"/>
      <c r="AB239" s="253"/>
      <c r="AC239" s="253"/>
      <c r="AD239" s="253"/>
      <c r="AE239" s="253"/>
      <c r="AF239" s="253"/>
      <c r="AG239" s="253"/>
      <c r="AH239" s="252"/>
    </row>
    <row r="240" spans="3:34" x14ac:dyDescent="0.2">
      <c r="C240" s="252"/>
      <c r="D240" s="252"/>
      <c r="E240" s="252"/>
      <c r="F240" s="252"/>
      <c r="G240" s="252"/>
      <c r="H240" s="252"/>
      <c r="I240" s="252"/>
      <c r="J240" s="252"/>
      <c r="K240" s="252"/>
      <c r="L240" s="252"/>
      <c r="M240" s="253"/>
      <c r="N240" s="253"/>
      <c r="O240" s="253"/>
      <c r="P240" s="253"/>
      <c r="Q240" s="253"/>
      <c r="R240" s="254"/>
      <c r="S240" s="255"/>
      <c r="T240" s="252"/>
      <c r="U240" s="252"/>
      <c r="V240" s="252"/>
      <c r="W240" s="252"/>
      <c r="X240" s="252"/>
      <c r="Y240" s="252"/>
      <c r="Z240" s="253"/>
      <c r="AA240" s="253"/>
      <c r="AB240" s="253"/>
      <c r="AC240" s="253"/>
      <c r="AD240" s="253"/>
      <c r="AE240" s="253"/>
      <c r="AF240" s="253"/>
      <c r="AG240" s="253"/>
      <c r="AH240" s="252"/>
    </row>
    <row r="241" spans="3:34" x14ac:dyDescent="0.2">
      <c r="C241" s="252"/>
      <c r="D241" s="252"/>
      <c r="E241" s="252"/>
      <c r="F241" s="252"/>
      <c r="G241" s="252"/>
      <c r="H241" s="252"/>
      <c r="I241" s="252"/>
      <c r="J241" s="252"/>
      <c r="K241" s="252"/>
      <c r="L241" s="252"/>
      <c r="M241" s="253"/>
      <c r="N241" s="253"/>
      <c r="O241" s="253"/>
      <c r="P241" s="253"/>
      <c r="Q241" s="253"/>
      <c r="R241" s="254"/>
      <c r="S241" s="255"/>
      <c r="T241" s="252"/>
      <c r="U241" s="252"/>
      <c r="V241" s="252"/>
      <c r="W241" s="252"/>
      <c r="X241" s="252"/>
      <c r="Y241" s="252"/>
      <c r="Z241" s="253"/>
      <c r="AA241" s="253"/>
      <c r="AB241" s="253"/>
      <c r="AC241" s="253"/>
      <c r="AD241" s="253"/>
      <c r="AE241" s="253"/>
      <c r="AF241" s="253"/>
      <c r="AG241" s="253"/>
      <c r="AH241" s="252"/>
    </row>
    <row r="242" spans="3:34" x14ac:dyDescent="0.2">
      <c r="C242" s="252"/>
      <c r="D242" s="252"/>
      <c r="E242" s="252"/>
      <c r="F242" s="252"/>
      <c r="G242" s="252"/>
      <c r="H242" s="252"/>
      <c r="I242" s="252"/>
      <c r="J242" s="252"/>
      <c r="K242" s="252"/>
      <c r="L242" s="252"/>
      <c r="M242" s="253"/>
      <c r="N242" s="253"/>
      <c r="O242" s="253"/>
      <c r="P242" s="253"/>
      <c r="Q242" s="253"/>
      <c r="R242" s="254"/>
      <c r="S242" s="255"/>
      <c r="T242" s="252"/>
      <c r="U242" s="252"/>
      <c r="V242" s="252"/>
      <c r="W242" s="252"/>
      <c r="X242" s="252"/>
      <c r="Y242" s="252"/>
      <c r="Z242" s="253"/>
      <c r="AA242" s="253"/>
      <c r="AB242" s="253"/>
      <c r="AC242" s="253"/>
      <c r="AD242" s="253"/>
      <c r="AE242" s="253"/>
      <c r="AF242" s="253"/>
      <c r="AG242" s="253"/>
      <c r="AH242" s="252"/>
    </row>
    <row r="243" spans="3:34" x14ac:dyDescent="0.2">
      <c r="C243" s="252"/>
      <c r="D243" s="252"/>
      <c r="E243" s="252"/>
      <c r="F243" s="252"/>
      <c r="G243" s="252"/>
      <c r="H243" s="252"/>
      <c r="I243" s="252"/>
      <c r="J243" s="252"/>
      <c r="K243" s="252"/>
      <c r="L243" s="252"/>
      <c r="M243" s="253"/>
      <c r="N243" s="253"/>
      <c r="O243" s="253"/>
      <c r="P243" s="253"/>
      <c r="Q243" s="253"/>
      <c r="R243" s="254"/>
      <c r="S243" s="255"/>
      <c r="T243" s="252"/>
      <c r="U243" s="252"/>
      <c r="V243" s="252"/>
      <c r="W243" s="252"/>
      <c r="X243" s="252"/>
      <c r="Y243" s="252"/>
      <c r="Z243" s="253"/>
      <c r="AA243" s="253"/>
      <c r="AB243" s="253"/>
      <c r="AC243" s="253"/>
      <c r="AD243" s="253"/>
      <c r="AE243" s="253"/>
      <c r="AF243" s="253"/>
      <c r="AG243" s="253"/>
      <c r="AH243" s="252"/>
    </row>
    <row r="244" spans="3:34" x14ac:dyDescent="0.2">
      <c r="C244" s="252"/>
      <c r="D244" s="252"/>
      <c r="E244" s="252"/>
      <c r="F244" s="252"/>
      <c r="G244" s="252"/>
      <c r="H244" s="252"/>
      <c r="I244" s="252"/>
      <c r="J244" s="252"/>
      <c r="K244" s="252"/>
      <c r="L244" s="252"/>
      <c r="M244" s="253"/>
      <c r="N244" s="253"/>
      <c r="O244" s="253"/>
      <c r="P244" s="253"/>
      <c r="Q244" s="253"/>
      <c r="R244" s="254"/>
      <c r="S244" s="255"/>
      <c r="T244" s="252"/>
      <c r="U244" s="252"/>
      <c r="V244" s="252"/>
      <c r="W244" s="252"/>
      <c r="X244" s="252"/>
      <c r="Y244" s="252"/>
      <c r="Z244" s="253"/>
      <c r="AA244" s="253"/>
      <c r="AB244" s="253"/>
      <c r="AC244" s="253"/>
      <c r="AD244" s="253"/>
      <c r="AE244" s="253"/>
      <c r="AF244" s="253"/>
      <c r="AG244" s="253"/>
      <c r="AH244" s="252"/>
    </row>
    <row r="245" spans="3:34" x14ac:dyDescent="0.2">
      <c r="C245" s="252"/>
      <c r="D245" s="252"/>
      <c r="E245" s="252"/>
      <c r="F245" s="252"/>
      <c r="G245" s="252"/>
      <c r="H245" s="252"/>
      <c r="I245" s="252"/>
      <c r="J245" s="252"/>
      <c r="K245" s="252"/>
      <c r="L245" s="252"/>
      <c r="M245" s="253"/>
      <c r="N245" s="253"/>
      <c r="O245" s="253"/>
      <c r="P245" s="253"/>
      <c r="Q245" s="253"/>
      <c r="R245" s="254"/>
      <c r="S245" s="255"/>
      <c r="T245" s="252"/>
      <c r="U245" s="252"/>
      <c r="V245" s="252"/>
      <c r="W245" s="252"/>
      <c r="X245" s="252"/>
      <c r="Y245" s="252"/>
      <c r="Z245" s="253"/>
      <c r="AA245" s="253"/>
      <c r="AB245" s="253"/>
      <c r="AC245" s="253"/>
      <c r="AD245" s="253"/>
      <c r="AE245" s="253"/>
      <c r="AF245" s="253"/>
      <c r="AG245" s="253"/>
      <c r="AH245" s="252"/>
    </row>
    <row r="246" spans="3:34" x14ac:dyDescent="0.2">
      <c r="C246" s="252"/>
      <c r="D246" s="252"/>
      <c r="E246" s="252"/>
      <c r="F246" s="252"/>
      <c r="G246" s="252"/>
      <c r="H246" s="252"/>
      <c r="I246" s="252"/>
      <c r="J246" s="252"/>
      <c r="K246" s="252"/>
      <c r="L246" s="252"/>
      <c r="M246" s="253"/>
      <c r="N246" s="253"/>
      <c r="O246" s="253"/>
      <c r="P246" s="253"/>
      <c r="Q246" s="253"/>
      <c r="R246" s="254"/>
      <c r="S246" s="255"/>
      <c r="T246" s="252"/>
      <c r="U246" s="252"/>
      <c r="V246" s="252"/>
      <c r="W246" s="252"/>
      <c r="X246" s="252"/>
      <c r="Y246" s="252"/>
      <c r="Z246" s="253"/>
      <c r="AA246" s="253"/>
      <c r="AB246" s="253"/>
      <c r="AC246" s="253"/>
      <c r="AD246" s="253"/>
      <c r="AE246" s="253"/>
      <c r="AF246" s="253"/>
      <c r="AG246" s="253"/>
      <c r="AH246" s="252"/>
    </row>
    <row r="247" spans="3:34" x14ac:dyDescent="0.2">
      <c r="C247" s="252"/>
      <c r="D247" s="252"/>
      <c r="E247" s="252"/>
      <c r="F247" s="252"/>
      <c r="G247" s="252"/>
      <c r="H247" s="252"/>
      <c r="I247" s="252"/>
      <c r="J247" s="252"/>
      <c r="K247" s="252"/>
      <c r="L247" s="252"/>
      <c r="M247" s="253"/>
      <c r="N247" s="253"/>
      <c r="O247" s="253"/>
      <c r="P247" s="253"/>
      <c r="Q247" s="253"/>
      <c r="R247" s="254"/>
      <c r="S247" s="255"/>
      <c r="T247" s="252"/>
      <c r="U247" s="252"/>
      <c r="V247" s="252"/>
      <c r="W247" s="252"/>
      <c r="X247" s="252"/>
      <c r="Y247" s="252"/>
      <c r="Z247" s="253"/>
      <c r="AA247" s="253"/>
      <c r="AB247" s="253"/>
      <c r="AC247" s="253"/>
      <c r="AD247" s="253"/>
      <c r="AE247" s="253"/>
      <c r="AF247" s="253"/>
      <c r="AG247" s="253"/>
      <c r="AH247" s="252"/>
    </row>
    <row r="248" spans="3:34" x14ac:dyDescent="0.2">
      <c r="C248" s="252"/>
      <c r="D248" s="252"/>
      <c r="E248" s="252"/>
      <c r="F248" s="252"/>
      <c r="G248" s="252"/>
      <c r="H248" s="252"/>
      <c r="I248" s="252"/>
      <c r="J248" s="252"/>
      <c r="K248" s="252"/>
      <c r="L248" s="252"/>
      <c r="M248" s="253"/>
      <c r="N248" s="253"/>
      <c r="O248" s="253"/>
      <c r="P248" s="253"/>
      <c r="Q248" s="253"/>
      <c r="R248" s="254"/>
      <c r="S248" s="255"/>
      <c r="T248" s="252"/>
      <c r="U248" s="252"/>
      <c r="V248" s="252"/>
      <c r="W248" s="252"/>
      <c r="X248" s="252"/>
      <c r="Y248" s="252"/>
      <c r="Z248" s="253"/>
      <c r="AA248" s="253"/>
      <c r="AB248" s="253"/>
      <c r="AC248" s="253"/>
      <c r="AD248" s="253"/>
      <c r="AE248" s="253"/>
      <c r="AF248" s="253"/>
      <c r="AG248" s="253"/>
      <c r="AH248" s="252"/>
    </row>
    <row r="249" spans="3:34" x14ac:dyDescent="0.2">
      <c r="C249" s="252"/>
      <c r="D249" s="252"/>
      <c r="E249" s="252"/>
      <c r="F249" s="252"/>
      <c r="G249" s="252"/>
      <c r="H249" s="252"/>
      <c r="I249" s="252"/>
      <c r="J249" s="252"/>
      <c r="K249" s="252"/>
      <c r="L249" s="252"/>
      <c r="M249" s="253"/>
      <c r="N249" s="253"/>
      <c r="O249" s="253"/>
      <c r="P249" s="253"/>
      <c r="Q249" s="253"/>
      <c r="R249" s="254"/>
      <c r="S249" s="255"/>
      <c r="T249" s="252"/>
      <c r="U249" s="252"/>
      <c r="V249" s="252"/>
      <c r="W249" s="252"/>
      <c r="X249" s="252"/>
      <c r="Y249" s="252"/>
      <c r="Z249" s="253"/>
      <c r="AA249" s="253"/>
      <c r="AB249" s="253"/>
      <c r="AC249" s="253"/>
      <c r="AD249" s="253"/>
      <c r="AE249" s="253"/>
      <c r="AF249" s="253"/>
      <c r="AG249" s="253"/>
      <c r="AH249" s="252"/>
    </row>
    <row r="250" spans="3:34" x14ac:dyDescent="0.2">
      <c r="C250" s="252"/>
      <c r="D250" s="252"/>
      <c r="E250" s="252"/>
      <c r="F250" s="252"/>
      <c r="G250" s="252"/>
      <c r="H250" s="252"/>
      <c r="I250" s="252"/>
      <c r="J250" s="252"/>
      <c r="K250" s="252"/>
      <c r="L250" s="252"/>
      <c r="M250" s="253"/>
      <c r="N250" s="253"/>
      <c r="O250" s="253"/>
      <c r="P250" s="253"/>
      <c r="Q250" s="253"/>
      <c r="R250" s="254"/>
      <c r="S250" s="255"/>
      <c r="T250" s="252"/>
      <c r="U250" s="252"/>
      <c r="V250" s="252"/>
      <c r="W250" s="252"/>
      <c r="X250" s="252"/>
      <c r="Y250" s="252"/>
      <c r="Z250" s="253"/>
      <c r="AA250" s="253"/>
      <c r="AB250" s="253"/>
      <c r="AC250" s="253"/>
      <c r="AD250" s="253"/>
      <c r="AE250" s="253"/>
      <c r="AF250" s="253"/>
      <c r="AG250" s="253"/>
      <c r="AH250" s="252"/>
    </row>
    <row r="251" spans="3:34" x14ac:dyDescent="0.2">
      <c r="C251" s="252"/>
      <c r="D251" s="252"/>
      <c r="E251" s="252"/>
      <c r="F251" s="252"/>
      <c r="G251" s="252"/>
      <c r="H251" s="252"/>
      <c r="I251" s="252"/>
      <c r="J251" s="252"/>
      <c r="K251" s="252"/>
      <c r="L251" s="252"/>
      <c r="M251" s="253"/>
      <c r="N251" s="253"/>
      <c r="O251" s="253"/>
      <c r="P251" s="253"/>
      <c r="Q251" s="253"/>
      <c r="R251" s="254"/>
      <c r="S251" s="255"/>
      <c r="T251" s="252"/>
      <c r="U251" s="252"/>
      <c r="V251" s="252"/>
      <c r="W251" s="252"/>
      <c r="X251" s="252"/>
      <c r="Y251" s="252"/>
      <c r="Z251" s="253"/>
      <c r="AA251" s="253"/>
      <c r="AB251" s="253"/>
      <c r="AC251" s="253"/>
      <c r="AD251" s="253"/>
      <c r="AE251" s="253"/>
      <c r="AF251" s="253"/>
      <c r="AG251" s="253"/>
      <c r="AH251" s="252"/>
    </row>
    <row r="252" spans="3:34" x14ac:dyDescent="0.2">
      <c r="C252" s="252"/>
      <c r="D252" s="252"/>
      <c r="E252" s="252"/>
      <c r="F252" s="252"/>
      <c r="G252" s="252"/>
      <c r="H252" s="252"/>
      <c r="I252" s="252"/>
      <c r="J252" s="252"/>
      <c r="K252" s="252"/>
      <c r="L252" s="252"/>
      <c r="M252" s="253"/>
      <c r="N252" s="253"/>
      <c r="O252" s="253"/>
      <c r="P252" s="253"/>
      <c r="Q252" s="253"/>
      <c r="R252" s="254"/>
      <c r="S252" s="255"/>
      <c r="T252" s="252"/>
      <c r="U252" s="252"/>
      <c r="V252" s="252"/>
      <c r="W252" s="252"/>
      <c r="X252" s="252"/>
      <c r="Y252" s="252"/>
      <c r="Z252" s="253"/>
      <c r="AA252" s="253"/>
      <c r="AB252" s="253"/>
      <c r="AC252" s="253"/>
      <c r="AD252" s="253"/>
      <c r="AE252" s="253"/>
      <c r="AF252" s="253"/>
      <c r="AG252" s="253"/>
      <c r="AH252" s="252"/>
    </row>
    <row r="253" spans="3:34" x14ac:dyDescent="0.2">
      <c r="C253" s="252"/>
      <c r="D253" s="252"/>
      <c r="E253" s="252"/>
      <c r="F253" s="252"/>
      <c r="G253" s="252"/>
      <c r="H253" s="252"/>
      <c r="I253" s="252"/>
      <c r="J253" s="252"/>
      <c r="K253" s="252"/>
      <c r="L253" s="252"/>
      <c r="M253" s="253"/>
      <c r="N253" s="253"/>
      <c r="O253" s="253"/>
      <c r="P253" s="253"/>
      <c r="Q253" s="253"/>
      <c r="R253" s="254"/>
      <c r="S253" s="255"/>
      <c r="T253" s="252"/>
      <c r="U253" s="252"/>
      <c r="V253" s="252"/>
      <c r="W253" s="252"/>
      <c r="X253" s="252"/>
      <c r="Y253" s="252"/>
      <c r="Z253" s="253"/>
      <c r="AA253" s="253"/>
      <c r="AB253" s="253"/>
      <c r="AC253" s="253"/>
      <c r="AD253" s="253"/>
      <c r="AE253" s="253"/>
      <c r="AF253" s="253"/>
      <c r="AG253" s="253"/>
      <c r="AH253" s="252"/>
    </row>
    <row r="254" spans="3:34" x14ac:dyDescent="0.2">
      <c r="C254" s="252"/>
      <c r="D254" s="252"/>
      <c r="E254" s="252"/>
      <c r="F254" s="252"/>
      <c r="G254" s="252"/>
      <c r="H254" s="252"/>
      <c r="I254" s="252"/>
      <c r="J254" s="252"/>
      <c r="K254" s="252"/>
      <c r="L254" s="252"/>
      <c r="M254" s="253"/>
      <c r="N254" s="253"/>
      <c r="O254" s="253"/>
      <c r="P254" s="253"/>
      <c r="Q254" s="253"/>
      <c r="R254" s="254"/>
      <c r="S254" s="255"/>
      <c r="T254" s="252"/>
      <c r="U254" s="252"/>
      <c r="V254" s="252"/>
      <c r="W254" s="252"/>
      <c r="X254" s="252"/>
      <c r="Y254" s="252"/>
      <c r="Z254" s="253"/>
      <c r="AA254" s="253"/>
      <c r="AB254" s="253"/>
      <c r="AC254" s="253"/>
      <c r="AD254" s="253"/>
      <c r="AE254" s="253"/>
      <c r="AF254" s="253"/>
      <c r="AG254" s="253"/>
      <c r="AH254" s="252"/>
    </row>
    <row r="255" spans="3:34" x14ac:dyDescent="0.2">
      <c r="C255" s="252"/>
      <c r="D255" s="252"/>
      <c r="E255" s="252"/>
      <c r="F255" s="252"/>
      <c r="G255" s="252"/>
      <c r="H255" s="252"/>
      <c r="I255" s="252"/>
      <c r="J255" s="252"/>
      <c r="K255" s="252"/>
      <c r="L255" s="252"/>
      <c r="M255" s="253"/>
      <c r="N255" s="253"/>
      <c r="O255" s="253"/>
      <c r="P255" s="253"/>
      <c r="Q255" s="253"/>
      <c r="R255" s="254"/>
      <c r="S255" s="255"/>
      <c r="T255" s="252"/>
      <c r="U255" s="252"/>
      <c r="V255" s="252"/>
      <c r="W255" s="252"/>
      <c r="X255" s="252"/>
      <c r="Y255" s="252"/>
      <c r="Z255" s="253"/>
      <c r="AA255" s="253"/>
      <c r="AB255" s="253"/>
      <c r="AC255" s="253"/>
      <c r="AD255" s="253"/>
      <c r="AE255" s="253"/>
      <c r="AF255" s="253"/>
      <c r="AG255" s="253"/>
      <c r="AH255" s="252"/>
    </row>
    <row r="256" spans="3:34" x14ac:dyDescent="0.2">
      <c r="C256" s="252"/>
      <c r="D256" s="252"/>
      <c r="E256" s="252"/>
      <c r="F256" s="252"/>
      <c r="G256" s="252"/>
      <c r="H256" s="252"/>
      <c r="I256" s="252"/>
      <c r="J256" s="252"/>
      <c r="K256" s="252"/>
      <c r="L256" s="252"/>
      <c r="M256" s="253"/>
      <c r="N256" s="253"/>
      <c r="O256" s="253"/>
      <c r="P256" s="253"/>
      <c r="Q256" s="253"/>
      <c r="R256" s="254"/>
      <c r="S256" s="255"/>
      <c r="T256" s="252"/>
      <c r="U256" s="252"/>
      <c r="V256" s="252"/>
      <c r="W256" s="252"/>
      <c r="X256" s="252"/>
      <c r="Y256" s="252"/>
      <c r="Z256" s="253"/>
      <c r="AA256" s="253"/>
      <c r="AB256" s="253"/>
      <c r="AC256" s="253"/>
      <c r="AD256" s="253"/>
      <c r="AE256" s="253"/>
      <c r="AF256" s="253"/>
      <c r="AG256" s="253"/>
      <c r="AH256" s="252"/>
    </row>
    <row r="257" spans="3:34" x14ac:dyDescent="0.2">
      <c r="C257" s="252"/>
      <c r="D257" s="252"/>
      <c r="E257" s="252"/>
      <c r="F257" s="252"/>
      <c r="G257" s="252"/>
      <c r="H257" s="252"/>
      <c r="I257" s="252"/>
      <c r="J257" s="252"/>
      <c r="K257" s="252"/>
      <c r="L257" s="252"/>
      <c r="M257" s="253"/>
      <c r="N257" s="253"/>
      <c r="O257" s="253"/>
      <c r="P257" s="253"/>
      <c r="Q257" s="253"/>
      <c r="R257" s="254"/>
      <c r="S257" s="255"/>
      <c r="T257" s="252"/>
      <c r="U257" s="252"/>
      <c r="V257" s="252"/>
      <c r="W257" s="252"/>
      <c r="X257" s="252"/>
      <c r="Y257" s="252"/>
      <c r="Z257" s="253"/>
      <c r="AA257" s="253"/>
      <c r="AB257" s="253"/>
      <c r="AC257" s="253"/>
      <c r="AD257" s="253"/>
      <c r="AE257" s="253"/>
      <c r="AF257" s="253"/>
      <c r="AG257" s="253"/>
      <c r="AH257" s="252"/>
    </row>
    <row r="258" spans="3:34" x14ac:dyDescent="0.2">
      <c r="C258" s="252"/>
      <c r="D258" s="252"/>
      <c r="E258" s="252"/>
      <c r="F258" s="252"/>
      <c r="G258" s="252"/>
      <c r="H258" s="252"/>
      <c r="I258" s="252"/>
      <c r="J258" s="252"/>
      <c r="K258" s="252"/>
      <c r="L258" s="252"/>
      <c r="M258" s="253"/>
      <c r="N258" s="253"/>
      <c r="O258" s="253"/>
      <c r="P258" s="253"/>
      <c r="Q258" s="253"/>
      <c r="R258" s="254"/>
      <c r="S258" s="255"/>
      <c r="T258" s="252"/>
      <c r="U258" s="252"/>
      <c r="V258" s="252"/>
      <c r="W258" s="252"/>
      <c r="X258" s="252"/>
      <c r="Y258" s="252"/>
      <c r="Z258" s="253"/>
      <c r="AA258" s="253"/>
      <c r="AB258" s="253"/>
      <c r="AC258" s="253"/>
      <c r="AD258" s="253"/>
      <c r="AE258" s="253"/>
      <c r="AF258" s="253"/>
      <c r="AG258" s="253"/>
      <c r="AH258" s="252"/>
    </row>
    <row r="259" spans="3:34" x14ac:dyDescent="0.2">
      <c r="C259" s="252"/>
      <c r="D259" s="252"/>
      <c r="E259" s="252"/>
      <c r="F259" s="252"/>
      <c r="G259" s="252"/>
      <c r="H259" s="252"/>
      <c r="I259" s="252"/>
      <c r="J259" s="252"/>
      <c r="K259" s="252"/>
      <c r="L259" s="252"/>
      <c r="M259" s="253"/>
      <c r="N259" s="253"/>
      <c r="O259" s="253"/>
      <c r="P259" s="253"/>
      <c r="Q259" s="253"/>
      <c r="R259" s="254"/>
      <c r="S259" s="255"/>
      <c r="T259" s="252"/>
      <c r="U259" s="252"/>
      <c r="V259" s="252"/>
      <c r="W259" s="252"/>
      <c r="X259" s="252"/>
      <c r="Y259" s="252"/>
      <c r="Z259" s="253"/>
      <c r="AA259" s="253"/>
      <c r="AB259" s="253"/>
      <c r="AC259" s="253"/>
      <c r="AD259" s="253"/>
      <c r="AE259" s="253"/>
      <c r="AF259" s="253"/>
      <c r="AG259" s="253"/>
      <c r="AH259" s="252"/>
    </row>
    <row r="260" spans="3:34" x14ac:dyDescent="0.2">
      <c r="C260" s="252"/>
      <c r="D260" s="252"/>
      <c r="E260" s="252"/>
      <c r="F260" s="252"/>
      <c r="G260" s="252"/>
      <c r="H260" s="252"/>
      <c r="I260" s="252"/>
      <c r="J260" s="252"/>
      <c r="K260" s="252"/>
      <c r="L260" s="252"/>
      <c r="M260" s="253"/>
      <c r="N260" s="253"/>
      <c r="O260" s="253"/>
      <c r="P260" s="253"/>
      <c r="Q260" s="253"/>
      <c r="R260" s="254"/>
      <c r="S260" s="255"/>
      <c r="T260" s="252"/>
      <c r="U260" s="252"/>
      <c r="V260" s="252"/>
      <c r="W260" s="252"/>
      <c r="X260" s="252"/>
      <c r="Y260" s="252"/>
      <c r="Z260" s="253"/>
      <c r="AA260" s="253"/>
      <c r="AB260" s="253"/>
      <c r="AC260" s="253"/>
      <c r="AD260" s="253"/>
      <c r="AE260" s="253"/>
      <c r="AF260" s="253"/>
      <c r="AG260" s="253"/>
      <c r="AH260" s="252"/>
    </row>
    <row r="261" spans="3:34" x14ac:dyDescent="0.2">
      <c r="C261" s="252"/>
      <c r="D261" s="252"/>
      <c r="E261" s="252"/>
      <c r="F261" s="252"/>
      <c r="G261" s="252"/>
      <c r="H261" s="252"/>
      <c r="I261" s="252"/>
      <c r="J261" s="252"/>
      <c r="K261" s="252"/>
      <c r="L261" s="252"/>
      <c r="M261" s="253"/>
      <c r="N261" s="253"/>
      <c r="O261" s="253"/>
      <c r="P261" s="253"/>
      <c r="Q261" s="253"/>
      <c r="R261" s="254"/>
      <c r="S261" s="255"/>
      <c r="T261" s="252"/>
      <c r="U261" s="252"/>
      <c r="V261" s="252"/>
      <c r="W261" s="252"/>
      <c r="X261" s="252"/>
      <c r="Y261" s="252"/>
      <c r="Z261" s="253"/>
      <c r="AA261" s="253"/>
      <c r="AB261" s="253"/>
      <c r="AC261" s="253"/>
      <c r="AD261" s="253"/>
      <c r="AE261" s="253"/>
      <c r="AF261" s="253"/>
      <c r="AG261" s="253"/>
      <c r="AH261" s="252"/>
    </row>
    <row r="262" spans="3:34" x14ac:dyDescent="0.2">
      <c r="C262" s="252"/>
      <c r="D262" s="252"/>
      <c r="E262" s="252"/>
      <c r="F262" s="252"/>
      <c r="G262" s="252"/>
      <c r="H262" s="252"/>
      <c r="I262" s="252"/>
      <c r="J262" s="252"/>
      <c r="K262" s="252"/>
      <c r="L262" s="252"/>
      <c r="M262" s="253"/>
      <c r="N262" s="253"/>
      <c r="O262" s="253"/>
      <c r="P262" s="253"/>
      <c r="Q262" s="253"/>
      <c r="R262" s="254"/>
      <c r="S262" s="255"/>
      <c r="T262" s="252"/>
      <c r="U262" s="252"/>
      <c r="V262" s="252"/>
      <c r="W262" s="252"/>
      <c r="X262" s="252"/>
      <c r="Y262" s="252"/>
      <c r="Z262" s="253"/>
      <c r="AA262" s="253"/>
      <c r="AB262" s="253"/>
      <c r="AC262" s="253"/>
      <c r="AD262" s="253"/>
      <c r="AE262" s="253"/>
      <c r="AF262" s="253"/>
      <c r="AG262" s="253"/>
      <c r="AH262" s="252"/>
    </row>
    <row r="263" spans="3:34" x14ac:dyDescent="0.2">
      <c r="C263" s="252"/>
      <c r="D263" s="252"/>
      <c r="E263" s="252"/>
      <c r="F263" s="252"/>
      <c r="G263" s="252"/>
      <c r="H263" s="252"/>
      <c r="I263" s="252"/>
      <c r="J263" s="252"/>
      <c r="K263" s="252"/>
      <c r="L263" s="252"/>
      <c r="M263" s="253"/>
      <c r="N263" s="253"/>
      <c r="O263" s="253"/>
      <c r="P263" s="253"/>
      <c r="Q263" s="253"/>
      <c r="R263" s="254"/>
      <c r="S263" s="255"/>
      <c r="T263" s="252"/>
      <c r="U263" s="252"/>
      <c r="V263" s="252"/>
      <c r="W263" s="252"/>
      <c r="X263" s="252"/>
      <c r="Y263" s="252"/>
      <c r="Z263" s="253"/>
      <c r="AA263" s="253"/>
      <c r="AB263" s="253"/>
      <c r="AC263" s="253"/>
      <c r="AD263" s="253"/>
      <c r="AE263" s="253"/>
      <c r="AF263" s="253"/>
      <c r="AG263" s="253"/>
      <c r="AH263" s="252"/>
    </row>
    <row r="264" spans="3:34" x14ac:dyDescent="0.2">
      <c r="C264" s="252"/>
      <c r="D264" s="252"/>
      <c r="E264" s="252"/>
      <c r="F264" s="252"/>
      <c r="G264" s="252"/>
      <c r="H264" s="252"/>
      <c r="I264" s="252"/>
      <c r="J264" s="252"/>
      <c r="K264" s="252"/>
      <c r="L264" s="252"/>
      <c r="M264" s="253"/>
      <c r="N264" s="253"/>
      <c r="O264" s="253"/>
      <c r="P264" s="253"/>
      <c r="Q264" s="253"/>
      <c r="R264" s="254"/>
      <c r="S264" s="255"/>
      <c r="T264" s="252"/>
      <c r="U264" s="252"/>
      <c r="V264" s="252"/>
      <c r="W264" s="252"/>
      <c r="X264" s="252"/>
      <c r="Y264" s="252"/>
      <c r="Z264" s="253"/>
      <c r="AA264" s="253"/>
      <c r="AB264" s="253"/>
      <c r="AC264" s="253"/>
      <c r="AD264" s="253"/>
      <c r="AE264" s="253"/>
      <c r="AF264" s="253"/>
      <c r="AG264" s="253"/>
      <c r="AH264" s="252"/>
    </row>
    <row r="265" spans="3:34" x14ac:dyDescent="0.2">
      <c r="C265" s="252"/>
      <c r="D265" s="252"/>
      <c r="E265" s="252"/>
      <c r="F265" s="252"/>
      <c r="G265" s="252"/>
      <c r="H265" s="252"/>
      <c r="I265" s="252"/>
      <c r="J265" s="252"/>
      <c r="K265" s="252"/>
      <c r="L265" s="252"/>
      <c r="M265" s="253"/>
      <c r="N265" s="253"/>
      <c r="O265" s="253"/>
      <c r="P265" s="253"/>
      <c r="Q265" s="253"/>
      <c r="R265" s="254"/>
      <c r="S265" s="255"/>
      <c r="T265" s="252"/>
      <c r="U265" s="252"/>
      <c r="V265" s="252"/>
      <c r="W265" s="252"/>
      <c r="X265" s="252"/>
      <c r="Y265" s="252"/>
      <c r="Z265" s="253"/>
      <c r="AA265" s="253"/>
      <c r="AB265" s="253"/>
      <c r="AC265" s="253"/>
      <c r="AD265" s="253"/>
      <c r="AE265" s="253"/>
      <c r="AF265" s="253"/>
      <c r="AG265" s="253"/>
      <c r="AH265" s="252"/>
    </row>
    <row r="266" spans="3:34" x14ac:dyDescent="0.2">
      <c r="C266" s="252"/>
      <c r="D266" s="252"/>
      <c r="E266" s="252"/>
      <c r="F266" s="252"/>
      <c r="G266" s="252"/>
      <c r="H266" s="252"/>
      <c r="I266" s="252"/>
      <c r="J266" s="252"/>
      <c r="K266" s="252"/>
      <c r="L266" s="252"/>
      <c r="M266" s="253"/>
      <c r="N266" s="253"/>
      <c r="O266" s="253"/>
      <c r="P266" s="253"/>
      <c r="Q266" s="253"/>
      <c r="R266" s="254"/>
      <c r="S266" s="255"/>
      <c r="T266" s="252"/>
      <c r="U266" s="252"/>
      <c r="V266" s="252"/>
      <c r="W266" s="252"/>
      <c r="X266" s="252"/>
      <c r="Y266" s="252"/>
      <c r="Z266" s="253"/>
      <c r="AA266" s="253"/>
      <c r="AB266" s="253"/>
      <c r="AC266" s="253"/>
      <c r="AD266" s="253"/>
      <c r="AE266" s="253"/>
      <c r="AF266" s="253"/>
      <c r="AG266" s="253"/>
      <c r="AH266" s="252"/>
    </row>
    <row r="267" spans="3:34" x14ac:dyDescent="0.2">
      <c r="C267" s="252"/>
      <c r="D267" s="252"/>
      <c r="E267" s="252"/>
      <c r="F267" s="252"/>
      <c r="G267" s="252"/>
      <c r="H267" s="252"/>
      <c r="I267" s="252"/>
      <c r="J267" s="252"/>
      <c r="K267" s="252"/>
      <c r="L267" s="252"/>
      <c r="M267" s="253"/>
      <c r="N267" s="253"/>
      <c r="O267" s="253"/>
      <c r="P267" s="253"/>
      <c r="Q267" s="253"/>
      <c r="R267" s="254"/>
      <c r="S267" s="255"/>
      <c r="T267" s="252"/>
      <c r="U267" s="252"/>
      <c r="V267" s="252"/>
      <c r="W267" s="252"/>
      <c r="X267" s="252"/>
      <c r="Y267" s="252"/>
      <c r="Z267" s="253"/>
      <c r="AA267" s="253"/>
      <c r="AB267" s="253"/>
      <c r="AC267" s="253"/>
      <c r="AD267" s="253"/>
      <c r="AE267" s="253"/>
      <c r="AF267" s="253"/>
      <c r="AG267" s="253"/>
      <c r="AH267" s="252"/>
    </row>
    <row r="268" spans="3:34" x14ac:dyDescent="0.2">
      <c r="C268" s="252"/>
      <c r="D268" s="252"/>
      <c r="E268" s="252"/>
      <c r="F268" s="252"/>
      <c r="G268" s="252"/>
      <c r="H268" s="252"/>
      <c r="I268" s="252"/>
      <c r="J268" s="252"/>
      <c r="K268" s="252"/>
      <c r="L268" s="252"/>
      <c r="M268" s="253"/>
      <c r="N268" s="253"/>
      <c r="O268" s="253"/>
      <c r="P268" s="253"/>
      <c r="Q268" s="253"/>
      <c r="R268" s="254"/>
      <c r="S268" s="255"/>
      <c r="T268" s="252"/>
      <c r="U268" s="252"/>
      <c r="V268" s="252"/>
      <c r="W268" s="252"/>
      <c r="X268" s="252"/>
      <c r="Y268" s="252"/>
      <c r="Z268" s="253"/>
      <c r="AA268" s="253"/>
      <c r="AB268" s="253"/>
      <c r="AC268" s="253"/>
      <c r="AD268" s="253"/>
      <c r="AE268" s="253"/>
      <c r="AF268" s="253"/>
      <c r="AG268" s="253"/>
      <c r="AH268" s="252"/>
    </row>
    <row r="269" spans="3:34" x14ac:dyDescent="0.2">
      <c r="C269" s="252"/>
      <c r="D269" s="252"/>
      <c r="E269" s="252"/>
      <c r="F269" s="252"/>
      <c r="G269" s="252"/>
      <c r="H269" s="252"/>
      <c r="I269" s="252"/>
      <c r="J269" s="252"/>
      <c r="K269" s="252"/>
      <c r="L269" s="252"/>
      <c r="M269" s="253"/>
      <c r="N269" s="253"/>
      <c r="O269" s="253"/>
      <c r="P269" s="253"/>
      <c r="Q269" s="253"/>
      <c r="R269" s="254"/>
      <c r="S269" s="255"/>
      <c r="T269" s="252"/>
      <c r="U269" s="252"/>
      <c r="V269" s="252"/>
      <c r="W269" s="252"/>
      <c r="X269" s="252"/>
      <c r="Y269" s="252"/>
      <c r="Z269" s="253"/>
      <c r="AA269" s="253"/>
      <c r="AB269" s="253"/>
      <c r="AC269" s="253"/>
      <c r="AD269" s="253"/>
      <c r="AE269" s="253"/>
      <c r="AF269" s="253"/>
      <c r="AG269" s="253"/>
      <c r="AH269" s="252"/>
    </row>
    <row r="270" spans="3:34" x14ac:dyDescent="0.2">
      <c r="C270" s="252"/>
      <c r="D270" s="252"/>
      <c r="E270" s="252"/>
      <c r="F270" s="252"/>
      <c r="G270" s="252"/>
      <c r="H270" s="252"/>
      <c r="I270" s="252"/>
      <c r="J270" s="252"/>
      <c r="K270" s="252"/>
      <c r="L270" s="252"/>
      <c r="M270" s="253"/>
      <c r="N270" s="253"/>
      <c r="O270" s="253"/>
      <c r="P270" s="253"/>
      <c r="Q270" s="253"/>
      <c r="R270" s="254"/>
      <c r="S270" s="255"/>
      <c r="T270" s="252"/>
      <c r="U270" s="252"/>
      <c r="V270" s="252"/>
      <c r="W270" s="252"/>
      <c r="X270" s="252"/>
      <c r="Y270" s="252"/>
      <c r="Z270" s="253"/>
      <c r="AA270" s="253"/>
      <c r="AB270" s="253"/>
      <c r="AC270" s="253"/>
      <c r="AD270" s="253"/>
      <c r="AE270" s="253"/>
      <c r="AF270" s="253"/>
      <c r="AG270" s="253"/>
      <c r="AH270" s="252"/>
    </row>
    <row r="271" spans="3:34" x14ac:dyDescent="0.2">
      <c r="C271" s="252"/>
      <c r="D271" s="252"/>
      <c r="E271" s="252"/>
      <c r="F271" s="252"/>
      <c r="G271" s="252"/>
      <c r="H271" s="252"/>
      <c r="I271" s="252"/>
      <c r="J271" s="252"/>
      <c r="K271" s="252"/>
      <c r="L271" s="252"/>
      <c r="M271" s="253"/>
      <c r="N271" s="253"/>
      <c r="O271" s="253"/>
      <c r="P271" s="253"/>
      <c r="Q271" s="253"/>
      <c r="R271" s="254"/>
      <c r="S271" s="255"/>
      <c r="T271" s="252"/>
      <c r="U271" s="252"/>
      <c r="V271" s="252"/>
      <c r="W271" s="252"/>
      <c r="X271" s="252"/>
      <c r="Y271" s="252"/>
      <c r="Z271" s="253"/>
      <c r="AA271" s="253"/>
      <c r="AB271" s="253"/>
      <c r="AC271" s="253"/>
      <c r="AD271" s="253"/>
      <c r="AE271" s="253"/>
      <c r="AF271" s="253"/>
      <c r="AG271" s="253"/>
      <c r="AH271" s="252"/>
    </row>
    <row r="272" spans="3:34" x14ac:dyDescent="0.2">
      <c r="C272" s="252"/>
      <c r="D272" s="252"/>
      <c r="E272" s="252"/>
      <c r="F272" s="252"/>
      <c r="G272" s="252"/>
      <c r="H272" s="252"/>
      <c r="I272" s="252"/>
      <c r="J272" s="252"/>
      <c r="K272" s="252"/>
      <c r="L272" s="252"/>
      <c r="M272" s="253"/>
      <c r="N272" s="253"/>
      <c r="O272" s="253"/>
      <c r="P272" s="253"/>
      <c r="Q272" s="253"/>
      <c r="R272" s="254"/>
      <c r="S272" s="255"/>
      <c r="T272" s="252"/>
      <c r="U272" s="252"/>
      <c r="V272" s="252"/>
      <c r="W272" s="252"/>
      <c r="X272" s="252"/>
      <c r="Y272" s="252"/>
      <c r="Z272" s="253"/>
      <c r="AA272" s="253"/>
      <c r="AB272" s="253"/>
      <c r="AC272" s="253"/>
      <c r="AD272" s="253"/>
      <c r="AE272" s="253"/>
      <c r="AF272" s="253"/>
      <c r="AG272" s="253"/>
      <c r="AH272" s="252"/>
    </row>
    <row r="273" spans="3:34" x14ac:dyDescent="0.2">
      <c r="C273" s="252"/>
      <c r="D273" s="252"/>
      <c r="E273" s="252"/>
      <c r="F273" s="252"/>
      <c r="G273" s="252"/>
      <c r="H273" s="252"/>
      <c r="I273" s="252"/>
      <c r="J273" s="252"/>
      <c r="K273" s="252"/>
      <c r="L273" s="252"/>
      <c r="M273" s="253"/>
      <c r="N273" s="253"/>
      <c r="O273" s="253"/>
      <c r="P273" s="253"/>
      <c r="Q273" s="253"/>
      <c r="R273" s="254"/>
      <c r="S273" s="255"/>
      <c r="T273" s="252"/>
      <c r="U273" s="252"/>
      <c r="V273" s="252"/>
      <c r="W273" s="252"/>
      <c r="X273" s="252"/>
      <c r="Y273" s="252"/>
      <c r="Z273" s="253"/>
      <c r="AA273" s="253"/>
      <c r="AB273" s="253"/>
      <c r="AC273" s="253"/>
      <c r="AD273" s="253"/>
      <c r="AE273" s="253"/>
      <c r="AF273" s="253"/>
      <c r="AG273" s="253"/>
      <c r="AH273" s="252"/>
    </row>
    <row r="274" spans="3:34" x14ac:dyDescent="0.2">
      <c r="C274" s="252"/>
      <c r="D274" s="252"/>
      <c r="E274" s="252"/>
      <c r="F274" s="252"/>
      <c r="G274" s="252"/>
      <c r="H274" s="252"/>
      <c r="I274" s="252"/>
      <c r="J274" s="252"/>
      <c r="K274" s="252"/>
      <c r="L274" s="252"/>
      <c r="M274" s="253"/>
      <c r="N274" s="253"/>
      <c r="O274" s="253"/>
      <c r="P274" s="253"/>
      <c r="Q274" s="253"/>
      <c r="R274" s="254"/>
      <c r="S274" s="255"/>
      <c r="T274" s="252"/>
      <c r="U274" s="252"/>
      <c r="V274" s="252"/>
      <c r="W274" s="252"/>
      <c r="X274" s="252"/>
      <c r="Y274" s="252"/>
      <c r="Z274" s="253"/>
      <c r="AA274" s="253"/>
      <c r="AB274" s="253"/>
      <c r="AC274" s="253"/>
      <c r="AD274" s="253"/>
      <c r="AE274" s="253"/>
      <c r="AF274" s="253"/>
      <c r="AG274" s="253"/>
      <c r="AH274" s="252"/>
    </row>
    <row r="275" spans="3:34" x14ac:dyDescent="0.2">
      <c r="C275" s="252"/>
      <c r="D275" s="252"/>
      <c r="E275" s="252"/>
      <c r="F275" s="252"/>
      <c r="G275" s="252"/>
      <c r="H275" s="252"/>
      <c r="I275" s="252"/>
      <c r="J275" s="252"/>
      <c r="K275" s="252"/>
      <c r="L275" s="252"/>
      <c r="M275" s="253"/>
      <c r="N275" s="253"/>
      <c r="O275" s="253"/>
      <c r="P275" s="253"/>
      <c r="Q275" s="253"/>
      <c r="R275" s="254"/>
      <c r="S275" s="255"/>
      <c r="T275" s="252"/>
      <c r="U275" s="252"/>
      <c r="V275" s="252"/>
      <c r="W275" s="252"/>
      <c r="X275" s="252"/>
      <c r="Y275" s="252"/>
      <c r="Z275" s="253"/>
      <c r="AA275" s="253"/>
      <c r="AB275" s="253"/>
      <c r="AC275" s="253"/>
      <c r="AD275" s="253"/>
      <c r="AE275" s="253"/>
      <c r="AF275" s="253"/>
      <c r="AG275" s="253"/>
      <c r="AH275" s="252"/>
    </row>
    <row r="276" spans="3:34" x14ac:dyDescent="0.2">
      <c r="C276" s="252"/>
      <c r="D276" s="252"/>
      <c r="E276" s="252"/>
      <c r="F276" s="252"/>
      <c r="G276" s="252"/>
      <c r="H276" s="252"/>
      <c r="I276" s="252"/>
      <c r="J276" s="252"/>
      <c r="K276" s="252"/>
      <c r="L276" s="252"/>
      <c r="M276" s="253"/>
      <c r="N276" s="253"/>
      <c r="O276" s="253"/>
      <c r="P276" s="253"/>
      <c r="Q276" s="253"/>
      <c r="R276" s="254"/>
      <c r="S276" s="255"/>
      <c r="T276" s="252"/>
      <c r="U276" s="252"/>
      <c r="V276" s="252"/>
      <c r="W276" s="252"/>
      <c r="X276" s="252"/>
      <c r="Y276" s="252"/>
      <c r="Z276" s="253"/>
      <c r="AA276" s="253"/>
      <c r="AB276" s="253"/>
      <c r="AC276" s="253"/>
      <c r="AD276" s="253"/>
      <c r="AE276" s="253"/>
      <c r="AF276" s="253"/>
      <c r="AG276" s="253"/>
      <c r="AH276" s="252"/>
    </row>
    <row r="277" spans="3:34" x14ac:dyDescent="0.2">
      <c r="C277" s="252"/>
      <c r="D277" s="252"/>
      <c r="E277" s="252"/>
      <c r="F277" s="252"/>
      <c r="G277" s="252"/>
      <c r="H277" s="252"/>
      <c r="I277" s="252"/>
      <c r="J277" s="252"/>
      <c r="K277" s="252"/>
      <c r="L277" s="252"/>
      <c r="M277" s="253"/>
      <c r="N277" s="253"/>
      <c r="O277" s="253"/>
      <c r="P277" s="253"/>
      <c r="Q277" s="253"/>
      <c r="R277" s="254"/>
      <c r="S277" s="255"/>
      <c r="T277" s="252"/>
      <c r="U277" s="252"/>
      <c r="V277" s="252"/>
      <c r="W277" s="252"/>
      <c r="X277" s="252"/>
      <c r="Y277" s="252"/>
      <c r="Z277" s="253"/>
      <c r="AA277" s="253"/>
      <c r="AB277" s="253"/>
      <c r="AC277" s="253"/>
      <c r="AD277" s="253"/>
      <c r="AE277" s="253"/>
      <c r="AF277" s="253"/>
      <c r="AG277" s="253"/>
      <c r="AH277" s="252"/>
    </row>
    <row r="278" spans="3:34" x14ac:dyDescent="0.2">
      <c r="C278" s="252"/>
      <c r="D278" s="252"/>
      <c r="E278" s="252"/>
      <c r="F278" s="252"/>
      <c r="G278" s="252"/>
      <c r="H278" s="252"/>
      <c r="I278" s="252"/>
      <c r="J278" s="252"/>
      <c r="K278" s="252"/>
      <c r="L278" s="252"/>
      <c r="M278" s="253"/>
      <c r="N278" s="253"/>
      <c r="O278" s="253"/>
      <c r="P278" s="253"/>
      <c r="Q278" s="253"/>
      <c r="R278" s="254"/>
      <c r="S278" s="255"/>
      <c r="T278" s="252"/>
      <c r="U278" s="252"/>
      <c r="V278" s="252"/>
      <c r="W278" s="252"/>
      <c r="X278" s="252"/>
      <c r="Y278" s="252"/>
      <c r="Z278" s="253"/>
      <c r="AA278" s="253"/>
      <c r="AB278" s="253"/>
      <c r="AC278" s="253"/>
      <c r="AD278" s="253"/>
      <c r="AE278" s="253"/>
      <c r="AF278" s="253"/>
      <c r="AG278" s="253"/>
      <c r="AH278" s="252"/>
    </row>
    <row r="279" spans="3:34" x14ac:dyDescent="0.2">
      <c r="C279" s="252"/>
      <c r="D279" s="252"/>
      <c r="E279" s="252"/>
      <c r="F279" s="252"/>
      <c r="G279" s="252"/>
      <c r="H279" s="252"/>
      <c r="I279" s="252"/>
      <c r="J279" s="252"/>
      <c r="K279" s="252"/>
      <c r="L279" s="252"/>
      <c r="M279" s="253"/>
      <c r="N279" s="253"/>
      <c r="O279" s="253"/>
      <c r="P279" s="253"/>
      <c r="Q279" s="253"/>
      <c r="R279" s="254"/>
      <c r="S279" s="255"/>
      <c r="T279" s="252"/>
      <c r="U279" s="252"/>
      <c r="V279" s="252"/>
      <c r="W279" s="252"/>
      <c r="X279" s="252"/>
      <c r="Y279" s="252"/>
      <c r="Z279" s="253"/>
      <c r="AA279" s="253"/>
      <c r="AB279" s="253"/>
      <c r="AC279" s="253"/>
      <c r="AD279" s="253"/>
      <c r="AE279" s="253"/>
      <c r="AF279" s="253"/>
      <c r="AG279" s="253"/>
      <c r="AH279" s="252"/>
    </row>
    <row r="280" spans="3:34" x14ac:dyDescent="0.2">
      <c r="C280" s="252"/>
      <c r="D280" s="252"/>
      <c r="E280" s="252"/>
      <c r="F280" s="252"/>
      <c r="G280" s="252"/>
      <c r="H280" s="252"/>
      <c r="I280" s="252"/>
      <c r="J280" s="252"/>
      <c r="K280" s="252"/>
      <c r="L280" s="252"/>
      <c r="M280" s="253"/>
      <c r="N280" s="253"/>
      <c r="O280" s="253"/>
      <c r="P280" s="253"/>
      <c r="Q280" s="253"/>
      <c r="R280" s="254"/>
      <c r="S280" s="255"/>
      <c r="T280" s="252"/>
      <c r="U280" s="252"/>
      <c r="V280" s="252"/>
      <c r="W280" s="252"/>
      <c r="X280" s="252"/>
      <c r="Y280" s="252"/>
      <c r="Z280" s="253"/>
      <c r="AA280" s="253"/>
      <c r="AB280" s="253"/>
      <c r="AC280" s="253"/>
      <c r="AD280" s="253"/>
      <c r="AE280" s="253"/>
      <c r="AF280" s="253"/>
      <c r="AG280" s="253"/>
      <c r="AH280" s="252"/>
    </row>
    <row r="281" spans="3:34" x14ac:dyDescent="0.2">
      <c r="C281" s="252"/>
      <c r="D281" s="252"/>
      <c r="E281" s="252"/>
      <c r="F281" s="252"/>
      <c r="G281" s="252"/>
      <c r="H281" s="252"/>
      <c r="I281" s="252"/>
      <c r="J281" s="252"/>
      <c r="K281" s="252"/>
      <c r="L281" s="252"/>
      <c r="M281" s="253"/>
      <c r="N281" s="253"/>
      <c r="O281" s="253"/>
      <c r="P281" s="253"/>
      <c r="Q281" s="253"/>
      <c r="R281" s="254"/>
      <c r="S281" s="255"/>
      <c r="T281" s="252"/>
      <c r="U281" s="252"/>
      <c r="V281" s="252"/>
      <c r="W281" s="252"/>
      <c r="X281" s="252"/>
      <c r="Y281" s="252"/>
      <c r="Z281" s="253"/>
      <c r="AA281" s="253"/>
      <c r="AB281" s="253"/>
      <c r="AC281" s="253"/>
      <c r="AD281" s="253"/>
      <c r="AE281" s="253"/>
      <c r="AF281" s="253"/>
      <c r="AG281" s="253"/>
      <c r="AH281" s="252"/>
    </row>
    <row r="282" spans="3:34" x14ac:dyDescent="0.2">
      <c r="C282" s="252"/>
      <c r="D282" s="252"/>
      <c r="E282" s="252"/>
      <c r="F282" s="252"/>
      <c r="G282" s="252"/>
      <c r="H282" s="252"/>
      <c r="I282" s="252"/>
      <c r="J282" s="252"/>
      <c r="K282" s="252"/>
      <c r="L282" s="252"/>
      <c r="M282" s="253"/>
      <c r="N282" s="253"/>
      <c r="O282" s="253"/>
      <c r="P282" s="253"/>
      <c r="Q282" s="253"/>
      <c r="R282" s="254"/>
      <c r="S282" s="255"/>
      <c r="T282" s="252"/>
      <c r="U282" s="252"/>
      <c r="V282" s="252"/>
      <c r="W282" s="252"/>
      <c r="X282" s="252"/>
      <c r="Y282" s="252"/>
      <c r="Z282" s="253"/>
      <c r="AA282" s="253"/>
      <c r="AB282" s="253"/>
      <c r="AC282" s="253"/>
      <c r="AD282" s="253"/>
      <c r="AE282" s="253"/>
      <c r="AF282" s="253"/>
      <c r="AG282" s="253"/>
      <c r="AH282" s="252"/>
    </row>
    <row r="283" spans="3:34" x14ac:dyDescent="0.2">
      <c r="C283" s="252"/>
      <c r="D283" s="252"/>
      <c r="E283" s="252"/>
      <c r="F283" s="252"/>
      <c r="G283" s="252"/>
      <c r="H283" s="252"/>
      <c r="I283" s="252"/>
      <c r="J283" s="252"/>
      <c r="K283" s="252"/>
      <c r="L283" s="252"/>
      <c r="M283" s="253"/>
      <c r="N283" s="253"/>
      <c r="O283" s="253"/>
      <c r="P283" s="253"/>
      <c r="Q283" s="253"/>
      <c r="R283" s="254"/>
      <c r="S283" s="255"/>
      <c r="T283" s="252"/>
      <c r="U283" s="252"/>
      <c r="V283" s="252"/>
      <c r="W283" s="252"/>
      <c r="X283" s="252"/>
      <c r="Y283" s="252"/>
      <c r="Z283" s="253"/>
      <c r="AA283" s="253"/>
      <c r="AB283" s="253"/>
      <c r="AC283" s="253"/>
      <c r="AD283" s="253"/>
      <c r="AE283" s="253"/>
      <c r="AF283" s="253"/>
      <c r="AG283" s="253"/>
      <c r="AH283" s="252"/>
    </row>
    <row r="284" spans="3:34" x14ac:dyDescent="0.2">
      <c r="C284" s="252"/>
      <c r="D284" s="252"/>
      <c r="E284" s="252"/>
      <c r="F284" s="252"/>
      <c r="G284" s="252"/>
      <c r="H284" s="252"/>
      <c r="I284" s="252"/>
      <c r="J284" s="252"/>
      <c r="K284" s="252"/>
      <c r="L284" s="252"/>
      <c r="M284" s="253"/>
      <c r="N284" s="253"/>
      <c r="O284" s="253"/>
      <c r="P284" s="253"/>
      <c r="Q284" s="253"/>
      <c r="R284" s="254"/>
      <c r="S284" s="255"/>
      <c r="T284" s="252"/>
      <c r="U284" s="252"/>
      <c r="V284" s="252"/>
      <c r="W284" s="252"/>
      <c r="X284" s="252"/>
      <c r="Y284" s="252"/>
      <c r="Z284" s="253"/>
      <c r="AA284" s="253"/>
      <c r="AB284" s="253"/>
      <c r="AC284" s="253"/>
      <c r="AD284" s="253"/>
      <c r="AE284" s="253"/>
      <c r="AF284" s="253"/>
      <c r="AG284" s="253"/>
      <c r="AH284" s="252"/>
    </row>
    <row r="285" spans="3:34" x14ac:dyDescent="0.2">
      <c r="C285" s="252"/>
      <c r="D285" s="252"/>
      <c r="E285" s="252"/>
      <c r="F285" s="252"/>
      <c r="G285" s="252"/>
      <c r="H285" s="252"/>
      <c r="I285" s="252"/>
      <c r="J285" s="252"/>
      <c r="K285" s="252"/>
      <c r="L285" s="252"/>
      <c r="M285" s="253"/>
      <c r="N285" s="253"/>
      <c r="O285" s="253"/>
      <c r="P285" s="253"/>
      <c r="Q285" s="253"/>
      <c r="R285" s="254"/>
      <c r="S285" s="255"/>
      <c r="T285" s="252"/>
      <c r="U285" s="252"/>
      <c r="V285" s="252"/>
      <c r="W285" s="252"/>
      <c r="X285" s="252"/>
      <c r="Y285" s="252"/>
      <c r="Z285" s="253"/>
      <c r="AA285" s="253"/>
      <c r="AB285" s="253"/>
      <c r="AC285" s="253"/>
      <c r="AD285" s="253"/>
      <c r="AE285" s="253"/>
      <c r="AF285" s="253"/>
      <c r="AG285" s="253"/>
      <c r="AH285" s="252"/>
    </row>
    <row r="286" spans="3:34" x14ac:dyDescent="0.2">
      <c r="C286" s="252"/>
      <c r="D286" s="252"/>
      <c r="E286" s="252"/>
      <c r="F286" s="252"/>
      <c r="G286" s="252"/>
      <c r="H286" s="252"/>
      <c r="I286" s="252"/>
      <c r="J286" s="252"/>
      <c r="K286" s="252"/>
      <c r="L286" s="252"/>
      <c r="M286" s="253"/>
      <c r="N286" s="253"/>
      <c r="O286" s="253"/>
      <c r="P286" s="253"/>
      <c r="Q286" s="253"/>
      <c r="R286" s="254"/>
      <c r="S286" s="255"/>
      <c r="T286" s="252"/>
      <c r="U286" s="252"/>
      <c r="V286" s="252"/>
      <c r="W286" s="252"/>
      <c r="X286" s="252"/>
      <c r="Y286" s="252"/>
      <c r="Z286" s="253"/>
      <c r="AA286" s="253"/>
      <c r="AB286" s="253"/>
      <c r="AC286" s="253"/>
      <c r="AD286" s="253"/>
      <c r="AE286" s="253"/>
      <c r="AF286" s="253"/>
      <c r="AG286" s="253"/>
      <c r="AH286" s="252"/>
    </row>
    <row r="287" spans="3:34" x14ac:dyDescent="0.2">
      <c r="C287" s="252"/>
      <c r="D287" s="252"/>
      <c r="E287" s="252"/>
      <c r="F287" s="252"/>
      <c r="G287" s="252"/>
      <c r="H287" s="252"/>
      <c r="I287" s="252"/>
      <c r="J287" s="252"/>
      <c r="K287" s="252"/>
      <c r="L287" s="252"/>
      <c r="M287" s="253"/>
      <c r="N287" s="253"/>
      <c r="O287" s="253"/>
      <c r="P287" s="253"/>
      <c r="Q287" s="253"/>
      <c r="R287" s="254"/>
      <c r="S287" s="255"/>
      <c r="T287" s="252"/>
      <c r="U287" s="252"/>
      <c r="V287" s="252"/>
      <c r="W287" s="252"/>
      <c r="X287" s="252"/>
      <c r="Y287" s="252"/>
      <c r="Z287" s="253"/>
      <c r="AA287" s="253"/>
      <c r="AB287" s="253"/>
      <c r="AC287" s="253"/>
      <c r="AD287" s="253"/>
      <c r="AE287" s="253"/>
      <c r="AF287" s="253"/>
      <c r="AG287" s="253"/>
      <c r="AH287" s="252"/>
    </row>
    <row r="288" spans="3:34" x14ac:dyDescent="0.2">
      <c r="C288" s="252"/>
      <c r="D288" s="252"/>
      <c r="E288" s="252"/>
      <c r="F288" s="252"/>
      <c r="G288" s="252"/>
      <c r="H288" s="252"/>
      <c r="I288" s="252"/>
      <c r="J288" s="252"/>
      <c r="K288" s="252"/>
      <c r="L288" s="252"/>
      <c r="M288" s="253"/>
      <c r="N288" s="253"/>
      <c r="O288" s="253"/>
      <c r="P288" s="253"/>
      <c r="Q288" s="253"/>
      <c r="R288" s="254"/>
      <c r="S288" s="255"/>
      <c r="T288" s="252"/>
      <c r="U288" s="252"/>
      <c r="V288" s="252"/>
      <c r="W288" s="252"/>
      <c r="X288" s="252"/>
      <c r="Y288" s="252"/>
      <c r="Z288" s="253"/>
      <c r="AA288" s="253"/>
      <c r="AB288" s="253"/>
      <c r="AC288" s="253"/>
      <c r="AD288" s="253"/>
      <c r="AE288" s="253"/>
      <c r="AF288" s="253"/>
      <c r="AG288" s="253"/>
      <c r="AH288" s="252"/>
    </row>
    <row r="289" spans="3:34" x14ac:dyDescent="0.2">
      <c r="C289" s="252"/>
      <c r="D289" s="252"/>
      <c r="E289" s="252"/>
      <c r="F289" s="252"/>
      <c r="G289" s="252"/>
      <c r="H289" s="252"/>
      <c r="I289" s="252"/>
      <c r="J289" s="252"/>
      <c r="K289" s="252"/>
      <c r="L289" s="252"/>
      <c r="M289" s="253"/>
      <c r="N289" s="253"/>
      <c r="O289" s="253"/>
      <c r="P289" s="253"/>
      <c r="Q289" s="253"/>
      <c r="R289" s="254"/>
      <c r="S289" s="255"/>
      <c r="T289" s="252"/>
      <c r="U289" s="252"/>
      <c r="V289" s="252"/>
      <c r="W289" s="252"/>
      <c r="X289" s="252"/>
      <c r="Y289" s="252"/>
      <c r="Z289" s="253"/>
      <c r="AA289" s="253"/>
      <c r="AB289" s="253"/>
      <c r="AC289" s="253"/>
      <c r="AD289" s="253"/>
      <c r="AE289" s="253"/>
      <c r="AF289" s="253"/>
      <c r="AG289" s="253"/>
      <c r="AH289" s="252"/>
    </row>
    <row r="290" spans="3:34" x14ac:dyDescent="0.2">
      <c r="C290" s="252"/>
      <c r="D290" s="252"/>
      <c r="E290" s="252"/>
      <c r="F290" s="252"/>
      <c r="G290" s="252"/>
      <c r="H290" s="252"/>
      <c r="I290" s="252"/>
      <c r="J290" s="252"/>
      <c r="K290" s="252"/>
      <c r="L290" s="252"/>
      <c r="M290" s="253"/>
      <c r="N290" s="253"/>
      <c r="O290" s="253"/>
      <c r="P290" s="253"/>
      <c r="Q290" s="253"/>
      <c r="R290" s="254"/>
      <c r="S290" s="255"/>
      <c r="T290" s="252"/>
      <c r="U290" s="252"/>
      <c r="V290" s="252"/>
      <c r="W290" s="252"/>
      <c r="X290" s="252"/>
      <c r="Y290" s="252"/>
      <c r="Z290" s="253"/>
      <c r="AA290" s="253"/>
      <c r="AB290" s="253"/>
      <c r="AC290" s="253"/>
      <c r="AD290" s="253"/>
      <c r="AE290" s="253"/>
      <c r="AF290" s="253"/>
      <c r="AG290" s="253"/>
      <c r="AH290" s="252"/>
    </row>
    <row r="291" spans="3:34" x14ac:dyDescent="0.2">
      <c r="C291" s="252"/>
      <c r="D291" s="252"/>
      <c r="E291" s="252"/>
      <c r="F291" s="252"/>
      <c r="G291" s="252"/>
      <c r="H291" s="252"/>
      <c r="I291" s="252"/>
      <c r="J291" s="252"/>
      <c r="K291" s="252"/>
      <c r="L291" s="252"/>
      <c r="M291" s="253"/>
      <c r="N291" s="253"/>
      <c r="O291" s="253"/>
      <c r="P291" s="253"/>
      <c r="Q291" s="253"/>
      <c r="R291" s="254"/>
      <c r="S291" s="255"/>
      <c r="T291" s="252"/>
      <c r="U291" s="252"/>
      <c r="V291" s="252"/>
      <c r="W291" s="252"/>
      <c r="X291" s="252"/>
      <c r="Y291" s="252"/>
      <c r="Z291" s="253"/>
      <c r="AA291" s="253"/>
      <c r="AB291" s="253"/>
      <c r="AC291" s="253"/>
      <c r="AD291" s="253"/>
      <c r="AE291" s="253"/>
      <c r="AF291" s="253"/>
      <c r="AG291" s="253"/>
      <c r="AH291" s="252"/>
    </row>
    <row r="292" spans="3:34" x14ac:dyDescent="0.2">
      <c r="C292" s="252"/>
      <c r="D292" s="252"/>
      <c r="E292" s="252"/>
      <c r="F292" s="252"/>
      <c r="G292" s="252"/>
      <c r="H292" s="252"/>
      <c r="I292" s="252"/>
      <c r="J292" s="252"/>
      <c r="K292" s="252"/>
      <c r="L292" s="252"/>
      <c r="M292" s="253"/>
      <c r="N292" s="253"/>
      <c r="O292" s="253"/>
      <c r="P292" s="253"/>
      <c r="Q292" s="253"/>
      <c r="R292" s="254"/>
      <c r="S292" s="255"/>
      <c r="T292" s="252"/>
      <c r="U292" s="252"/>
      <c r="V292" s="252"/>
      <c r="W292" s="252"/>
      <c r="X292" s="252"/>
      <c r="Y292" s="252"/>
      <c r="Z292" s="253"/>
      <c r="AA292" s="253"/>
      <c r="AB292" s="253"/>
      <c r="AC292" s="253"/>
      <c r="AD292" s="253"/>
      <c r="AE292" s="253"/>
      <c r="AF292" s="253"/>
      <c r="AG292" s="253"/>
      <c r="AH292" s="252"/>
    </row>
    <row r="293" spans="3:34" x14ac:dyDescent="0.2">
      <c r="C293" s="252"/>
      <c r="D293" s="252"/>
      <c r="E293" s="252"/>
      <c r="F293" s="252"/>
      <c r="G293" s="252"/>
      <c r="H293" s="252"/>
      <c r="I293" s="252"/>
      <c r="J293" s="252"/>
      <c r="K293" s="252"/>
      <c r="L293" s="252"/>
      <c r="M293" s="253"/>
      <c r="N293" s="253"/>
      <c r="O293" s="253"/>
      <c r="P293" s="253"/>
      <c r="Q293" s="253"/>
      <c r="R293" s="254"/>
      <c r="S293" s="255"/>
      <c r="T293" s="252"/>
      <c r="U293" s="252"/>
      <c r="V293" s="252"/>
      <c r="W293" s="252"/>
      <c r="X293" s="252"/>
      <c r="Y293" s="252"/>
      <c r="Z293" s="253"/>
      <c r="AA293" s="253"/>
      <c r="AB293" s="253"/>
      <c r="AC293" s="253"/>
      <c r="AD293" s="253"/>
      <c r="AE293" s="253"/>
      <c r="AF293" s="253"/>
      <c r="AG293" s="253"/>
      <c r="AH293" s="252"/>
    </row>
    <row r="294" spans="3:34" x14ac:dyDescent="0.2">
      <c r="C294" s="252"/>
      <c r="D294" s="252"/>
      <c r="E294" s="252"/>
      <c r="F294" s="252"/>
      <c r="G294" s="252"/>
      <c r="H294" s="252"/>
      <c r="I294" s="252"/>
      <c r="J294" s="252"/>
      <c r="K294" s="252"/>
      <c r="L294" s="252"/>
      <c r="M294" s="253"/>
      <c r="N294" s="253"/>
      <c r="O294" s="253"/>
      <c r="P294" s="253"/>
      <c r="Q294" s="253"/>
      <c r="R294" s="254"/>
      <c r="S294" s="255"/>
      <c r="T294" s="252"/>
      <c r="U294" s="252"/>
      <c r="V294" s="252"/>
      <c r="W294" s="252"/>
      <c r="X294" s="252"/>
      <c r="Y294" s="252"/>
      <c r="Z294" s="253"/>
      <c r="AA294" s="253"/>
      <c r="AB294" s="253"/>
      <c r="AC294" s="253"/>
      <c r="AD294" s="253"/>
      <c r="AE294" s="253"/>
      <c r="AF294" s="253"/>
      <c r="AG294" s="253"/>
      <c r="AH294" s="252"/>
    </row>
    <row r="295" spans="3:34" x14ac:dyDescent="0.2">
      <c r="C295" s="252"/>
      <c r="D295" s="252"/>
      <c r="E295" s="252"/>
      <c r="F295" s="252"/>
      <c r="G295" s="252"/>
      <c r="H295" s="252"/>
      <c r="I295" s="252"/>
      <c r="J295" s="252"/>
      <c r="K295" s="252"/>
      <c r="L295" s="252"/>
      <c r="M295" s="253"/>
      <c r="N295" s="253"/>
      <c r="O295" s="253"/>
      <c r="P295" s="253"/>
      <c r="Q295" s="253"/>
      <c r="R295" s="254"/>
      <c r="S295" s="255"/>
      <c r="T295" s="252"/>
      <c r="U295" s="252"/>
      <c r="V295" s="252"/>
      <c r="W295" s="252"/>
      <c r="X295" s="252"/>
      <c r="Y295" s="252"/>
      <c r="Z295" s="253"/>
      <c r="AA295" s="253"/>
      <c r="AB295" s="253"/>
      <c r="AC295" s="253"/>
      <c r="AD295" s="253"/>
      <c r="AE295" s="253"/>
      <c r="AF295" s="253"/>
      <c r="AG295" s="253"/>
      <c r="AH295" s="252"/>
    </row>
    <row r="296" spans="3:34" x14ac:dyDescent="0.2">
      <c r="C296" s="252"/>
      <c r="D296" s="252"/>
      <c r="E296" s="252"/>
      <c r="F296" s="252"/>
      <c r="G296" s="252"/>
      <c r="H296" s="252"/>
      <c r="I296" s="252"/>
      <c r="J296" s="252"/>
      <c r="K296" s="252"/>
      <c r="L296" s="252"/>
      <c r="M296" s="253"/>
      <c r="N296" s="253"/>
      <c r="O296" s="253"/>
      <c r="P296" s="253"/>
      <c r="Q296" s="253"/>
      <c r="R296" s="254"/>
      <c r="S296" s="255"/>
      <c r="T296" s="252"/>
      <c r="U296" s="252"/>
      <c r="V296" s="252"/>
      <c r="W296" s="252"/>
      <c r="X296" s="252"/>
      <c r="Y296" s="252"/>
      <c r="Z296" s="253"/>
      <c r="AA296" s="253"/>
      <c r="AB296" s="253"/>
      <c r="AC296" s="253"/>
      <c r="AD296" s="253"/>
      <c r="AE296" s="253"/>
      <c r="AF296" s="253"/>
      <c r="AG296" s="253"/>
      <c r="AH296" s="252"/>
    </row>
    <row r="297" spans="3:34" x14ac:dyDescent="0.2">
      <c r="C297" s="252"/>
      <c r="D297" s="252"/>
      <c r="E297" s="252"/>
      <c r="F297" s="252"/>
      <c r="G297" s="252"/>
      <c r="H297" s="252"/>
      <c r="I297" s="252"/>
      <c r="J297" s="252"/>
      <c r="K297" s="252"/>
      <c r="L297" s="252"/>
      <c r="M297" s="253"/>
      <c r="N297" s="253"/>
      <c r="O297" s="253"/>
      <c r="P297" s="253"/>
      <c r="Q297" s="253"/>
      <c r="R297" s="254"/>
      <c r="S297" s="255"/>
      <c r="T297" s="252"/>
      <c r="U297" s="252"/>
      <c r="V297" s="252"/>
      <c r="W297" s="252"/>
      <c r="X297" s="252"/>
      <c r="Y297" s="252"/>
      <c r="Z297" s="253"/>
      <c r="AA297" s="253"/>
      <c r="AB297" s="253"/>
      <c r="AC297" s="253"/>
      <c r="AD297" s="253"/>
      <c r="AE297" s="253"/>
      <c r="AF297" s="253"/>
      <c r="AG297" s="253"/>
      <c r="AH297" s="252"/>
    </row>
    <row r="298" spans="3:34" x14ac:dyDescent="0.2">
      <c r="C298" s="252"/>
      <c r="D298" s="252"/>
      <c r="E298" s="252"/>
      <c r="F298" s="252"/>
      <c r="G298" s="252"/>
      <c r="H298" s="252"/>
      <c r="I298" s="252"/>
      <c r="J298" s="252"/>
      <c r="K298" s="252"/>
      <c r="L298" s="252"/>
      <c r="M298" s="253"/>
      <c r="N298" s="253"/>
      <c r="O298" s="253"/>
      <c r="P298" s="253"/>
      <c r="Q298" s="253"/>
      <c r="R298" s="254"/>
      <c r="S298" s="255"/>
      <c r="T298" s="252"/>
      <c r="U298" s="252"/>
      <c r="V298" s="252"/>
      <c r="W298" s="252"/>
      <c r="X298" s="252"/>
      <c r="Y298" s="252"/>
      <c r="Z298" s="253"/>
      <c r="AA298" s="253"/>
      <c r="AB298" s="253"/>
      <c r="AC298" s="253"/>
      <c r="AD298" s="253"/>
      <c r="AE298" s="253"/>
      <c r="AF298" s="253"/>
      <c r="AG298" s="253"/>
      <c r="AH298" s="252"/>
    </row>
    <row r="299" spans="3:34" x14ac:dyDescent="0.2">
      <c r="C299" s="252"/>
      <c r="D299" s="252"/>
      <c r="E299" s="252"/>
      <c r="F299" s="252"/>
      <c r="G299" s="252"/>
      <c r="H299" s="252"/>
      <c r="I299" s="252"/>
      <c r="J299" s="252"/>
      <c r="K299" s="252"/>
      <c r="L299" s="252"/>
      <c r="M299" s="253"/>
      <c r="N299" s="253"/>
      <c r="O299" s="253"/>
      <c r="P299" s="253"/>
      <c r="Q299" s="253"/>
      <c r="R299" s="254"/>
      <c r="S299" s="255"/>
      <c r="T299" s="252"/>
      <c r="U299" s="252"/>
      <c r="V299" s="252"/>
      <c r="W299" s="252"/>
      <c r="X299" s="252"/>
      <c r="Y299" s="252"/>
      <c r="Z299" s="253"/>
      <c r="AA299" s="253"/>
      <c r="AB299" s="253"/>
      <c r="AC299" s="253"/>
      <c r="AD299" s="253"/>
      <c r="AE299" s="253"/>
      <c r="AF299" s="253"/>
      <c r="AG299" s="253"/>
      <c r="AH299" s="252"/>
    </row>
    <row r="300" spans="3:34" x14ac:dyDescent="0.2">
      <c r="C300" s="252"/>
      <c r="D300" s="252"/>
      <c r="E300" s="252"/>
      <c r="F300" s="252"/>
      <c r="G300" s="252"/>
      <c r="H300" s="252"/>
      <c r="I300" s="252"/>
      <c r="J300" s="252"/>
      <c r="K300" s="252"/>
      <c r="L300" s="252"/>
      <c r="M300" s="253"/>
      <c r="N300" s="253"/>
      <c r="O300" s="253"/>
      <c r="P300" s="253"/>
      <c r="Q300" s="253"/>
      <c r="R300" s="254"/>
      <c r="S300" s="255"/>
      <c r="T300" s="252"/>
      <c r="U300" s="252"/>
      <c r="V300" s="252"/>
      <c r="W300" s="252"/>
      <c r="X300" s="252"/>
      <c r="Y300" s="252"/>
      <c r="Z300" s="253"/>
      <c r="AA300" s="253"/>
      <c r="AB300" s="253"/>
      <c r="AC300" s="253"/>
      <c r="AD300" s="253"/>
      <c r="AE300" s="253"/>
      <c r="AF300" s="253"/>
      <c r="AG300" s="253"/>
      <c r="AH300" s="252"/>
    </row>
    <row r="301" spans="3:34" x14ac:dyDescent="0.2">
      <c r="C301" s="252"/>
      <c r="D301" s="252"/>
      <c r="E301" s="252"/>
      <c r="F301" s="252"/>
      <c r="G301" s="252"/>
      <c r="H301" s="252"/>
      <c r="I301" s="252"/>
      <c r="J301" s="252"/>
      <c r="K301" s="252"/>
      <c r="L301" s="252"/>
      <c r="M301" s="253"/>
      <c r="N301" s="253"/>
      <c r="O301" s="253"/>
      <c r="P301" s="253"/>
      <c r="Q301" s="253"/>
      <c r="R301" s="254"/>
      <c r="S301" s="255"/>
      <c r="T301" s="252"/>
      <c r="U301" s="252"/>
      <c r="V301" s="252"/>
      <c r="W301" s="252"/>
      <c r="X301" s="252"/>
      <c r="Y301" s="252"/>
      <c r="Z301" s="253"/>
      <c r="AA301" s="253"/>
      <c r="AB301" s="253"/>
      <c r="AC301" s="253"/>
      <c r="AD301" s="253"/>
      <c r="AE301" s="253"/>
      <c r="AF301" s="253"/>
      <c r="AG301" s="253"/>
      <c r="AH301" s="252"/>
    </row>
    <row r="302" spans="3:34" x14ac:dyDescent="0.2">
      <c r="C302" s="252"/>
      <c r="D302" s="252"/>
      <c r="E302" s="252"/>
      <c r="F302" s="252"/>
      <c r="G302" s="252"/>
      <c r="H302" s="252"/>
      <c r="I302" s="252"/>
      <c r="J302" s="252"/>
      <c r="K302" s="252"/>
      <c r="L302" s="252"/>
      <c r="M302" s="253"/>
      <c r="N302" s="253"/>
      <c r="O302" s="253"/>
      <c r="P302" s="253"/>
      <c r="Q302" s="253"/>
      <c r="R302" s="254"/>
      <c r="S302" s="255"/>
      <c r="T302" s="252"/>
      <c r="U302" s="252"/>
      <c r="V302" s="252"/>
      <c r="W302" s="252"/>
      <c r="X302" s="252"/>
      <c r="Y302" s="252"/>
      <c r="Z302" s="253"/>
      <c r="AA302" s="253"/>
      <c r="AB302" s="253"/>
      <c r="AC302" s="253"/>
      <c r="AD302" s="253"/>
      <c r="AE302" s="253"/>
      <c r="AF302" s="253"/>
      <c r="AG302" s="253"/>
      <c r="AH302" s="252"/>
    </row>
    <row r="303" spans="3:34" x14ac:dyDescent="0.2">
      <c r="C303" s="252"/>
      <c r="D303" s="252"/>
      <c r="E303" s="252"/>
      <c r="F303" s="252"/>
      <c r="G303" s="252"/>
      <c r="H303" s="252"/>
      <c r="I303" s="252"/>
      <c r="J303" s="252"/>
      <c r="K303" s="252"/>
      <c r="L303" s="252"/>
      <c r="M303" s="253"/>
      <c r="N303" s="253"/>
      <c r="O303" s="253"/>
      <c r="P303" s="253"/>
      <c r="Q303" s="253"/>
      <c r="R303" s="254"/>
      <c r="S303" s="255"/>
      <c r="T303" s="252"/>
      <c r="U303" s="252"/>
      <c r="V303" s="252"/>
      <c r="W303" s="252"/>
      <c r="X303" s="252"/>
      <c r="Y303" s="252"/>
      <c r="Z303" s="253"/>
      <c r="AA303" s="253"/>
      <c r="AB303" s="253"/>
      <c r="AC303" s="253"/>
      <c r="AD303" s="253"/>
      <c r="AE303" s="253"/>
      <c r="AF303" s="253"/>
      <c r="AG303" s="253"/>
      <c r="AH303" s="252"/>
    </row>
    <row r="304" spans="3:34" x14ac:dyDescent="0.2">
      <c r="C304" s="252"/>
      <c r="D304" s="252"/>
      <c r="E304" s="252"/>
      <c r="F304" s="252"/>
      <c r="G304" s="252"/>
      <c r="H304" s="252"/>
      <c r="I304" s="252"/>
      <c r="J304" s="252"/>
      <c r="K304" s="252"/>
      <c r="L304" s="252"/>
      <c r="M304" s="253"/>
      <c r="N304" s="253"/>
      <c r="O304" s="253"/>
      <c r="P304" s="253"/>
      <c r="Q304" s="253"/>
      <c r="R304" s="254"/>
      <c r="S304" s="255"/>
      <c r="T304" s="252"/>
      <c r="U304" s="252"/>
      <c r="V304" s="252"/>
      <c r="W304" s="252"/>
      <c r="X304" s="252"/>
      <c r="Y304" s="252"/>
      <c r="Z304" s="253"/>
      <c r="AA304" s="253"/>
      <c r="AB304" s="253"/>
      <c r="AC304" s="253"/>
      <c r="AD304" s="253"/>
      <c r="AE304" s="253"/>
      <c r="AF304" s="253"/>
      <c r="AG304" s="253"/>
      <c r="AH304" s="252"/>
    </row>
    <row r="305" spans="3:34" x14ac:dyDescent="0.2">
      <c r="C305" s="252"/>
      <c r="D305" s="252"/>
      <c r="E305" s="252"/>
      <c r="F305" s="252"/>
      <c r="G305" s="252"/>
      <c r="H305" s="252"/>
      <c r="I305" s="252"/>
      <c r="J305" s="252"/>
      <c r="K305" s="252"/>
      <c r="L305" s="252"/>
      <c r="M305" s="253"/>
      <c r="N305" s="253"/>
      <c r="O305" s="253"/>
      <c r="P305" s="253"/>
      <c r="Q305" s="253"/>
      <c r="R305" s="254"/>
      <c r="S305" s="255"/>
      <c r="T305" s="252"/>
      <c r="U305" s="252"/>
      <c r="V305" s="252"/>
      <c r="W305" s="252"/>
      <c r="X305" s="252"/>
      <c r="Y305" s="252"/>
      <c r="Z305" s="253"/>
      <c r="AA305" s="253"/>
      <c r="AB305" s="253"/>
      <c r="AC305" s="253"/>
      <c r="AD305" s="253"/>
      <c r="AE305" s="253"/>
      <c r="AF305" s="253"/>
      <c r="AG305" s="253"/>
      <c r="AH305" s="252"/>
    </row>
    <row r="306" spans="3:34" x14ac:dyDescent="0.2">
      <c r="C306" s="252"/>
      <c r="D306" s="252"/>
      <c r="E306" s="252"/>
      <c r="F306" s="252"/>
      <c r="G306" s="252"/>
      <c r="H306" s="252"/>
      <c r="I306" s="252"/>
      <c r="J306" s="252"/>
      <c r="K306" s="252"/>
      <c r="L306" s="252"/>
      <c r="M306" s="253"/>
      <c r="N306" s="253"/>
      <c r="O306" s="253"/>
      <c r="P306" s="253"/>
      <c r="Q306" s="253"/>
      <c r="R306" s="254"/>
      <c r="S306" s="255"/>
      <c r="T306" s="252"/>
      <c r="U306" s="252"/>
      <c r="V306" s="252"/>
      <c r="W306" s="252"/>
      <c r="X306" s="252"/>
      <c r="Y306" s="252"/>
      <c r="Z306" s="253"/>
      <c r="AA306" s="253"/>
      <c r="AB306" s="253"/>
      <c r="AC306" s="253"/>
      <c r="AD306" s="253"/>
      <c r="AE306" s="253"/>
      <c r="AF306" s="253"/>
      <c r="AG306" s="253"/>
      <c r="AH306" s="252"/>
    </row>
    <row r="307" spans="3:34" x14ac:dyDescent="0.2">
      <c r="C307" s="252"/>
      <c r="D307" s="252"/>
      <c r="E307" s="252"/>
      <c r="F307" s="252"/>
      <c r="G307" s="252"/>
      <c r="H307" s="252"/>
      <c r="I307" s="252"/>
      <c r="J307" s="252"/>
      <c r="K307" s="252"/>
      <c r="L307" s="252"/>
      <c r="M307" s="253"/>
      <c r="N307" s="253"/>
      <c r="O307" s="253"/>
      <c r="P307" s="253"/>
      <c r="Q307" s="253"/>
      <c r="R307" s="254"/>
      <c r="S307" s="255"/>
      <c r="T307" s="252"/>
      <c r="U307" s="252"/>
      <c r="V307" s="252"/>
      <c r="W307" s="252"/>
      <c r="X307" s="252"/>
      <c r="Y307" s="252"/>
      <c r="Z307" s="253"/>
      <c r="AA307" s="253"/>
      <c r="AB307" s="253"/>
      <c r="AC307" s="253"/>
      <c r="AD307" s="253"/>
      <c r="AE307" s="253"/>
      <c r="AF307" s="253"/>
      <c r="AG307" s="253"/>
      <c r="AH307" s="252"/>
    </row>
    <row r="308" spans="3:34" x14ac:dyDescent="0.2">
      <c r="C308" s="252"/>
      <c r="D308" s="252"/>
      <c r="E308" s="252"/>
      <c r="F308" s="252"/>
      <c r="G308" s="252"/>
      <c r="H308" s="252"/>
      <c r="I308" s="252"/>
      <c r="J308" s="252"/>
      <c r="K308" s="252"/>
      <c r="L308" s="252"/>
      <c r="M308" s="253"/>
      <c r="N308" s="253"/>
      <c r="O308" s="253"/>
      <c r="P308" s="253"/>
      <c r="Q308" s="253"/>
      <c r="R308" s="254"/>
      <c r="S308" s="255"/>
      <c r="T308" s="252"/>
      <c r="U308" s="252"/>
      <c r="V308" s="252"/>
      <c r="W308" s="252"/>
      <c r="X308" s="252"/>
      <c r="Y308" s="252"/>
      <c r="Z308" s="253"/>
      <c r="AA308" s="253"/>
      <c r="AB308" s="253"/>
      <c r="AC308" s="253"/>
      <c r="AD308" s="253"/>
      <c r="AE308" s="253"/>
      <c r="AF308" s="253"/>
      <c r="AG308" s="253"/>
      <c r="AH308" s="252"/>
    </row>
    <row r="309" spans="3:34" x14ac:dyDescent="0.2">
      <c r="C309" s="252"/>
      <c r="D309" s="252"/>
      <c r="E309" s="252"/>
      <c r="F309" s="252"/>
      <c r="G309" s="252"/>
      <c r="H309" s="252"/>
      <c r="I309" s="252"/>
      <c r="J309" s="252"/>
      <c r="K309" s="252"/>
      <c r="L309" s="252"/>
      <c r="M309" s="253"/>
      <c r="N309" s="253"/>
      <c r="O309" s="253"/>
      <c r="P309" s="253"/>
      <c r="Q309" s="253"/>
      <c r="R309" s="254"/>
      <c r="S309" s="255"/>
      <c r="T309" s="252"/>
      <c r="U309" s="252"/>
      <c r="V309" s="252"/>
      <c r="W309" s="252"/>
      <c r="X309" s="252"/>
      <c r="Y309" s="252"/>
      <c r="Z309" s="253"/>
      <c r="AA309" s="253"/>
      <c r="AB309" s="253"/>
      <c r="AC309" s="253"/>
      <c r="AD309" s="253"/>
      <c r="AE309" s="253"/>
      <c r="AF309" s="253"/>
      <c r="AG309" s="253"/>
      <c r="AH309" s="252"/>
    </row>
    <row r="310" spans="3:34" x14ac:dyDescent="0.2">
      <c r="C310" s="252"/>
      <c r="D310" s="252"/>
      <c r="E310" s="252"/>
      <c r="F310" s="252"/>
      <c r="G310" s="252"/>
      <c r="H310" s="252"/>
      <c r="I310" s="252"/>
      <c r="J310" s="252"/>
      <c r="K310" s="252"/>
      <c r="L310" s="252"/>
      <c r="M310" s="253"/>
      <c r="N310" s="253"/>
      <c r="O310" s="253"/>
      <c r="P310" s="253"/>
      <c r="Q310" s="253"/>
      <c r="R310" s="254"/>
      <c r="S310" s="255"/>
      <c r="T310" s="252"/>
      <c r="U310" s="252"/>
      <c r="V310" s="252"/>
      <c r="W310" s="252"/>
      <c r="X310" s="252"/>
      <c r="Y310" s="252"/>
      <c r="Z310" s="253"/>
      <c r="AA310" s="253"/>
      <c r="AB310" s="253"/>
      <c r="AC310" s="253"/>
      <c r="AD310" s="253"/>
      <c r="AE310" s="253"/>
      <c r="AF310" s="253"/>
      <c r="AG310" s="253"/>
      <c r="AH310" s="252"/>
    </row>
    <row r="311" spans="3:34" x14ac:dyDescent="0.2">
      <c r="C311" s="252"/>
      <c r="D311" s="252"/>
      <c r="E311" s="252"/>
      <c r="F311" s="252"/>
      <c r="G311" s="252"/>
      <c r="H311" s="252"/>
      <c r="I311" s="252"/>
      <c r="J311" s="252"/>
      <c r="K311" s="252"/>
      <c r="L311" s="252"/>
      <c r="M311" s="253"/>
      <c r="N311" s="253"/>
      <c r="O311" s="253"/>
      <c r="P311" s="253"/>
      <c r="Q311" s="253"/>
      <c r="R311" s="254"/>
      <c r="S311" s="255"/>
      <c r="T311" s="252"/>
      <c r="U311" s="252"/>
      <c r="V311" s="252"/>
      <c r="W311" s="252"/>
      <c r="X311" s="252"/>
      <c r="Y311" s="252"/>
      <c r="Z311" s="253"/>
      <c r="AA311" s="253"/>
      <c r="AB311" s="253"/>
      <c r="AC311" s="253"/>
      <c r="AD311" s="253"/>
      <c r="AE311" s="253"/>
      <c r="AF311" s="253"/>
      <c r="AG311" s="253"/>
      <c r="AH311" s="252"/>
    </row>
    <row r="312" spans="3:34" x14ac:dyDescent="0.2">
      <c r="C312" s="252"/>
      <c r="D312" s="252"/>
      <c r="E312" s="252"/>
      <c r="F312" s="252"/>
      <c r="G312" s="252"/>
      <c r="H312" s="252"/>
      <c r="I312" s="252"/>
      <c r="J312" s="252"/>
      <c r="K312" s="252"/>
      <c r="L312" s="252"/>
      <c r="M312" s="253"/>
      <c r="N312" s="253"/>
      <c r="O312" s="253"/>
      <c r="P312" s="253"/>
      <c r="Q312" s="253"/>
      <c r="R312" s="254"/>
      <c r="S312" s="255"/>
      <c r="T312" s="252"/>
      <c r="U312" s="252"/>
      <c r="V312" s="252"/>
      <c r="W312" s="252"/>
      <c r="X312" s="252"/>
      <c r="Y312" s="252"/>
      <c r="Z312" s="253"/>
      <c r="AA312" s="253"/>
      <c r="AB312" s="253"/>
      <c r="AC312" s="253"/>
      <c r="AD312" s="253"/>
      <c r="AE312" s="253"/>
      <c r="AF312" s="253"/>
      <c r="AG312" s="253"/>
      <c r="AH312" s="252"/>
    </row>
    <row r="313" spans="3:34" x14ac:dyDescent="0.2">
      <c r="C313" s="252"/>
      <c r="D313" s="252"/>
      <c r="E313" s="252"/>
      <c r="F313" s="252"/>
      <c r="G313" s="252"/>
      <c r="H313" s="252"/>
      <c r="I313" s="252"/>
      <c r="J313" s="252"/>
      <c r="K313" s="252"/>
      <c r="L313" s="252"/>
      <c r="M313" s="253"/>
      <c r="N313" s="253"/>
      <c r="O313" s="253"/>
      <c r="P313" s="253"/>
      <c r="Q313" s="253"/>
      <c r="R313" s="254"/>
      <c r="S313" s="255"/>
      <c r="T313" s="252"/>
      <c r="U313" s="252"/>
      <c r="V313" s="252"/>
      <c r="W313" s="252"/>
      <c r="X313" s="252"/>
      <c r="Y313" s="252"/>
      <c r="Z313" s="253"/>
      <c r="AA313" s="253"/>
      <c r="AB313" s="253"/>
      <c r="AC313" s="253"/>
      <c r="AD313" s="253"/>
      <c r="AE313" s="253"/>
      <c r="AF313" s="253"/>
      <c r="AG313" s="253"/>
      <c r="AH313" s="252"/>
    </row>
    <row r="314" spans="3:34" x14ac:dyDescent="0.2">
      <c r="C314" s="252"/>
      <c r="D314" s="252"/>
      <c r="E314" s="252"/>
      <c r="F314" s="252"/>
      <c r="G314" s="252"/>
      <c r="H314" s="252"/>
      <c r="I314" s="252"/>
      <c r="J314" s="252"/>
      <c r="K314" s="252"/>
      <c r="L314" s="252"/>
      <c r="M314" s="253"/>
      <c r="N314" s="253"/>
      <c r="O314" s="253"/>
      <c r="P314" s="253"/>
      <c r="Q314" s="253"/>
      <c r="R314" s="254"/>
      <c r="S314" s="255"/>
      <c r="T314" s="252"/>
      <c r="U314" s="252"/>
      <c r="V314" s="252"/>
      <c r="W314" s="252"/>
      <c r="X314" s="252"/>
      <c r="Y314" s="252"/>
      <c r="Z314" s="253"/>
      <c r="AA314" s="253"/>
      <c r="AB314" s="253"/>
      <c r="AC314" s="253"/>
      <c r="AD314" s="253"/>
      <c r="AE314" s="253"/>
      <c r="AF314" s="253"/>
      <c r="AG314" s="253"/>
      <c r="AH314" s="252"/>
    </row>
    <row r="315" spans="3:34" x14ac:dyDescent="0.2">
      <c r="C315" s="252"/>
      <c r="D315" s="252"/>
      <c r="E315" s="252"/>
      <c r="F315" s="252"/>
      <c r="G315" s="252"/>
      <c r="H315" s="252"/>
      <c r="I315" s="252"/>
      <c r="J315" s="252"/>
      <c r="K315" s="252"/>
      <c r="L315" s="252"/>
      <c r="M315" s="253"/>
      <c r="N315" s="253"/>
      <c r="O315" s="253"/>
      <c r="P315" s="253"/>
      <c r="Q315" s="253"/>
      <c r="R315" s="254"/>
      <c r="S315" s="255"/>
      <c r="T315" s="252"/>
      <c r="U315" s="252"/>
      <c r="V315" s="252"/>
      <c r="W315" s="252"/>
      <c r="X315" s="252"/>
      <c r="Y315" s="252"/>
      <c r="Z315" s="253"/>
      <c r="AA315" s="253"/>
      <c r="AB315" s="253"/>
      <c r="AC315" s="253"/>
      <c r="AD315" s="253"/>
      <c r="AE315" s="253"/>
      <c r="AF315" s="253"/>
      <c r="AG315" s="253"/>
      <c r="AH315" s="252"/>
    </row>
    <row r="316" spans="3:34" x14ac:dyDescent="0.2">
      <c r="C316" s="252"/>
      <c r="D316" s="252"/>
      <c r="E316" s="252"/>
      <c r="F316" s="252"/>
      <c r="G316" s="252"/>
      <c r="H316" s="252"/>
      <c r="I316" s="252"/>
      <c r="J316" s="252"/>
      <c r="K316" s="252"/>
      <c r="L316" s="252"/>
      <c r="M316" s="253"/>
      <c r="N316" s="253"/>
      <c r="O316" s="253"/>
      <c r="P316" s="253"/>
      <c r="Q316" s="253"/>
      <c r="R316" s="254"/>
      <c r="S316" s="255"/>
      <c r="T316" s="252"/>
      <c r="U316" s="252"/>
      <c r="V316" s="252"/>
      <c r="W316" s="252"/>
      <c r="X316" s="252"/>
      <c r="Y316" s="252"/>
      <c r="Z316" s="253"/>
      <c r="AA316" s="253"/>
      <c r="AB316" s="253"/>
      <c r="AC316" s="253"/>
      <c r="AD316" s="253"/>
      <c r="AE316" s="253"/>
      <c r="AF316" s="253"/>
      <c r="AG316" s="253"/>
      <c r="AH316" s="252"/>
    </row>
    <row r="317" spans="3:34" x14ac:dyDescent="0.2">
      <c r="C317" s="252"/>
      <c r="D317" s="252"/>
      <c r="E317" s="252"/>
      <c r="F317" s="252"/>
      <c r="G317" s="252"/>
      <c r="H317" s="252"/>
      <c r="I317" s="252"/>
      <c r="J317" s="252"/>
      <c r="K317" s="252"/>
      <c r="L317" s="252"/>
      <c r="M317" s="253"/>
      <c r="N317" s="253"/>
      <c r="O317" s="253"/>
      <c r="P317" s="253"/>
      <c r="Q317" s="253"/>
      <c r="R317" s="254"/>
      <c r="S317" s="255"/>
      <c r="T317" s="252"/>
      <c r="U317" s="252"/>
      <c r="V317" s="252"/>
      <c r="W317" s="252"/>
      <c r="X317" s="252"/>
      <c r="Y317" s="252"/>
      <c r="Z317" s="253"/>
      <c r="AA317" s="253"/>
      <c r="AB317" s="253"/>
      <c r="AC317" s="253"/>
      <c r="AD317" s="253"/>
      <c r="AE317" s="253"/>
      <c r="AF317" s="253"/>
      <c r="AG317" s="253"/>
      <c r="AH317" s="252"/>
    </row>
    <row r="318" spans="3:34" x14ac:dyDescent="0.2">
      <c r="C318" s="252"/>
      <c r="D318" s="252"/>
      <c r="E318" s="252"/>
      <c r="F318" s="252"/>
      <c r="G318" s="252"/>
      <c r="H318" s="252"/>
      <c r="I318" s="252"/>
      <c r="J318" s="252"/>
      <c r="K318" s="252"/>
      <c r="L318" s="252"/>
      <c r="M318" s="253"/>
      <c r="N318" s="253"/>
      <c r="O318" s="253"/>
      <c r="P318" s="253"/>
      <c r="Q318" s="253"/>
      <c r="R318" s="254"/>
      <c r="S318" s="255"/>
      <c r="T318" s="252"/>
      <c r="U318" s="252"/>
      <c r="V318" s="252"/>
      <c r="W318" s="252"/>
      <c r="X318" s="252"/>
      <c r="Y318" s="252"/>
      <c r="Z318" s="253"/>
      <c r="AA318" s="253"/>
      <c r="AB318" s="253"/>
      <c r="AC318" s="253"/>
      <c r="AD318" s="253"/>
      <c r="AE318" s="253"/>
      <c r="AF318" s="253"/>
      <c r="AG318" s="253"/>
      <c r="AH318" s="252"/>
    </row>
    <row r="319" spans="3:34" x14ac:dyDescent="0.2">
      <c r="C319" s="252"/>
      <c r="D319" s="252"/>
      <c r="E319" s="252"/>
      <c r="F319" s="252"/>
      <c r="G319" s="252"/>
      <c r="H319" s="252"/>
      <c r="I319" s="252"/>
      <c r="J319" s="252"/>
      <c r="K319" s="252"/>
      <c r="L319" s="252"/>
      <c r="M319" s="253"/>
      <c r="N319" s="253"/>
      <c r="O319" s="253"/>
      <c r="P319" s="253"/>
      <c r="Q319" s="253"/>
      <c r="R319" s="254"/>
      <c r="S319" s="255"/>
      <c r="T319" s="252"/>
      <c r="U319" s="252"/>
      <c r="V319" s="252"/>
      <c r="W319" s="252"/>
      <c r="X319" s="252"/>
      <c r="Y319" s="252"/>
      <c r="Z319" s="253"/>
      <c r="AA319" s="253"/>
      <c r="AB319" s="253"/>
      <c r="AC319" s="253"/>
      <c r="AD319" s="253"/>
      <c r="AE319" s="253"/>
      <c r="AF319" s="253"/>
      <c r="AG319" s="253"/>
      <c r="AH319" s="252"/>
    </row>
    <row r="320" spans="3:34" x14ac:dyDescent="0.2">
      <c r="C320" s="252"/>
      <c r="D320" s="252"/>
      <c r="E320" s="252"/>
      <c r="F320" s="252"/>
      <c r="G320" s="252"/>
      <c r="H320" s="252"/>
      <c r="I320" s="252"/>
      <c r="J320" s="252"/>
      <c r="K320" s="252"/>
      <c r="L320" s="252"/>
      <c r="M320" s="253"/>
      <c r="N320" s="253"/>
      <c r="O320" s="253"/>
      <c r="P320" s="253"/>
      <c r="Q320" s="253"/>
      <c r="R320" s="254"/>
      <c r="S320" s="255"/>
      <c r="T320" s="252"/>
      <c r="U320" s="252"/>
      <c r="V320" s="252"/>
      <c r="W320" s="252"/>
      <c r="X320" s="252"/>
      <c r="Y320" s="252"/>
      <c r="Z320" s="253"/>
      <c r="AA320" s="253"/>
      <c r="AB320" s="253"/>
      <c r="AC320" s="253"/>
      <c r="AD320" s="253"/>
      <c r="AE320" s="253"/>
      <c r="AF320" s="253"/>
      <c r="AG320" s="253"/>
      <c r="AH320" s="252"/>
    </row>
    <row r="321" spans="3:34" x14ac:dyDescent="0.2">
      <c r="C321" s="252"/>
      <c r="D321" s="252"/>
      <c r="E321" s="252"/>
      <c r="F321" s="252"/>
      <c r="G321" s="252"/>
      <c r="H321" s="252"/>
      <c r="I321" s="252"/>
      <c r="J321" s="252"/>
      <c r="K321" s="252"/>
      <c r="L321" s="252"/>
      <c r="M321" s="253"/>
      <c r="N321" s="253"/>
      <c r="O321" s="253"/>
      <c r="P321" s="253"/>
      <c r="Q321" s="253"/>
      <c r="R321" s="254"/>
      <c r="S321" s="255"/>
      <c r="T321" s="252"/>
      <c r="U321" s="252"/>
      <c r="V321" s="252"/>
      <c r="W321" s="252"/>
      <c r="X321" s="252"/>
      <c r="Y321" s="252"/>
      <c r="Z321" s="253"/>
      <c r="AA321" s="253"/>
      <c r="AB321" s="253"/>
      <c r="AC321" s="253"/>
      <c r="AD321" s="253"/>
      <c r="AE321" s="253"/>
      <c r="AF321" s="253"/>
      <c r="AG321" s="253"/>
      <c r="AH321" s="252"/>
    </row>
    <row r="322" spans="3:34" x14ac:dyDescent="0.2">
      <c r="C322" s="252"/>
      <c r="D322" s="252"/>
      <c r="E322" s="252"/>
      <c r="F322" s="252"/>
      <c r="G322" s="252"/>
      <c r="H322" s="252"/>
      <c r="I322" s="252"/>
      <c r="J322" s="252"/>
      <c r="K322" s="252"/>
      <c r="L322" s="252"/>
      <c r="M322" s="253"/>
      <c r="N322" s="253"/>
      <c r="O322" s="253"/>
      <c r="P322" s="253"/>
      <c r="Q322" s="253"/>
      <c r="R322" s="254"/>
      <c r="S322" s="255"/>
      <c r="T322" s="252"/>
      <c r="U322" s="252"/>
      <c r="V322" s="252"/>
      <c r="W322" s="252"/>
      <c r="X322" s="252"/>
      <c r="Y322" s="252"/>
      <c r="Z322" s="253"/>
      <c r="AA322" s="253"/>
      <c r="AB322" s="253"/>
      <c r="AC322" s="253"/>
      <c r="AD322" s="253"/>
      <c r="AE322" s="253"/>
      <c r="AF322" s="253"/>
      <c r="AG322" s="253"/>
      <c r="AH322" s="252"/>
    </row>
    <row r="323" spans="3:34" x14ac:dyDescent="0.2">
      <c r="C323" s="252"/>
      <c r="D323" s="252"/>
      <c r="E323" s="252"/>
      <c r="F323" s="252"/>
      <c r="G323" s="252"/>
      <c r="H323" s="252"/>
      <c r="I323" s="252"/>
      <c r="J323" s="252"/>
      <c r="K323" s="252"/>
      <c r="L323" s="252"/>
      <c r="M323" s="253"/>
      <c r="N323" s="253"/>
      <c r="O323" s="253"/>
      <c r="P323" s="253"/>
      <c r="Q323" s="253"/>
      <c r="R323" s="254"/>
      <c r="S323" s="255"/>
      <c r="T323" s="252"/>
      <c r="U323" s="252"/>
      <c r="V323" s="252"/>
      <c r="W323" s="252"/>
      <c r="X323" s="252"/>
      <c r="Y323" s="252"/>
      <c r="Z323" s="253"/>
      <c r="AA323" s="253"/>
      <c r="AB323" s="253"/>
      <c r="AC323" s="253"/>
      <c r="AD323" s="253"/>
      <c r="AE323" s="253"/>
      <c r="AF323" s="253"/>
      <c r="AG323" s="253"/>
      <c r="AH323" s="252"/>
    </row>
    <row r="324" spans="3:34" x14ac:dyDescent="0.2">
      <c r="C324" s="252"/>
      <c r="D324" s="252"/>
      <c r="E324" s="252"/>
      <c r="F324" s="252"/>
      <c r="G324" s="252"/>
      <c r="H324" s="252"/>
      <c r="I324" s="252"/>
      <c r="J324" s="252"/>
      <c r="K324" s="252"/>
      <c r="L324" s="252"/>
      <c r="M324" s="253"/>
      <c r="N324" s="253"/>
      <c r="O324" s="253"/>
      <c r="P324" s="253"/>
      <c r="Q324" s="253"/>
      <c r="R324" s="254"/>
      <c r="S324" s="255"/>
      <c r="T324" s="252"/>
      <c r="U324" s="252"/>
      <c r="V324" s="252"/>
      <c r="W324" s="252"/>
      <c r="X324" s="252"/>
      <c r="Y324" s="252"/>
      <c r="Z324" s="253"/>
      <c r="AA324" s="253"/>
      <c r="AB324" s="253"/>
      <c r="AC324" s="253"/>
      <c r="AD324" s="253"/>
      <c r="AE324" s="253"/>
      <c r="AF324" s="253"/>
      <c r="AG324" s="253"/>
      <c r="AH324" s="252"/>
    </row>
    <row r="325" spans="3:34" x14ac:dyDescent="0.2">
      <c r="C325" s="252"/>
      <c r="D325" s="252"/>
      <c r="E325" s="252"/>
      <c r="F325" s="252"/>
      <c r="G325" s="252"/>
      <c r="H325" s="252"/>
      <c r="I325" s="252"/>
      <c r="J325" s="252"/>
      <c r="K325" s="252"/>
      <c r="L325" s="252"/>
      <c r="M325" s="253"/>
      <c r="N325" s="253"/>
      <c r="O325" s="253"/>
      <c r="P325" s="253"/>
      <c r="Q325" s="253"/>
      <c r="R325" s="254"/>
      <c r="S325" s="255"/>
      <c r="T325" s="252"/>
      <c r="U325" s="252"/>
      <c r="V325" s="252"/>
      <c r="W325" s="252"/>
      <c r="X325" s="252"/>
      <c r="Y325" s="252"/>
      <c r="Z325" s="253"/>
      <c r="AA325" s="253"/>
      <c r="AB325" s="253"/>
      <c r="AC325" s="253"/>
      <c r="AD325" s="253"/>
      <c r="AE325" s="253"/>
      <c r="AF325" s="253"/>
      <c r="AG325" s="253"/>
      <c r="AH325" s="252"/>
    </row>
    <row r="326" spans="3:34" x14ac:dyDescent="0.2">
      <c r="C326" s="252"/>
      <c r="D326" s="252"/>
      <c r="E326" s="252"/>
      <c r="F326" s="252"/>
      <c r="G326" s="252"/>
      <c r="H326" s="252"/>
      <c r="I326" s="252"/>
      <c r="J326" s="252"/>
      <c r="K326" s="252"/>
      <c r="L326" s="252"/>
      <c r="M326" s="253"/>
      <c r="N326" s="253"/>
      <c r="O326" s="253"/>
      <c r="P326" s="253"/>
      <c r="Q326" s="253"/>
      <c r="R326" s="254"/>
      <c r="S326" s="255"/>
      <c r="T326" s="252"/>
      <c r="U326" s="252"/>
      <c r="V326" s="252"/>
      <c r="W326" s="252"/>
      <c r="X326" s="252"/>
      <c r="Y326" s="252"/>
      <c r="Z326" s="253"/>
      <c r="AA326" s="253"/>
      <c r="AB326" s="253"/>
      <c r="AC326" s="253"/>
      <c r="AD326" s="253"/>
      <c r="AE326" s="253"/>
      <c r="AF326" s="253"/>
      <c r="AG326" s="253"/>
      <c r="AH326" s="252"/>
    </row>
    <row r="327" spans="3:34" x14ac:dyDescent="0.2">
      <c r="C327" s="252"/>
      <c r="D327" s="252"/>
      <c r="E327" s="252"/>
      <c r="F327" s="252"/>
      <c r="G327" s="252"/>
      <c r="H327" s="252"/>
      <c r="I327" s="252"/>
      <c r="J327" s="252"/>
      <c r="K327" s="252"/>
      <c r="L327" s="252"/>
      <c r="M327" s="253"/>
      <c r="N327" s="253"/>
      <c r="O327" s="253"/>
      <c r="P327" s="253"/>
      <c r="Q327" s="253"/>
      <c r="R327" s="254"/>
      <c r="S327" s="255"/>
      <c r="T327" s="252"/>
      <c r="U327" s="252"/>
      <c r="V327" s="252"/>
      <c r="W327" s="252"/>
      <c r="X327" s="252"/>
      <c r="Y327" s="252"/>
      <c r="Z327" s="253"/>
      <c r="AA327" s="253"/>
      <c r="AB327" s="253"/>
      <c r="AC327" s="253"/>
      <c r="AD327" s="253"/>
      <c r="AE327" s="253"/>
      <c r="AF327" s="253"/>
      <c r="AG327" s="253"/>
      <c r="AH327" s="252"/>
    </row>
    <row r="328" spans="3:34" x14ac:dyDescent="0.2">
      <c r="C328" s="252"/>
      <c r="D328" s="252"/>
      <c r="E328" s="252"/>
      <c r="F328" s="252"/>
      <c r="G328" s="252"/>
      <c r="H328" s="252"/>
      <c r="I328" s="252"/>
      <c r="J328" s="252"/>
      <c r="K328" s="252"/>
      <c r="L328" s="252"/>
      <c r="M328" s="253"/>
      <c r="N328" s="253"/>
      <c r="O328" s="253"/>
      <c r="P328" s="253"/>
      <c r="Q328" s="253"/>
      <c r="R328" s="254"/>
      <c r="S328" s="255"/>
      <c r="T328" s="252"/>
      <c r="U328" s="252"/>
      <c r="V328" s="252"/>
      <c r="W328" s="252"/>
      <c r="X328" s="252"/>
      <c r="Y328" s="252"/>
      <c r="Z328" s="253"/>
      <c r="AA328" s="253"/>
      <c r="AB328" s="253"/>
      <c r="AC328" s="253"/>
      <c r="AD328" s="253"/>
      <c r="AE328" s="253"/>
      <c r="AF328" s="253"/>
      <c r="AG328" s="253"/>
      <c r="AH328" s="252"/>
    </row>
    <row r="329" spans="3:34" x14ac:dyDescent="0.2">
      <c r="C329" s="252"/>
      <c r="D329" s="252"/>
      <c r="E329" s="252"/>
      <c r="F329" s="252"/>
      <c r="G329" s="252"/>
      <c r="H329" s="252"/>
      <c r="I329" s="252"/>
      <c r="J329" s="252"/>
      <c r="K329" s="252"/>
      <c r="L329" s="252"/>
      <c r="M329" s="253"/>
      <c r="N329" s="253"/>
      <c r="O329" s="253"/>
      <c r="P329" s="253"/>
      <c r="Q329" s="253"/>
      <c r="R329" s="254"/>
      <c r="S329" s="255"/>
      <c r="T329" s="252"/>
      <c r="U329" s="252"/>
      <c r="V329" s="252"/>
      <c r="W329" s="252"/>
      <c r="X329" s="252"/>
      <c r="Y329" s="252"/>
      <c r="Z329" s="253"/>
      <c r="AA329" s="253"/>
      <c r="AB329" s="253"/>
      <c r="AC329" s="253"/>
      <c r="AD329" s="253"/>
      <c r="AE329" s="253"/>
      <c r="AF329" s="253"/>
      <c r="AG329" s="253"/>
      <c r="AH329" s="252"/>
    </row>
    <row r="330" spans="3:34" x14ac:dyDescent="0.2">
      <c r="C330" s="252"/>
      <c r="D330" s="252"/>
      <c r="E330" s="252"/>
      <c r="F330" s="252"/>
      <c r="G330" s="252"/>
      <c r="H330" s="252"/>
      <c r="I330" s="252"/>
      <c r="J330" s="252"/>
      <c r="K330" s="252"/>
      <c r="L330" s="252"/>
      <c r="M330" s="253"/>
      <c r="N330" s="253"/>
      <c r="O330" s="253"/>
      <c r="P330" s="253"/>
      <c r="Q330" s="253"/>
      <c r="R330" s="254"/>
      <c r="S330" s="255"/>
      <c r="T330" s="252"/>
      <c r="U330" s="252"/>
      <c r="V330" s="252"/>
      <c r="W330" s="252"/>
      <c r="X330" s="252"/>
      <c r="Y330" s="252"/>
      <c r="Z330" s="253"/>
      <c r="AA330" s="253"/>
      <c r="AB330" s="253"/>
      <c r="AC330" s="253"/>
      <c r="AD330" s="253"/>
      <c r="AE330" s="253"/>
      <c r="AF330" s="253"/>
      <c r="AG330" s="253"/>
      <c r="AH330" s="252"/>
    </row>
    <row r="331" spans="3:34" x14ac:dyDescent="0.2">
      <c r="C331" s="252"/>
      <c r="D331" s="252"/>
      <c r="E331" s="252"/>
      <c r="F331" s="252"/>
      <c r="G331" s="252"/>
      <c r="H331" s="252"/>
      <c r="I331" s="252"/>
      <c r="J331" s="252"/>
      <c r="K331" s="252"/>
      <c r="L331" s="252"/>
      <c r="M331" s="253"/>
      <c r="N331" s="253"/>
      <c r="O331" s="253"/>
      <c r="P331" s="253"/>
      <c r="Q331" s="253"/>
      <c r="R331" s="254"/>
      <c r="S331" s="255"/>
      <c r="T331" s="252"/>
      <c r="U331" s="252"/>
      <c r="V331" s="252"/>
      <c r="W331" s="252"/>
      <c r="X331" s="252"/>
      <c r="Y331" s="252"/>
      <c r="Z331" s="253"/>
      <c r="AA331" s="253"/>
      <c r="AB331" s="253"/>
      <c r="AC331" s="253"/>
      <c r="AD331" s="253"/>
      <c r="AE331" s="253"/>
      <c r="AF331" s="253"/>
      <c r="AG331" s="253"/>
      <c r="AH331" s="252"/>
    </row>
    <row r="332" spans="3:34" x14ac:dyDescent="0.2">
      <c r="C332" s="252"/>
      <c r="D332" s="252"/>
      <c r="E332" s="252"/>
      <c r="F332" s="252"/>
      <c r="G332" s="252"/>
      <c r="H332" s="252"/>
      <c r="I332" s="252"/>
      <c r="J332" s="252"/>
      <c r="K332" s="252"/>
      <c r="L332" s="252"/>
      <c r="M332" s="253"/>
      <c r="N332" s="253"/>
      <c r="O332" s="253"/>
      <c r="P332" s="253"/>
      <c r="Q332" s="253"/>
      <c r="R332" s="254"/>
      <c r="S332" s="255"/>
      <c r="T332" s="252"/>
      <c r="U332" s="252"/>
      <c r="V332" s="252"/>
      <c r="W332" s="252"/>
      <c r="X332" s="252"/>
      <c r="Y332" s="252"/>
      <c r="Z332" s="253"/>
      <c r="AA332" s="253"/>
      <c r="AB332" s="253"/>
      <c r="AC332" s="253"/>
      <c r="AD332" s="253"/>
      <c r="AE332" s="253"/>
      <c r="AF332" s="253"/>
      <c r="AG332" s="253"/>
      <c r="AH332" s="252"/>
    </row>
    <row r="333" spans="3:34" x14ac:dyDescent="0.2">
      <c r="C333" s="252"/>
      <c r="D333" s="252"/>
      <c r="E333" s="252"/>
      <c r="F333" s="252"/>
      <c r="G333" s="252"/>
      <c r="H333" s="252"/>
      <c r="I333" s="252"/>
      <c r="J333" s="252"/>
      <c r="K333" s="252"/>
      <c r="L333" s="252"/>
      <c r="M333" s="253"/>
      <c r="N333" s="253"/>
      <c r="O333" s="253"/>
      <c r="P333" s="253"/>
      <c r="Q333" s="253"/>
      <c r="R333" s="254"/>
      <c r="S333" s="255"/>
      <c r="T333" s="252"/>
      <c r="U333" s="252"/>
      <c r="V333" s="252"/>
      <c r="W333" s="252"/>
      <c r="X333" s="252"/>
      <c r="Y333" s="252"/>
      <c r="Z333" s="253"/>
      <c r="AA333" s="253"/>
      <c r="AB333" s="253"/>
      <c r="AC333" s="253"/>
      <c r="AD333" s="253"/>
      <c r="AE333" s="253"/>
      <c r="AF333" s="253"/>
      <c r="AG333" s="253"/>
      <c r="AH333" s="252"/>
    </row>
    <row r="334" spans="3:34" x14ac:dyDescent="0.2">
      <c r="C334" s="252"/>
      <c r="D334" s="252"/>
      <c r="E334" s="252"/>
      <c r="F334" s="252"/>
      <c r="G334" s="252"/>
      <c r="H334" s="252"/>
      <c r="I334" s="252"/>
      <c r="J334" s="252"/>
      <c r="K334" s="252"/>
      <c r="L334" s="252"/>
      <c r="M334" s="253"/>
      <c r="N334" s="253"/>
      <c r="O334" s="253"/>
      <c r="P334" s="253"/>
      <c r="Q334" s="253"/>
      <c r="R334" s="254"/>
      <c r="S334" s="255"/>
      <c r="T334" s="252"/>
      <c r="U334" s="252"/>
      <c r="V334" s="252"/>
      <c r="W334" s="252"/>
      <c r="X334" s="252"/>
      <c r="Y334" s="252"/>
      <c r="Z334" s="253"/>
      <c r="AA334" s="253"/>
      <c r="AB334" s="253"/>
      <c r="AC334" s="253"/>
      <c r="AD334" s="253"/>
      <c r="AE334" s="253"/>
      <c r="AF334" s="253"/>
      <c r="AG334" s="253"/>
      <c r="AH334" s="252"/>
    </row>
    <row r="335" spans="3:34" x14ac:dyDescent="0.2">
      <c r="C335" s="252"/>
      <c r="D335" s="252"/>
      <c r="E335" s="252"/>
      <c r="F335" s="252"/>
      <c r="G335" s="252"/>
      <c r="H335" s="252"/>
      <c r="I335" s="252"/>
      <c r="J335" s="252"/>
      <c r="K335" s="252"/>
      <c r="L335" s="252"/>
      <c r="M335" s="253"/>
      <c r="N335" s="253"/>
      <c r="O335" s="253"/>
      <c r="P335" s="253"/>
      <c r="Q335" s="253"/>
      <c r="R335" s="254"/>
      <c r="S335" s="255"/>
      <c r="T335" s="252"/>
      <c r="U335" s="252"/>
      <c r="V335" s="252"/>
      <c r="W335" s="252"/>
      <c r="X335" s="252"/>
      <c r="Y335" s="252"/>
      <c r="Z335" s="253"/>
      <c r="AA335" s="253"/>
      <c r="AB335" s="253"/>
      <c r="AC335" s="253"/>
      <c r="AD335" s="253"/>
      <c r="AE335" s="253"/>
      <c r="AF335" s="253"/>
      <c r="AG335" s="253"/>
      <c r="AH335" s="252"/>
    </row>
    <row r="336" spans="3:34" x14ac:dyDescent="0.2">
      <c r="C336" s="252"/>
      <c r="D336" s="252"/>
      <c r="E336" s="252"/>
      <c r="F336" s="252"/>
      <c r="G336" s="252"/>
      <c r="H336" s="252"/>
      <c r="I336" s="252"/>
      <c r="J336" s="252"/>
      <c r="K336" s="252"/>
      <c r="L336" s="252"/>
      <c r="M336" s="253"/>
      <c r="N336" s="253"/>
      <c r="O336" s="253"/>
      <c r="P336" s="253"/>
      <c r="Q336" s="253"/>
      <c r="R336" s="254"/>
      <c r="S336" s="255"/>
      <c r="T336" s="252"/>
      <c r="U336" s="252"/>
      <c r="V336" s="252"/>
      <c r="W336" s="252"/>
      <c r="X336" s="252"/>
      <c r="Y336" s="252"/>
      <c r="Z336" s="253"/>
      <c r="AA336" s="253"/>
      <c r="AB336" s="253"/>
      <c r="AC336" s="253"/>
      <c r="AD336" s="253"/>
      <c r="AE336" s="253"/>
      <c r="AF336" s="253"/>
      <c r="AG336" s="253"/>
      <c r="AH336" s="252"/>
    </row>
    <row r="337" spans="3:34" x14ac:dyDescent="0.2">
      <c r="C337" s="252"/>
      <c r="D337" s="252"/>
      <c r="E337" s="252"/>
      <c r="F337" s="252"/>
      <c r="G337" s="252"/>
      <c r="H337" s="252"/>
      <c r="I337" s="252"/>
      <c r="J337" s="252"/>
      <c r="K337" s="252"/>
      <c r="L337" s="252"/>
      <c r="M337" s="253"/>
      <c r="N337" s="253"/>
      <c r="O337" s="253"/>
      <c r="P337" s="253"/>
      <c r="Q337" s="253"/>
      <c r="R337" s="254"/>
      <c r="S337" s="255"/>
      <c r="T337" s="252"/>
      <c r="U337" s="252"/>
      <c r="V337" s="252"/>
      <c r="W337" s="252"/>
      <c r="X337" s="252"/>
      <c r="Y337" s="252"/>
      <c r="Z337" s="253"/>
      <c r="AA337" s="253"/>
      <c r="AB337" s="253"/>
      <c r="AC337" s="253"/>
      <c r="AD337" s="253"/>
      <c r="AE337" s="253"/>
      <c r="AF337" s="253"/>
      <c r="AG337" s="253"/>
      <c r="AH337" s="252"/>
    </row>
    <row r="338" spans="3:34" x14ac:dyDescent="0.2">
      <c r="C338" s="252"/>
      <c r="D338" s="252"/>
      <c r="E338" s="252"/>
      <c r="F338" s="252"/>
      <c r="G338" s="252"/>
      <c r="H338" s="252"/>
      <c r="I338" s="252"/>
      <c r="J338" s="252"/>
      <c r="K338" s="252"/>
      <c r="L338" s="252"/>
      <c r="M338" s="253"/>
      <c r="N338" s="253"/>
      <c r="O338" s="253"/>
      <c r="P338" s="253"/>
      <c r="Q338" s="253"/>
      <c r="R338" s="254"/>
      <c r="S338" s="255"/>
      <c r="T338" s="252"/>
      <c r="U338" s="252"/>
      <c r="V338" s="252"/>
      <c r="W338" s="252"/>
      <c r="X338" s="252"/>
      <c r="Y338" s="252"/>
      <c r="Z338" s="253"/>
      <c r="AA338" s="253"/>
      <c r="AB338" s="253"/>
      <c r="AC338" s="253"/>
      <c r="AD338" s="253"/>
      <c r="AE338" s="253"/>
      <c r="AF338" s="253"/>
      <c r="AG338" s="253"/>
      <c r="AH338" s="252"/>
    </row>
    <row r="339" spans="3:34" x14ac:dyDescent="0.2">
      <c r="C339" s="252"/>
      <c r="D339" s="252"/>
      <c r="E339" s="252"/>
      <c r="F339" s="252"/>
      <c r="G339" s="252"/>
      <c r="H339" s="252"/>
      <c r="I339" s="252"/>
      <c r="J339" s="252"/>
      <c r="K339" s="252"/>
      <c r="L339" s="252"/>
      <c r="M339" s="253"/>
      <c r="N339" s="253"/>
      <c r="O339" s="253"/>
      <c r="P339" s="253"/>
      <c r="Q339" s="253"/>
      <c r="R339" s="254"/>
      <c r="S339" s="255"/>
      <c r="T339" s="252"/>
      <c r="U339" s="252"/>
      <c r="V339" s="252"/>
      <c r="W339" s="252"/>
      <c r="X339" s="252"/>
      <c r="Y339" s="252"/>
      <c r="Z339" s="253"/>
      <c r="AA339" s="253"/>
      <c r="AB339" s="253"/>
      <c r="AC339" s="253"/>
      <c r="AD339" s="253"/>
      <c r="AE339" s="253"/>
      <c r="AF339" s="253"/>
      <c r="AG339" s="253"/>
      <c r="AH339" s="252"/>
    </row>
    <row r="340" spans="3:34" x14ac:dyDescent="0.2">
      <c r="C340" s="252"/>
      <c r="D340" s="252"/>
      <c r="E340" s="252"/>
      <c r="F340" s="252"/>
      <c r="G340" s="252"/>
      <c r="H340" s="252"/>
      <c r="I340" s="252"/>
      <c r="J340" s="252"/>
      <c r="K340" s="252"/>
      <c r="L340" s="252"/>
      <c r="M340" s="253"/>
      <c r="N340" s="253"/>
      <c r="O340" s="253"/>
      <c r="P340" s="253"/>
      <c r="Q340" s="253"/>
      <c r="R340" s="254"/>
      <c r="S340" s="255"/>
      <c r="T340" s="252"/>
      <c r="U340" s="252"/>
      <c r="V340" s="252"/>
      <c r="W340" s="252"/>
      <c r="X340" s="252"/>
      <c r="Y340" s="252"/>
      <c r="Z340" s="253"/>
      <c r="AA340" s="253"/>
      <c r="AB340" s="253"/>
      <c r="AC340" s="253"/>
      <c r="AD340" s="253"/>
      <c r="AE340" s="253"/>
      <c r="AF340" s="253"/>
      <c r="AG340" s="253"/>
      <c r="AH340" s="252"/>
    </row>
    <row r="341" spans="3:34" x14ac:dyDescent="0.2">
      <c r="C341" s="252"/>
      <c r="D341" s="252"/>
      <c r="E341" s="252"/>
      <c r="F341" s="252"/>
      <c r="G341" s="252"/>
      <c r="H341" s="252"/>
      <c r="I341" s="252"/>
      <c r="J341" s="252"/>
      <c r="K341" s="252"/>
      <c r="L341" s="252"/>
      <c r="M341" s="253"/>
      <c r="N341" s="253"/>
      <c r="O341" s="253"/>
      <c r="P341" s="253"/>
      <c r="Q341" s="253"/>
      <c r="R341" s="254"/>
      <c r="S341" s="255"/>
      <c r="T341" s="252"/>
      <c r="U341" s="252"/>
      <c r="V341" s="252"/>
      <c r="W341" s="252"/>
      <c r="X341" s="252"/>
      <c r="Y341" s="252"/>
      <c r="Z341" s="253"/>
      <c r="AA341" s="253"/>
      <c r="AB341" s="253"/>
      <c r="AC341" s="253"/>
      <c r="AD341" s="253"/>
      <c r="AE341" s="253"/>
      <c r="AF341" s="253"/>
      <c r="AG341" s="253"/>
      <c r="AH341" s="252"/>
    </row>
    <row r="342" spans="3:34" x14ac:dyDescent="0.2">
      <c r="C342" s="252"/>
      <c r="D342" s="252"/>
      <c r="E342" s="252"/>
      <c r="F342" s="252"/>
      <c r="G342" s="252"/>
      <c r="H342" s="252"/>
      <c r="I342" s="252"/>
      <c r="J342" s="252"/>
      <c r="K342" s="252"/>
      <c r="L342" s="252"/>
      <c r="M342" s="253"/>
      <c r="N342" s="253"/>
      <c r="O342" s="253"/>
      <c r="P342" s="253"/>
      <c r="Q342" s="253"/>
      <c r="R342" s="254"/>
      <c r="S342" s="255"/>
      <c r="T342" s="252"/>
      <c r="U342" s="252"/>
      <c r="V342" s="252"/>
      <c r="W342" s="252"/>
      <c r="X342" s="252"/>
      <c r="Y342" s="252"/>
      <c r="Z342" s="253"/>
      <c r="AA342" s="253"/>
      <c r="AB342" s="253"/>
      <c r="AC342" s="253"/>
      <c r="AD342" s="253"/>
      <c r="AE342" s="253"/>
      <c r="AF342" s="253"/>
      <c r="AG342" s="253"/>
      <c r="AH342" s="252"/>
    </row>
    <row r="343" spans="3:34" x14ac:dyDescent="0.2">
      <c r="C343" s="252"/>
      <c r="D343" s="252"/>
      <c r="E343" s="252"/>
      <c r="F343" s="252"/>
      <c r="G343" s="252"/>
      <c r="H343" s="252"/>
      <c r="I343" s="252"/>
      <c r="J343" s="252"/>
      <c r="K343" s="252"/>
      <c r="L343" s="252"/>
      <c r="M343" s="253"/>
      <c r="N343" s="253"/>
      <c r="O343" s="253"/>
      <c r="P343" s="253"/>
      <c r="Q343" s="253"/>
      <c r="R343" s="254"/>
      <c r="S343" s="255"/>
      <c r="T343" s="252"/>
      <c r="U343" s="252"/>
      <c r="V343" s="252"/>
      <c r="W343" s="252"/>
      <c r="X343" s="252"/>
      <c r="Y343" s="252"/>
      <c r="Z343" s="253"/>
      <c r="AA343" s="253"/>
      <c r="AB343" s="253"/>
      <c r="AC343" s="253"/>
      <c r="AD343" s="253"/>
      <c r="AE343" s="253"/>
      <c r="AF343" s="253"/>
      <c r="AG343" s="253"/>
      <c r="AH343" s="252"/>
    </row>
    <row r="344" spans="3:34" x14ac:dyDescent="0.2">
      <c r="C344" s="252"/>
      <c r="D344" s="252"/>
      <c r="E344" s="252"/>
      <c r="F344" s="252"/>
      <c r="G344" s="252"/>
      <c r="H344" s="252"/>
      <c r="I344" s="252"/>
      <c r="J344" s="252"/>
      <c r="K344" s="252"/>
      <c r="L344" s="252"/>
      <c r="M344" s="253"/>
      <c r="N344" s="253"/>
      <c r="O344" s="253"/>
      <c r="P344" s="253"/>
      <c r="Q344" s="253"/>
      <c r="R344" s="254"/>
      <c r="S344" s="255"/>
      <c r="T344" s="252"/>
      <c r="U344" s="252"/>
      <c r="V344" s="252"/>
      <c r="W344" s="252"/>
      <c r="X344" s="252"/>
      <c r="Y344" s="252"/>
      <c r="Z344" s="253"/>
      <c r="AA344" s="253"/>
      <c r="AB344" s="253"/>
      <c r="AC344" s="253"/>
      <c r="AD344" s="253"/>
      <c r="AE344" s="253"/>
      <c r="AF344" s="253"/>
      <c r="AG344" s="253"/>
      <c r="AH344" s="252"/>
    </row>
    <row r="345" spans="3:34" x14ac:dyDescent="0.2">
      <c r="C345" s="252"/>
      <c r="D345" s="252"/>
      <c r="E345" s="252"/>
      <c r="F345" s="252"/>
      <c r="G345" s="252"/>
      <c r="H345" s="252"/>
      <c r="I345" s="252"/>
      <c r="J345" s="252"/>
      <c r="K345" s="252"/>
      <c r="L345" s="252"/>
      <c r="M345" s="253"/>
      <c r="N345" s="253"/>
      <c r="O345" s="253"/>
      <c r="P345" s="253"/>
      <c r="Q345" s="253"/>
      <c r="R345" s="254"/>
      <c r="S345" s="255"/>
      <c r="T345" s="252"/>
      <c r="U345" s="252"/>
      <c r="V345" s="252"/>
      <c r="W345" s="252"/>
      <c r="X345" s="252"/>
      <c r="Y345" s="252"/>
      <c r="Z345" s="253"/>
      <c r="AA345" s="253"/>
      <c r="AB345" s="253"/>
      <c r="AC345" s="253"/>
      <c r="AD345" s="253"/>
      <c r="AE345" s="253"/>
      <c r="AF345" s="253"/>
      <c r="AG345" s="253"/>
      <c r="AH345" s="252"/>
    </row>
    <row r="346" spans="3:34" x14ac:dyDescent="0.2">
      <c r="C346" s="252"/>
      <c r="D346" s="252"/>
      <c r="E346" s="252"/>
      <c r="F346" s="252"/>
      <c r="G346" s="252"/>
      <c r="H346" s="252"/>
      <c r="I346" s="252"/>
      <c r="J346" s="252"/>
      <c r="K346" s="252"/>
      <c r="L346" s="252"/>
      <c r="M346" s="253"/>
      <c r="N346" s="253"/>
      <c r="O346" s="253"/>
      <c r="P346" s="253"/>
      <c r="Q346" s="253"/>
      <c r="R346" s="254"/>
      <c r="S346" s="255"/>
      <c r="T346" s="252"/>
      <c r="U346" s="252"/>
      <c r="V346" s="252"/>
      <c r="W346" s="252"/>
      <c r="X346" s="252"/>
      <c r="Y346" s="252"/>
      <c r="Z346" s="253"/>
      <c r="AA346" s="253"/>
      <c r="AB346" s="253"/>
      <c r="AC346" s="253"/>
      <c r="AD346" s="253"/>
      <c r="AE346" s="253"/>
      <c r="AF346" s="253"/>
      <c r="AG346" s="253"/>
      <c r="AH346" s="252"/>
    </row>
    <row r="347" spans="3:34" x14ac:dyDescent="0.2">
      <c r="C347" s="252"/>
      <c r="D347" s="252"/>
      <c r="E347" s="252"/>
      <c r="F347" s="252"/>
      <c r="G347" s="252"/>
      <c r="H347" s="252"/>
      <c r="I347" s="252"/>
      <c r="J347" s="252"/>
      <c r="K347" s="252"/>
      <c r="L347" s="252"/>
      <c r="M347" s="253"/>
      <c r="N347" s="253"/>
      <c r="O347" s="253"/>
      <c r="P347" s="253"/>
      <c r="Q347" s="253"/>
      <c r="R347" s="254"/>
      <c r="S347" s="255"/>
      <c r="T347" s="252"/>
      <c r="U347" s="252"/>
      <c r="V347" s="252"/>
      <c r="W347" s="252"/>
      <c r="X347" s="252"/>
      <c r="Y347" s="252"/>
      <c r="Z347" s="253"/>
      <c r="AA347" s="253"/>
      <c r="AB347" s="253"/>
      <c r="AC347" s="253"/>
      <c r="AD347" s="253"/>
      <c r="AE347" s="253"/>
      <c r="AF347" s="253"/>
      <c r="AG347" s="253"/>
      <c r="AH347" s="252"/>
    </row>
    <row r="348" spans="3:34" x14ac:dyDescent="0.2">
      <c r="C348" s="252"/>
      <c r="D348" s="252"/>
      <c r="E348" s="252"/>
      <c r="F348" s="252"/>
      <c r="G348" s="252"/>
      <c r="H348" s="252"/>
      <c r="I348" s="252"/>
      <c r="J348" s="252"/>
      <c r="K348" s="252"/>
      <c r="L348" s="252"/>
      <c r="M348" s="253"/>
      <c r="N348" s="253"/>
      <c r="O348" s="253"/>
      <c r="P348" s="253"/>
      <c r="Q348" s="253"/>
      <c r="R348" s="254"/>
      <c r="S348" s="255"/>
      <c r="T348" s="252"/>
      <c r="U348" s="252"/>
      <c r="V348" s="252"/>
      <c r="W348" s="252"/>
      <c r="X348" s="252"/>
      <c r="Y348" s="252"/>
      <c r="Z348" s="253"/>
      <c r="AA348" s="253"/>
      <c r="AB348" s="253"/>
      <c r="AC348" s="253"/>
      <c r="AD348" s="253"/>
      <c r="AE348" s="253"/>
      <c r="AF348" s="253"/>
      <c r="AG348" s="253"/>
      <c r="AH348" s="252"/>
    </row>
    <row r="349" spans="3:34" x14ac:dyDescent="0.2">
      <c r="C349" s="252"/>
      <c r="D349" s="252"/>
      <c r="E349" s="252"/>
      <c r="F349" s="252"/>
      <c r="G349" s="252"/>
      <c r="H349" s="252"/>
      <c r="I349" s="252"/>
      <c r="J349" s="252"/>
      <c r="K349" s="252"/>
      <c r="L349" s="252"/>
      <c r="M349" s="253"/>
      <c r="N349" s="253"/>
      <c r="O349" s="253"/>
      <c r="P349" s="253"/>
      <c r="Q349" s="253"/>
      <c r="R349" s="254"/>
      <c r="S349" s="255"/>
      <c r="T349" s="252"/>
      <c r="U349" s="252"/>
      <c r="V349" s="252"/>
      <c r="W349" s="252"/>
      <c r="X349" s="252"/>
      <c r="Y349" s="252"/>
      <c r="Z349" s="253"/>
      <c r="AA349" s="253"/>
      <c r="AB349" s="253"/>
      <c r="AC349" s="253"/>
      <c r="AD349" s="253"/>
      <c r="AE349" s="253"/>
      <c r="AF349" s="253"/>
      <c r="AG349" s="253"/>
      <c r="AH349" s="252"/>
    </row>
    <row r="350" spans="3:34" x14ac:dyDescent="0.2">
      <c r="C350" s="252"/>
      <c r="D350" s="252"/>
      <c r="E350" s="252"/>
      <c r="F350" s="252"/>
      <c r="G350" s="252"/>
      <c r="H350" s="252"/>
      <c r="I350" s="252"/>
      <c r="J350" s="252"/>
      <c r="K350" s="252"/>
      <c r="L350" s="252"/>
      <c r="M350" s="253"/>
      <c r="N350" s="253"/>
      <c r="O350" s="253"/>
      <c r="P350" s="253"/>
      <c r="Q350" s="253"/>
      <c r="R350" s="254"/>
      <c r="S350" s="255"/>
      <c r="T350" s="252"/>
      <c r="U350" s="252"/>
      <c r="V350" s="252"/>
      <c r="W350" s="252"/>
      <c r="X350" s="252"/>
      <c r="Y350" s="252"/>
      <c r="Z350" s="253"/>
      <c r="AA350" s="253"/>
      <c r="AB350" s="253"/>
      <c r="AC350" s="253"/>
      <c r="AD350" s="253"/>
      <c r="AE350" s="253"/>
      <c r="AF350" s="253"/>
      <c r="AG350" s="253"/>
      <c r="AH350" s="252"/>
    </row>
    <row r="351" spans="3:34" x14ac:dyDescent="0.2">
      <c r="C351" s="252"/>
      <c r="D351" s="252"/>
      <c r="E351" s="252"/>
      <c r="F351" s="252"/>
      <c r="G351" s="252"/>
      <c r="H351" s="252"/>
      <c r="I351" s="252"/>
      <c r="J351" s="252"/>
      <c r="K351" s="252"/>
      <c r="L351" s="252"/>
      <c r="M351" s="253"/>
      <c r="N351" s="253"/>
      <c r="O351" s="253"/>
      <c r="P351" s="253"/>
      <c r="Q351" s="253"/>
      <c r="R351" s="254"/>
      <c r="S351" s="255"/>
      <c r="T351" s="252"/>
      <c r="U351" s="252"/>
      <c r="V351" s="252"/>
      <c r="W351" s="252"/>
      <c r="X351" s="252"/>
      <c r="Y351" s="252"/>
      <c r="Z351" s="253"/>
      <c r="AA351" s="253"/>
      <c r="AB351" s="253"/>
      <c r="AC351" s="253"/>
      <c r="AD351" s="253"/>
      <c r="AE351" s="253"/>
      <c r="AF351" s="253"/>
      <c r="AG351" s="253"/>
      <c r="AH351" s="252"/>
    </row>
    <row r="352" spans="3:34" x14ac:dyDescent="0.2">
      <c r="C352" s="252"/>
      <c r="D352" s="252"/>
      <c r="E352" s="252"/>
      <c r="F352" s="252"/>
      <c r="G352" s="252"/>
      <c r="H352" s="252"/>
      <c r="I352" s="252"/>
      <c r="J352" s="252"/>
      <c r="K352" s="252"/>
      <c r="L352" s="252"/>
      <c r="M352" s="253"/>
      <c r="N352" s="253"/>
      <c r="O352" s="253"/>
      <c r="P352" s="253"/>
      <c r="Q352" s="253"/>
      <c r="R352" s="254"/>
      <c r="S352" s="255"/>
      <c r="T352" s="252"/>
      <c r="U352" s="252"/>
      <c r="V352" s="252"/>
      <c r="W352" s="252"/>
      <c r="X352" s="252"/>
      <c r="Y352" s="252"/>
      <c r="Z352" s="253"/>
      <c r="AA352" s="253"/>
      <c r="AB352" s="253"/>
      <c r="AC352" s="253"/>
      <c r="AD352" s="253"/>
      <c r="AE352" s="253"/>
      <c r="AF352" s="253"/>
      <c r="AG352" s="253"/>
      <c r="AH352" s="252"/>
    </row>
    <row r="353" spans="3:34" x14ac:dyDescent="0.2">
      <c r="C353" s="252"/>
      <c r="D353" s="252"/>
      <c r="E353" s="252"/>
      <c r="F353" s="252"/>
      <c r="G353" s="252"/>
      <c r="H353" s="252"/>
      <c r="I353" s="252"/>
      <c r="J353" s="252"/>
      <c r="K353" s="252"/>
      <c r="L353" s="252"/>
      <c r="M353" s="253"/>
      <c r="N353" s="253"/>
      <c r="O353" s="253"/>
      <c r="P353" s="253"/>
      <c r="Q353" s="253"/>
      <c r="R353" s="254"/>
      <c r="S353" s="255"/>
      <c r="T353" s="252"/>
      <c r="U353" s="252"/>
      <c r="V353" s="252"/>
      <c r="W353" s="252"/>
      <c r="X353" s="252"/>
      <c r="Y353" s="252"/>
      <c r="Z353" s="253"/>
      <c r="AA353" s="253"/>
      <c r="AB353" s="253"/>
      <c r="AC353" s="253"/>
      <c r="AD353" s="253"/>
      <c r="AE353" s="253"/>
      <c r="AF353" s="253"/>
      <c r="AG353" s="253"/>
      <c r="AH353" s="252"/>
    </row>
    <row r="354" spans="3:34" x14ac:dyDescent="0.2">
      <c r="C354" s="252"/>
      <c r="D354" s="252"/>
      <c r="E354" s="252"/>
      <c r="F354" s="252"/>
      <c r="G354" s="252"/>
      <c r="H354" s="252"/>
      <c r="I354" s="252"/>
      <c r="J354" s="252"/>
      <c r="K354" s="252"/>
      <c r="L354" s="252"/>
      <c r="M354" s="253"/>
      <c r="N354" s="253"/>
      <c r="O354" s="253"/>
      <c r="P354" s="253"/>
      <c r="Q354" s="253"/>
      <c r="R354" s="254"/>
      <c r="S354" s="255"/>
      <c r="T354" s="252"/>
      <c r="U354" s="252"/>
      <c r="V354" s="252"/>
      <c r="W354" s="252"/>
      <c r="X354" s="252"/>
      <c r="Y354" s="252"/>
      <c r="Z354" s="253"/>
      <c r="AA354" s="253"/>
      <c r="AB354" s="253"/>
      <c r="AC354" s="253"/>
      <c r="AD354" s="253"/>
      <c r="AE354" s="253"/>
      <c r="AF354" s="253"/>
      <c r="AG354" s="253"/>
      <c r="AH354" s="252"/>
    </row>
    <row r="355" spans="3:34" x14ac:dyDescent="0.2">
      <c r="C355" s="252"/>
      <c r="D355" s="252"/>
      <c r="E355" s="252"/>
      <c r="F355" s="252"/>
      <c r="G355" s="252"/>
      <c r="H355" s="252"/>
      <c r="I355" s="252"/>
      <c r="J355" s="252"/>
      <c r="K355" s="252"/>
      <c r="L355" s="252"/>
      <c r="M355" s="253"/>
      <c r="N355" s="253"/>
      <c r="O355" s="253"/>
      <c r="P355" s="253"/>
      <c r="Q355" s="253"/>
      <c r="R355" s="254"/>
      <c r="S355" s="255"/>
      <c r="T355" s="252"/>
      <c r="U355" s="252"/>
      <c r="V355" s="252"/>
      <c r="W355" s="252"/>
      <c r="X355" s="252"/>
      <c r="Y355" s="252"/>
      <c r="Z355" s="253"/>
      <c r="AA355" s="253"/>
      <c r="AB355" s="253"/>
      <c r="AC355" s="253"/>
      <c r="AD355" s="253"/>
      <c r="AE355" s="253"/>
      <c r="AF355" s="253"/>
      <c r="AG355" s="253"/>
      <c r="AH355" s="252"/>
    </row>
    <row r="356" spans="3:34" x14ac:dyDescent="0.2">
      <c r="C356" s="252"/>
      <c r="D356" s="252"/>
      <c r="E356" s="252"/>
      <c r="F356" s="252"/>
      <c r="G356" s="252"/>
      <c r="H356" s="252"/>
      <c r="I356" s="252"/>
      <c r="J356" s="252"/>
      <c r="K356" s="252"/>
      <c r="L356" s="252"/>
      <c r="M356" s="253"/>
      <c r="N356" s="253"/>
      <c r="O356" s="253"/>
      <c r="P356" s="253"/>
      <c r="Q356" s="253"/>
      <c r="R356" s="254"/>
      <c r="S356" s="255"/>
      <c r="T356" s="252"/>
      <c r="U356" s="252"/>
      <c r="V356" s="252"/>
      <c r="W356" s="252"/>
      <c r="X356" s="252"/>
      <c r="Y356" s="252"/>
      <c r="Z356" s="253"/>
      <c r="AA356" s="253"/>
      <c r="AB356" s="253"/>
      <c r="AC356" s="253"/>
      <c r="AD356" s="253"/>
      <c r="AE356" s="253"/>
      <c r="AF356" s="253"/>
      <c r="AG356" s="253"/>
      <c r="AH356" s="252"/>
    </row>
    <row r="357" spans="3:34" x14ac:dyDescent="0.2">
      <c r="C357" s="252"/>
      <c r="D357" s="252"/>
      <c r="E357" s="252"/>
      <c r="F357" s="252"/>
      <c r="G357" s="252"/>
      <c r="H357" s="252"/>
      <c r="I357" s="252"/>
      <c r="J357" s="252"/>
      <c r="K357" s="252"/>
      <c r="L357" s="252"/>
      <c r="M357" s="253"/>
      <c r="N357" s="253"/>
      <c r="O357" s="253"/>
      <c r="P357" s="253"/>
      <c r="Q357" s="253"/>
      <c r="R357" s="254"/>
      <c r="S357" s="255"/>
      <c r="T357" s="252"/>
      <c r="U357" s="252"/>
      <c r="V357" s="252"/>
      <c r="W357" s="252"/>
      <c r="X357" s="252"/>
      <c r="Y357" s="252"/>
      <c r="Z357" s="253"/>
      <c r="AA357" s="253"/>
      <c r="AB357" s="253"/>
      <c r="AC357" s="253"/>
      <c r="AD357" s="253"/>
      <c r="AE357" s="253"/>
      <c r="AF357" s="253"/>
      <c r="AG357" s="253"/>
      <c r="AH357" s="252"/>
    </row>
    <row r="358" spans="3:34" x14ac:dyDescent="0.2">
      <c r="C358" s="252"/>
      <c r="D358" s="252"/>
      <c r="E358" s="252"/>
      <c r="F358" s="252"/>
      <c r="G358" s="252"/>
      <c r="H358" s="252"/>
      <c r="I358" s="252"/>
      <c r="J358" s="252"/>
      <c r="K358" s="252"/>
      <c r="L358" s="252"/>
      <c r="M358" s="253"/>
      <c r="N358" s="253"/>
      <c r="O358" s="253"/>
      <c r="P358" s="253"/>
      <c r="Q358" s="253"/>
      <c r="R358" s="254"/>
      <c r="S358" s="255"/>
      <c r="T358" s="252"/>
      <c r="U358" s="252"/>
      <c r="V358" s="252"/>
      <c r="W358" s="252"/>
      <c r="X358" s="252"/>
      <c r="Y358" s="252"/>
      <c r="Z358" s="253"/>
      <c r="AA358" s="253"/>
      <c r="AB358" s="253"/>
      <c r="AC358" s="253"/>
      <c r="AD358" s="253"/>
      <c r="AE358" s="253"/>
      <c r="AF358" s="253"/>
      <c r="AG358" s="253"/>
      <c r="AH358" s="252"/>
    </row>
    <row r="359" spans="3:34" x14ac:dyDescent="0.2">
      <c r="C359" s="252"/>
      <c r="D359" s="252"/>
      <c r="E359" s="252"/>
      <c r="F359" s="252"/>
      <c r="G359" s="252"/>
      <c r="H359" s="252"/>
      <c r="I359" s="252"/>
      <c r="J359" s="252"/>
      <c r="K359" s="252"/>
      <c r="L359" s="252"/>
      <c r="M359" s="253"/>
      <c r="N359" s="253"/>
      <c r="O359" s="253"/>
      <c r="P359" s="253"/>
      <c r="Q359" s="253"/>
      <c r="R359" s="254"/>
      <c r="S359" s="255"/>
      <c r="T359" s="252"/>
      <c r="U359" s="252"/>
      <c r="V359" s="252"/>
      <c r="W359" s="252"/>
      <c r="X359" s="252"/>
      <c r="Y359" s="252"/>
      <c r="Z359" s="253"/>
      <c r="AA359" s="253"/>
      <c r="AB359" s="253"/>
      <c r="AC359" s="253"/>
      <c r="AD359" s="253"/>
      <c r="AE359" s="253"/>
      <c r="AF359" s="253"/>
      <c r="AG359" s="253"/>
      <c r="AH359" s="252"/>
    </row>
    <row r="360" spans="3:34" x14ac:dyDescent="0.2">
      <c r="C360" s="252"/>
      <c r="D360" s="252"/>
      <c r="E360" s="252"/>
      <c r="F360" s="252"/>
      <c r="G360" s="252"/>
      <c r="H360" s="252"/>
      <c r="I360" s="252"/>
      <c r="J360" s="252"/>
      <c r="K360" s="252"/>
      <c r="L360" s="252"/>
      <c r="M360" s="253"/>
      <c r="N360" s="253"/>
      <c r="O360" s="253"/>
      <c r="P360" s="253"/>
      <c r="Q360" s="253"/>
      <c r="R360" s="254"/>
      <c r="S360" s="255"/>
      <c r="T360" s="252"/>
      <c r="U360" s="252"/>
      <c r="V360" s="252"/>
      <c r="W360" s="252"/>
      <c r="X360" s="252"/>
      <c r="Y360" s="252"/>
      <c r="Z360" s="253"/>
      <c r="AA360" s="253"/>
      <c r="AB360" s="253"/>
      <c r="AC360" s="253"/>
      <c r="AD360" s="253"/>
      <c r="AE360" s="253"/>
      <c r="AF360" s="253"/>
      <c r="AG360" s="253"/>
      <c r="AH360" s="252"/>
    </row>
    <row r="361" spans="3:34" x14ac:dyDescent="0.2">
      <c r="C361" s="252"/>
      <c r="D361" s="252"/>
      <c r="E361" s="252"/>
      <c r="F361" s="252"/>
      <c r="G361" s="252"/>
      <c r="H361" s="252"/>
      <c r="I361" s="252"/>
      <c r="J361" s="252"/>
      <c r="K361" s="252"/>
      <c r="L361" s="252"/>
      <c r="M361" s="253"/>
      <c r="N361" s="253"/>
      <c r="O361" s="253"/>
      <c r="P361" s="253"/>
      <c r="Q361" s="253"/>
      <c r="R361" s="254"/>
      <c r="S361" s="255"/>
      <c r="T361" s="252"/>
      <c r="U361" s="252"/>
      <c r="V361" s="252"/>
      <c r="W361" s="252"/>
      <c r="X361" s="252"/>
      <c r="Y361" s="252"/>
      <c r="Z361" s="253"/>
      <c r="AA361" s="253"/>
      <c r="AB361" s="253"/>
      <c r="AC361" s="253"/>
      <c r="AD361" s="253"/>
      <c r="AE361" s="253"/>
      <c r="AF361" s="253"/>
      <c r="AG361" s="253"/>
      <c r="AH361" s="252"/>
    </row>
    <row r="362" spans="3:34" x14ac:dyDescent="0.2">
      <c r="C362" s="252"/>
      <c r="D362" s="252"/>
      <c r="E362" s="252"/>
      <c r="F362" s="252"/>
      <c r="G362" s="252"/>
      <c r="H362" s="252"/>
      <c r="I362" s="252"/>
      <c r="J362" s="252"/>
      <c r="K362" s="252"/>
      <c r="L362" s="252"/>
      <c r="M362" s="253"/>
      <c r="N362" s="253"/>
      <c r="O362" s="253"/>
      <c r="P362" s="253"/>
      <c r="Q362" s="253"/>
      <c r="R362" s="254"/>
      <c r="S362" s="255"/>
      <c r="T362" s="252"/>
      <c r="U362" s="252"/>
      <c r="V362" s="252"/>
      <c r="W362" s="252"/>
      <c r="X362" s="252"/>
      <c r="Y362" s="252"/>
      <c r="Z362" s="253"/>
      <c r="AA362" s="253"/>
      <c r="AB362" s="253"/>
      <c r="AC362" s="253"/>
      <c r="AD362" s="253"/>
      <c r="AE362" s="253"/>
      <c r="AF362" s="253"/>
      <c r="AG362" s="253"/>
      <c r="AH362" s="252"/>
    </row>
    <row r="363" spans="3:34" x14ac:dyDescent="0.2">
      <c r="C363" s="252"/>
      <c r="D363" s="252"/>
      <c r="E363" s="252"/>
      <c r="F363" s="252"/>
      <c r="G363" s="252"/>
      <c r="H363" s="252"/>
      <c r="I363" s="252"/>
      <c r="J363" s="252"/>
      <c r="K363" s="252"/>
      <c r="L363" s="252"/>
      <c r="M363" s="253"/>
      <c r="N363" s="253"/>
      <c r="O363" s="253"/>
      <c r="P363" s="253"/>
      <c r="Q363" s="253"/>
      <c r="R363" s="254"/>
      <c r="S363" s="255"/>
      <c r="T363" s="252"/>
      <c r="U363" s="252"/>
      <c r="V363" s="252"/>
      <c r="W363" s="252"/>
      <c r="X363" s="252"/>
      <c r="Y363" s="252"/>
      <c r="Z363" s="253"/>
      <c r="AA363" s="253"/>
      <c r="AB363" s="253"/>
      <c r="AC363" s="253"/>
      <c r="AD363" s="253"/>
      <c r="AE363" s="253"/>
      <c r="AF363" s="253"/>
      <c r="AG363" s="253"/>
      <c r="AH363" s="252"/>
    </row>
  </sheetData>
  <sheetProtection formatCells="0" formatColumns="0" formatRows="0" insertColumns="0" insertRows="0" insertHyperlinks="0" deleteColumns="0" deleteRows="0" sort="0" autoFilter="0" pivotTables="0"/>
  <autoFilter ref="A4:AK4"/>
  <mergeCells count="9">
    <mergeCell ref="Z3:AG3"/>
    <mergeCell ref="B61:B68"/>
    <mergeCell ref="G2:K2"/>
    <mergeCell ref="L2:Y2"/>
    <mergeCell ref="C3:G3"/>
    <mergeCell ref="H3:K3"/>
    <mergeCell ref="L3:S3"/>
    <mergeCell ref="T3:V3"/>
    <mergeCell ref="W3:Y3"/>
  </mergeCells>
  <dataValidations count="9">
    <dataValidation type="list" allowBlank="1" showInputMessage="1" showErrorMessage="1" sqref="J61:J68 J31:J36 J56:J59 J15:J25 J38:J54 J28 J5:J7 J9:J13">
      <formula1>$C$77:$C$79</formula1>
    </dataValidation>
    <dataValidation type="list" allowBlank="1" showInputMessage="1" showErrorMessage="1" sqref="J14 J26">
      <formula1>$C$64:$C$67</formula1>
    </dataValidation>
    <dataValidation type="list" allowBlank="1" showInputMessage="1" showErrorMessage="1" sqref="J27">
      <formula1>$C$63:$C$66</formula1>
    </dataValidation>
    <dataValidation type="list" allowBlank="1" showInputMessage="1" showErrorMessage="1" sqref="J55">
      <formula1>$C$62:$C$64</formula1>
    </dataValidation>
    <dataValidation type="list" allowBlank="1" showInputMessage="1" showErrorMessage="1" sqref="J37">
      <formula1>$C$102:$C$104</formula1>
    </dataValidation>
    <dataValidation type="list" allowBlank="1" showInputMessage="1" showErrorMessage="1" sqref="J60">
      <formula1>$C$87:$C$89</formula1>
    </dataValidation>
    <dataValidation type="list" allowBlank="1" showInputMessage="1" showErrorMessage="1" sqref="J29">
      <formula1>$C$80:$C$82</formula1>
    </dataValidation>
    <dataValidation type="list" allowBlank="1" showInputMessage="1" showErrorMessage="1" sqref="J30">
      <formula1>$C$73:$C$75</formula1>
    </dataValidation>
    <dataValidation type="list" allowBlank="1" showInputMessage="1" showErrorMessage="1" sqref="J8">
      <formula1>$C$82:$C$84</formula1>
    </dataValidation>
  </dataValidations>
  <pageMargins left="0.7" right="0.7" top="0.75" bottom="0.75" header="0.3" footer="0.3"/>
  <pageSetup paperSize="9" scale="20" fitToHeight="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7"/>
  <sheetViews>
    <sheetView workbookViewId="0">
      <selection activeCell="B29" sqref="B29:B37"/>
    </sheetView>
  </sheetViews>
  <sheetFormatPr defaultRowHeight="15" x14ac:dyDescent="0.25"/>
  <cols>
    <col min="12" max="12" width="16.28515625" customWidth="1"/>
    <col min="14" max="14" width="17.140625" customWidth="1"/>
  </cols>
  <sheetData>
    <row r="2" spans="2:14" x14ac:dyDescent="0.25">
      <c r="E2" t="s">
        <v>293</v>
      </c>
      <c r="H2" t="s">
        <v>290</v>
      </c>
      <c r="L2" t="s">
        <v>252</v>
      </c>
      <c r="N2" t="s">
        <v>256</v>
      </c>
    </row>
    <row r="3" spans="2:14" x14ac:dyDescent="0.25">
      <c r="B3" t="s">
        <v>18</v>
      </c>
      <c r="E3" t="s">
        <v>66</v>
      </c>
      <c r="H3" t="s">
        <v>291</v>
      </c>
      <c r="L3" t="s">
        <v>253</v>
      </c>
      <c r="N3" t="s">
        <v>257</v>
      </c>
    </row>
    <row r="4" spans="2:14" x14ac:dyDescent="0.25">
      <c r="B4" t="s">
        <v>19</v>
      </c>
      <c r="E4" t="s">
        <v>292</v>
      </c>
      <c r="H4" t="s">
        <v>89</v>
      </c>
      <c r="L4" t="s">
        <v>288</v>
      </c>
      <c r="N4" t="s">
        <v>258</v>
      </c>
    </row>
    <row r="5" spans="2:14" x14ac:dyDescent="0.25">
      <c r="B5" t="s">
        <v>21</v>
      </c>
      <c r="E5" t="s">
        <v>65</v>
      </c>
      <c r="H5" t="s">
        <v>289</v>
      </c>
      <c r="L5" t="s">
        <v>254</v>
      </c>
      <c r="N5" t="s">
        <v>259</v>
      </c>
    </row>
    <row r="6" spans="2:14" x14ac:dyDescent="0.25">
      <c r="B6" t="s">
        <v>20</v>
      </c>
      <c r="N6" t="s">
        <v>260</v>
      </c>
    </row>
    <row r="7" spans="2:14" x14ac:dyDescent="0.25">
      <c r="N7" t="s">
        <v>265</v>
      </c>
    </row>
    <row r="8" spans="2:14" x14ac:dyDescent="0.25">
      <c r="B8" t="s">
        <v>448</v>
      </c>
      <c r="N8" t="s">
        <v>266</v>
      </c>
    </row>
    <row r="9" spans="2:14" x14ac:dyDescent="0.25">
      <c r="B9" t="s">
        <v>459</v>
      </c>
      <c r="N9" t="s">
        <v>267</v>
      </c>
    </row>
    <row r="10" spans="2:14" x14ac:dyDescent="0.25">
      <c r="B10" t="s">
        <v>449</v>
      </c>
      <c r="N10" t="s">
        <v>268</v>
      </c>
    </row>
    <row r="11" spans="2:14" x14ac:dyDescent="0.25">
      <c r="E11" s="10" t="e">
        <f>DATE+DATE(2013,1,1)</f>
        <v>#NAME?</v>
      </c>
      <c r="N11" t="s">
        <v>313</v>
      </c>
    </row>
    <row r="13" spans="2:14" x14ac:dyDescent="0.25">
      <c r="B13" t="s">
        <v>213</v>
      </c>
    </row>
    <row r="14" spans="2:14" x14ac:dyDescent="0.25">
      <c r="B14" t="s">
        <v>221</v>
      </c>
    </row>
    <row r="19" spans="2:8" x14ac:dyDescent="0.25">
      <c r="B19" t="s">
        <v>912</v>
      </c>
      <c r="H19" t="s">
        <v>924</v>
      </c>
    </row>
    <row r="20" spans="2:8" x14ac:dyDescent="0.25">
      <c r="B20" t="s">
        <v>913</v>
      </c>
      <c r="H20" t="s">
        <v>925</v>
      </c>
    </row>
    <row r="21" spans="2:8" x14ac:dyDescent="0.25">
      <c r="B21" t="s">
        <v>914</v>
      </c>
      <c r="H21" t="s">
        <v>926</v>
      </c>
    </row>
    <row r="22" spans="2:8" x14ac:dyDescent="0.25">
      <c r="B22" t="s">
        <v>917</v>
      </c>
      <c r="H22" t="s">
        <v>927</v>
      </c>
    </row>
    <row r="23" spans="2:8" x14ac:dyDescent="0.25">
      <c r="B23" t="s">
        <v>916</v>
      </c>
    </row>
    <row r="24" spans="2:8" x14ac:dyDescent="0.25">
      <c r="B24" t="s">
        <v>918</v>
      </c>
    </row>
    <row r="25" spans="2:8" x14ac:dyDescent="0.25">
      <c r="B25" t="s">
        <v>919</v>
      </c>
    </row>
    <row r="26" spans="2:8" x14ac:dyDescent="0.25">
      <c r="B26" t="s">
        <v>915</v>
      </c>
    </row>
    <row r="29" spans="2:8" x14ac:dyDescent="0.25">
      <c r="B29" t="s">
        <v>931</v>
      </c>
    </row>
    <row r="30" spans="2:8" x14ac:dyDescent="0.25">
      <c r="B30" t="s">
        <v>932</v>
      </c>
    </row>
    <row r="31" spans="2:8" x14ac:dyDescent="0.25">
      <c r="B31" t="s">
        <v>933</v>
      </c>
    </row>
    <row r="32" spans="2:8" x14ac:dyDescent="0.25">
      <c r="B32" t="s">
        <v>934</v>
      </c>
    </row>
    <row r="33" spans="2:2" x14ac:dyDescent="0.25">
      <c r="B33" t="s">
        <v>935</v>
      </c>
    </row>
    <row r="34" spans="2:2" x14ac:dyDescent="0.25">
      <c r="B34" t="s">
        <v>936</v>
      </c>
    </row>
    <row r="35" spans="2:2" x14ac:dyDescent="0.25">
      <c r="B35" t="s">
        <v>937</v>
      </c>
    </row>
    <row r="36" spans="2:2" x14ac:dyDescent="0.25">
      <c r="B36" t="s">
        <v>938</v>
      </c>
    </row>
    <row r="37" spans="2:2" x14ac:dyDescent="0.25">
      <c r="B37" t="s">
        <v>939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Guide</vt:lpstr>
      <vt:lpstr>Snapshot</vt:lpstr>
      <vt:lpstr>SituationAnalysis</vt:lpstr>
      <vt:lpstr>Funds analysis</vt:lpstr>
      <vt:lpstr>Cluster indicator</vt:lpstr>
      <vt:lpstr>UNICEF</vt:lpstr>
      <vt:lpstr>Database</vt:lpstr>
      <vt:lpstr>Agency funds received</vt:lpstr>
      <vt:lpstr>List</vt:lpstr>
      <vt:lpstr>'Agency funds received'!List</vt:lpstr>
      <vt:lpstr>Database!Print_Area</vt:lpstr>
      <vt:lpstr>Snapshot!Print_Area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MSB</dc:creator>
  <cp:lastModifiedBy>Allix James</cp:lastModifiedBy>
  <cp:lastPrinted>2015-10-25T08:07:09Z</cp:lastPrinted>
  <dcterms:created xsi:type="dcterms:W3CDTF">2012-10-21T05:17:59Z</dcterms:created>
  <dcterms:modified xsi:type="dcterms:W3CDTF">2015-10-26T03:39:57Z</dcterms:modified>
</cp:coreProperties>
</file>